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ZV Vyžád." sheetId="342" r:id="rId24"/>
    <sheet name="ZV Vyžád. Detail" sheetId="343" r:id="rId25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3" hidden="1">'ZV Vyžád.'!$A$5:$M$5</definedName>
    <definedName name="_xlnm._FilterDatabase" localSheetId="24" hidden="1">'ZV Vyžád.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22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2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1" i="414"/>
  <c r="D21" i="414"/>
  <c r="Q3" i="377" l="1"/>
  <c r="Q3" i="347"/>
  <c r="S3" i="347"/>
  <c r="U3" i="347"/>
  <c r="C22" i="414"/>
  <c r="E22" i="414" s="1"/>
  <c r="F13" i="339"/>
  <c r="E13" i="339"/>
  <c r="E15" i="339" s="1"/>
  <c r="H12" i="339"/>
  <c r="G12" i="339"/>
  <c r="K3" i="390"/>
  <c r="A4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<sst xmlns="http://schemas.openxmlformats.org/spreadsheetml/2006/main" count="3506" uniqueCount="1192">
  <si>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</si>
  <si>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</si>
  <si>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</si>
  <si>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</si>
  <si>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</si>
  <si>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</si>
  <si>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</si>
  <si>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</si>
  <si>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</si>
  <si>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</si>
  <si>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</si>
  <si>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</si>
  <si>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</si>
  <si>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</si>
  <si>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</si>
  <si>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</si>
  <si>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</si>
  <si>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</si>
  <si>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</si>
  <si>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</si>
  <si>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</si>
  <si>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</si>
  <si>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</si>
  <si>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</si>
  <si>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</si>
  <si>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</si>
  <si>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</si>
  <si>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</si>
  <si>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</si>
  <si>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</si>
  <si>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</si>
  <si>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</si>
  <si>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</si>
  <si>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</si>
  <si>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</si>
  <si>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</si>
  <si>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</si>
  <si>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</si>
  <si>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</si>
  <si>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</si>
  <si>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</si>
  <si>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</si>
  <si>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</si>
  <si>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</si>
  <si>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</si>
  <si>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</si>
  <si>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</si>
  <si>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</si>
  <si>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</si>
  <si>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</si>
  <si>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</si>
  <si>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</si>
  <si>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</si>
  <si>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</si>
  <si>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</si>
  <si>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</si>
  <si>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</si>
  <si>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</si>
  <si>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</si>
  <si>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</si>
  <si>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</si>
  <si>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</si>
  <si>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</si>
  <si>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</si>
  <si>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</si>
  <si>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</si>
  <si>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</si>
  <si>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</si>
  <si>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</si>
  <si>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</si>
  <si>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</si>
  <si>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</si>
  <si>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</si>
  <si>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</si>
  <si>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</si>
  <si>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</si>
  <si>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</si>
  <si>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</si>
  <si>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</si>
  <si>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</si>
  <si>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</si>
  <si>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</si>
  <si>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</si>
  <si>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</si>
  <si>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</si>
  <si>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</si>
  <si>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</si>
  <si>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</si>
  <si>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</si>
  <si>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</si>
  <si>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</si>
  <si>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</si>
  <si>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</si>
  <si>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</si>
  <si>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</si>
  <si>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</si>
  <si>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</si>
  <si>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</si>
  <si>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</si>
  <si>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</si>
  <si>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</si>
  <si>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</si>
  <si>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</si>
  <si>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</si>
  <si>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</si>
  <si>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</si>
  <si>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</si>
  <si>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</si>
  <si>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</si>
  <si>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</si>
  <si>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</si>
  <si>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</si>
  <si>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</si>
  <si>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</si>
  <si>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</si>
  <si>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</si>
  <si>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</si>
  <si>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</si>
  <si>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</si>
  <si>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</si>
  <si>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</si>
  <si>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</si>
  <si>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</si>
  <si>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</si>
  <si>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</si>
  <si>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</si>
  <si>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</si>
  <si>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</si>
  <si>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</si>
  <si>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</si>
  <si>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</si>
  <si>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</si>
  <si>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</si>
  <si>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</si>
  <si>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</si>
  <si>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</si>
  <si>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</si>
  <si>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</si>
  <si>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</si>
  <si>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</si>
  <si>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</si>
  <si>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</si>
  <si>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</si>
  <si>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</si>
  <si>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</si>
  <si>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</si>
  <si>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</si>
  <si>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</si>
  <si>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</si>
  <si>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</si>
  <si>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</si>
  <si>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</si>
  <si>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</si>
  <si>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</si>
  <si>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</si>
  <si>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</si>
  <si>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</si>
  <si>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</si>
  <si>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</si>
  <si>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</si>
  <si>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</si>
  <si>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</si>
  <si>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</si>
  <si>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</si>
  <si>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</si>
  <si>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</si>
  <si>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</si>
  <si>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</si>
  <si>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</si>
  <si>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</si>
  <si>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</si>
  <si>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</si>
  <si>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</si>
  <si>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</si>
  <si>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</si>
  <si>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</si>
  <si>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</si>
  <si>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</si>
  <si>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</si>
  <si>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</si>
  <si>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</si>
  <si>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</si>
  <si>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</si>
  <si>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</si>
  <si>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</si>
  <si>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</si>
  <si>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</si>
  <si>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</si>
  <si>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</si>
  <si>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</si>
  <si>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</si>
  <si>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</si>
  <si>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</si>
  <si>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</si>
  <si>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</si>
  <si>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</si>
  <si>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</si>
  <si>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</si>
  <si>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</si>
  <si>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</si>
  <si>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</si>
  <si>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</si>
  <si>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</si>
  <si>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</si>
  <si>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</si>
  <si>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</si>
  <si>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</si>
  <si>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</si>
  <si>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</si>
  <si>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</si>
  <si>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</si>
  <si>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</si>
  <si>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</si>
  <si>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</si>
  <si>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</si>
  <si>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</si>
  <si>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</si>
  <si>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</si>
  <si>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</si>
  <si>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</si>
  <si>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</si>
  <si>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</si>
  <si>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</si>
  <si>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</si>
  <si>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</si>
  <si>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</si>
  <si>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</si>
  <si>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</si>
  <si>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</si>
  <si>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</si>
  <si>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</si>
  <si>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</si>
  <si>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</si>
  <si>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</si>
  <si>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</si>
  <si>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</si>
  <si>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</si>
  <si>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</si>
  <si>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</si>
  <si>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</si>
  <si>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</si>
  <si>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</si>
  <si>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</si>
  <si>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</si>
  <si>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</si>
  <si>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</si>
  <si>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</si>
  <si>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</si>
  <si>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</si>
  <si>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</si>
  <si>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</si>
  <si>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</si>
  <si>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</si>
  <si>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</si>
  <si>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</si>
  <si>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</si>
  <si>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</si>
  <si>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</si>
  <si>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</si>
  <si>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</si>
  <si>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</si>
  <si>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</si>
  <si>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</si>
  <si>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</si>
  <si>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</si>
  <si>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</si>
  <si>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</si>
  <si>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</si>
  <si>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</si>
  <si>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</si>
  <si>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</si>
  <si>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</si>
  <si>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</si>
  <si>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</si>
  <si>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</si>
  <si>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</si>
  <si>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</si>
  <si>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</si>
  <si>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</si>
  <si>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</si>
  <si>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</si>
  <si>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</si>
  <si>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</si>
  <si>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</si>
  <si>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</si>
  <si>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</si>
  <si>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</si>
  <si>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</si>
  <si>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</si>
  <si>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</si>
  <si>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</si>
  <si>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</si>
  <si>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</si>
  <si>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</si>
  <si>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</si>
  <si>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</si>
  <si>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--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</si>
  <si>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</si>
  <si>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</si>
  <si>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</si>
  <si>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</si>
  <si>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</si>
  <si>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</si>
  <si>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</si>
  <si>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</si>
  <si>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</si>
  <si>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</si>
  <si>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</si>
  <si>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</si>
  <si>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</si>
  <si>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</si>
  <si>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</si>
  <si>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</si>
  <si>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</si>
  <si>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</si>
  <si>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</si>
  <si>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</si>
  <si>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</si>
  <si>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</si>
  <si>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</si>
  <si>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</si>
  <si>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</si>
  <si>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</si>
  <si>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</si>
  <si>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</si>
  <si>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</si>
  <si>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</si>
  <si>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</si>
  <si>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</si>
  <si>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</si>
  <si>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</si>
  <si>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</si>
  <si>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</si>
  <si>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</si>
  <si>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</si>
  <si>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</si>
  <si>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</si>
  <si>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</si>
  <si>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</si>
  <si>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</si>
  <si>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</si>
  <si>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</si>
  <si>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</si>
  <si>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</si>
  <si>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</si>
  <si>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</si>
  <si>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</si>
  <si>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</si>
  <si>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</si>
  <si>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</si>
  <si>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</si>
  <si>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</si>
  <si>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</si>
  <si>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</si>
  <si>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</si>
  <si>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</si>
  <si>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</si>
  <si>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</si>
  <si>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</si>
  <si>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</si>
  <si>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</si>
  <si>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</si>
  <si>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</si>
  <si>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</si>
  <si>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</si>
  <si>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</si>
  <si>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</si>
  <si>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</si>
  <si>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</si>
  <si>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</si>
  <si>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</si>
  <si>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</si>
  <si>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</si>
  <si>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</si>
  <si>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</si>
  <si>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</si>
  <si>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</si>
  <si>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</si>
  <si>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</si>
  <si>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</si>
  <si>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</si>
  <si>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</si>
  <si>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</si>
  <si>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</si>
  <si>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</si>
  <si>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</si>
  <si>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</si>
  <si>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</si>
  <si>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</si>
  <si>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</si>
  <si>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</si>
  <si>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</si>
  <si>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</si>
  <si>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</si>
  <si>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</si>
  <si>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</si>
  <si>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</si>
  <si>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</si>
  <si>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</si>
  <si>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</si>
  <si>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</si>
  <si>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</si>
  <si>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</si>
  <si>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</si>
  <si>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</si>
  <si>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</si>
  <si>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</si>
  <si>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</si>
  <si>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</si>
  <si>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</si>
  <si>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</si>
  <si>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</si>
  <si>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</si>
  <si>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</si>
  <si>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</si>
  <si>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</si>
  <si>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</si>
  <si>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</si>
  <si>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</si>
  <si>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</si>
  <si>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</si>
  <si>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</si>
  <si>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</si>
  <si>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</si>
  <si>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</si>
  <si>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19</t>
  </si>
  <si>
    <t>Klinika pracovního lékařství</t>
  </si>
  <si>
    <t/>
  </si>
  <si>
    <t>50113190     medicinální plyny</t>
  </si>
  <si>
    <t>Klinika pracovního lékařství Celkem</t>
  </si>
  <si>
    <t>SumaKL</t>
  </si>
  <si>
    <t>1911</t>
  </si>
  <si>
    <t>(prázdné)</t>
  </si>
  <si>
    <t>(prázdné) Celkem</t>
  </si>
  <si>
    <t>SumaNS</t>
  </si>
  <si>
    <t>mezeraNS</t>
  </si>
  <si>
    <t>1921</t>
  </si>
  <si>
    <t>ambulance</t>
  </si>
  <si>
    <t>ambulance Celkem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</si>
  <si>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</si>
  <si>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</si>
  <si>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</si>
  <si>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</si>
  <si>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</si>
  <si>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</si>
  <si>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</si>
  <si>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</si>
  <si>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51367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</si>
  <si>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</si>
  <si>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</si>
  <si>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</si>
  <si>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</si>
  <si>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</si>
  <si>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</si>
  <si>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</si>
  <si>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</si>
  <si>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</si>
  <si>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107981</t>
  </si>
  <si>
    <t>7981</t>
  </si>
  <si>
    <t>NOVALGIN</t>
  </si>
  <si>
    <t>INJ 10X2ML/1000MG</t>
  </si>
  <si>
    <t>124067</t>
  </si>
  <si>
    <t>HYDROCORTISON VUAB 100 MG</t>
  </si>
  <si>
    <t>INJ PLV SOL 1X100MG</t>
  </si>
  <si>
    <t>155947</t>
  </si>
  <si>
    <t>55947</t>
  </si>
  <si>
    <t>OPHTAL LIQ 2X50ML</t>
  </si>
  <si>
    <t>158249</t>
  </si>
  <si>
    <t>58249</t>
  </si>
  <si>
    <t>GUAJACURAN « 5 % INJ</t>
  </si>
  <si>
    <t>189212</t>
  </si>
  <si>
    <t>89212</t>
  </si>
  <si>
    <t>INJECTIO PROCAIN.CHLOR.0.2% ARD</t>
  </si>
  <si>
    <t>INJ 1X200ML 0.2%</t>
  </si>
  <si>
    <t>395997</t>
  </si>
  <si>
    <t>DZ SOFTASEPT N BEZBARVÝ 250 ml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</si>
  <si>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</si>
  <si>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</si>
  <si>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</si>
  <si>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</si>
  <si>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</si>
  <si>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</si>
  <si>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</si>
  <si>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</si>
  <si>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920304</t>
  </si>
  <si>
    <t>KL EKG GEL 100G</t>
  </si>
  <si>
    <t>100231</t>
  </si>
  <si>
    <t>231</t>
  </si>
  <si>
    <t>NITROGLYCERIN SLOVAKOFARMA</t>
  </si>
  <si>
    <t>TBL 20X0.5MG</t>
  </si>
  <si>
    <t>930035</t>
  </si>
  <si>
    <t>KL GLUCOSUM 75g</t>
  </si>
  <si>
    <t>841498</t>
  </si>
  <si>
    <t>Carbosorb tbl.20-blistr</t>
  </si>
  <si>
    <t>900321</t>
  </si>
  <si>
    <t>KL PRIPRAVEK</t>
  </si>
  <si>
    <t>169755</t>
  </si>
  <si>
    <t>69755</t>
  </si>
  <si>
    <t>ARDEANUTRISOL G 40</t>
  </si>
  <si>
    <t>INF 1X80ML</t>
  </si>
  <si>
    <t>P</t>
  </si>
  <si>
    <t>131934</t>
  </si>
  <si>
    <t>31934</t>
  </si>
  <si>
    <t>VENTOLIN INHALER N</t>
  </si>
  <si>
    <t>INHSUSPSS200X100RG</t>
  </si>
  <si>
    <t>126816</t>
  </si>
  <si>
    <t>26816</t>
  </si>
  <si>
    <t>TWINRIX ADULT</t>
  </si>
  <si>
    <t>INJSUS 1X1ML+STŘ+SJ</t>
  </si>
  <si>
    <t>147208</t>
  </si>
  <si>
    <t>STAMARIL PASTEUR</t>
  </si>
  <si>
    <t>INJ PSULQF1X1DÁV+ST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</si>
  <si>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</si>
  <si>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</si>
  <si>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</si>
  <si>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</si>
  <si>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</si>
  <si>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</si>
  <si>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</si>
  <si>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</si>
  <si>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</si>
  <si>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</si>
  <si>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</si>
  <si>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</si>
  <si>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847178</t>
  </si>
  <si>
    <t>107496</t>
  </si>
  <si>
    <t>VERORAB</t>
  </si>
  <si>
    <t>INJ PSU LQF 1DAV.+0.5ML ST</t>
  </si>
  <si>
    <t>849437</t>
  </si>
  <si>
    <t>167572</t>
  </si>
  <si>
    <t>MENVEO  INJ PSL SOL 1 + 1</t>
  </si>
  <si>
    <t xml:space="preserve">INJ PSL SOL 1+1ISP </t>
  </si>
  <si>
    <t>156571</t>
  </si>
  <si>
    <t>56571</t>
  </si>
  <si>
    <t>HAVRIX 720 JUNIOR MONODOSE</t>
  </si>
  <si>
    <t>INJSUS1X0.5ML STŘ</t>
  </si>
  <si>
    <t>132827</t>
  </si>
  <si>
    <t>32827</t>
  </si>
  <si>
    <t>ENCEPUR PRO DOSPĚLÉ</t>
  </si>
  <si>
    <t>INJ SUS 1X0.5ML+JEH</t>
  </si>
  <si>
    <t>155106</t>
  </si>
  <si>
    <t>55106</t>
  </si>
  <si>
    <t>FSME-IMMUN 0.25ML BAXTER</t>
  </si>
  <si>
    <t>INJ SUS1X0.25ML/DÁV</t>
  </si>
  <si>
    <t>10277</t>
  </si>
  <si>
    <t>VARILRIX</t>
  </si>
  <si>
    <t>INJ PSO LQF 1DÁV+ST2J</t>
  </si>
  <si>
    <t>168331</t>
  </si>
  <si>
    <t>MENVEO</t>
  </si>
  <si>
    <t>INJ PSL SOL 1+1</t>
  </si>
  <si>
    <t>Klinika pracovního lékařství, ambulance</t>
  </si>
  <si>
    <t>PRAC, ambulance - Centrum očkování</t>
  </si>
  <si>
    <t>Lékárna - léčiva</t>
  </si>
  <si>
    <t>1921 - Klinika pracovního lékařství, ambulance</t>
  </si>
  <si>
    <t>R03AC02 - Salbutamol</t>
  </si>
  <si>
    <t>R03AC02</t>
  </si>
  <si>
    <t>INH SUS PSS 200X100RG</t>
  </si>
  <si>
    <t>Přehled plnění pozitivního listu - spotřeba léčivých přípravků - orientační přehled</t>
  </si>
  <si>
    <t>HVLP</t>
  </si>
  <si>
    <t>89301192</t>
  </si>
  <si>
    <t>Všeobecná ambulance Celkem</t>
  </si>
  <si>
    <t>Boriková Alena</t>
  </si>
  <si>
    <t>Fialová Jarmila</t>
  </si>
  <si>
    <t>Holá Jaroslava</t>
  </si>
  <si>
    <t>Nakládalová Marie</t>
  </si>
  <si>
    <t>Radiměřská Dagmar</t>
  </si>
  <si>
    <t>Vildová Helena</t>
  </si>
  <si>
    <t>Aciklovir</t>
  </si>
  <si>
    <t>84128</t>
  </si>
  <si>
    <t>HERPESIN 400</t>
  </si>
  <si>
    <t>POR TBL NOB 25X400MG</t>
  </si>
  <si>
    <t>Erythromycin</t>
  </si>
  <si>
    <t>97514</t>
  </si>
  <si>
    <t>AKNEMYCIN</t>
  </si>
  <si>
    <t>DRM SOL 1X25ML/500MG LAG I</t>
  </si>
  <si>
    <t>Fenoxymethylpenicilin</t>
  </si>
  <si>
    <t>45997</t>
  </si>
  <si>
    <t>OSPEN 1000</t>
  </si>
  <si>
    <t>POR TBL FLM 30X1000KU</t>
  </si>
  <si>
    <t>Jiná antibiotika pro lokální aplikaci</t>
  </si>
  <si>
    <t>1066</t>
  </si>
  <si>
    <t>FRAMYKOIN</t>
  </si>
  <si>
    <t>DRM UNG 1X10GM</t>
  </si>
  <si>
    <t>Kodein</t>
  </si>
  <si>
    <t>90</t>
  </si>
  <si>
    <t>CODEIN SLOVAKOFARMA 30 MG</t>
  </si>
  <si>
    <t>POR TBL NOB 10X30MG</t>
  </si>
  <si>
    <t>Kyanokobalamin</t>
  </si>
  <si>
    <t>643</t>
  </si>
  <si>
    <t>VITAMIN B12 LÉČIVA 1000 MCG</t>
  </si>
  <si>
    <t>INJ SOL 5X1ML/1000RG</t>
  </si>
  <si>
    <t>Makrogol</t>
  </si>
  <si>
    <t>58827</t>
  </si>
  <si>
    <t>FORTRANS</t>
  </si>
  <si>
    <t>POR PLV SOL 1X4(SÁČKY)</t>
  </si>
  <si>
    <t>Meflochin</t>
  </si>
  <si>
    <t>14946</t>
  </si>
  <si>
    <t>LARIAM</t>
  </si>
  <si>
    <t>POR TBL NOB 8X250MG</t>
  </si>
  <si>
    <t>Nimesulid</t>
  </si>
  <si>
    <t>12892</t>
  </si>
  <si>
    <t>AULIN</t>
  </si>
  <si>
    <t>POR TBL NOB 30X100MG</t>
  </si>
  <si>
    <t>Pentoxifylin</t>
  </si>
  <si>
    <t>155875</t>
  </si>
  <si>
    <t>TRENTAL</t>
  </si>
  <si>
    <t>INF SOL 5X5ML/100MG</t>
  </si>
  <si>
    <t>45008</t>
  </si>
  <si>
    <t>43709</t>
  </si>
  <si>
    <t>INF SOL 2X5X15ML/300MG</t>
  </si>
  <si>
    <t>Progvanil, kombinace</t>
  </si>
  <si>
    <t>30690</t>
  </si>
  <si>
    <t>MALARONE</t>
  </si>
  <si>
    <t>POR TBL FLM 12</t>
  </si>
  <si>
    <t>Rifaximin</t>
  </si>
  <si>
    <t>44285</t>
  </si>
  <si>
    <t>NORMIX</t>
  </si>
  <si>
    <t>POR TBL FLM 12X200MG</t>
  </si>
  <si>
    <t>Různé jiné kombinace železa</t>
  </si>
  <si>
    <t>119653</t>
  </si>
  <si>
    <t>SORBIFER DURULES</t>
  </si>
  <si>
    <t>POR TBL FLM 60X100MG</t>
  </si>
  <si>
    <t>Kyselina acetylsalicylová</t>
  </si>
  <si>
    <t>155782</t>
  </si>
  <si>
    <t>GODASAL 100</t>
  </si>
  <si>
    <t>POR TBL NOB 100</t>
  </si>
  <si>
    <t>Rosuvastatin</t>
  </si>
  <si>
    <t>148070</t>
  </si>
  <si>
    <t>ROSUCARD 10 MG POTAHOVANÉ TABLETY</t>
  </si>
  <si>
    <t>POR TBL FLM 90X10MG</t>
  </si>
  <si>
    <t>Amlodipin</t>
  </si>
  <si>
    <t>150797</t>
  </si>
  <si>
    <t>AMLOZEK 10</t>
  </si>
  <si>
    <t>POR TBL NOB 90X10MG</t>
  </si>
  <si>
    <t>Amoxicilin a enzymový inhibitor</t>
  </si>
  <si>
    <t>5951</t>
  </si>
  <si>
    <t>AMOKSIKLAV 1 G</t>
  </si>
  <si>
    <t>POR TBL FLM 14X1GM</t>
  </si>
  <si>
    <t>Azithromycin</t>
  </si>
  <si>
    <t>45010</t>
  </si>
  <si>
    <t>AZITROMYCIN SANDOZ 500 MG</t>
  </si>
  <si>
    <t>POR TBL FLM 3X500MG</t>
  </si>
  <si>
    <t>Diklofenak</t>
  </si>
  <si>
    <t>119672</t>
  </si>
  <si>
    <t>DICLOFENAC DUO PHARMASWISS 75 MG</t>
  </si>
  <si>
    <t>POR CPS RDR 30X75MG</t>
  </si>
  <si>
    <t>Hydroxyzin</t>
  </si>
  <si>
    <t>85060</t>
  </si>
  <si>
    <t>ATARAX</t>
  </si>
  <si>
    <t>POR TBL FLM 25X25MG</t>
  </si>
  <si>
    <t>Indapamid</t>
  </si>
  <si>
    <t>151949</t>
  </si>
  <si>
    <t>INDAP</t>
  </si>
  <si>
    <t>POR CPS DUR 100X2.5MG</t>
  </si>
  <si>
    <t>96696</t>
  </si>
  <si>
    <t>POR CPS DUR 30X2.5MG</t>
  </si>
  <si>
    <t>Losartan</t>
  </si>
  <si>
    <t>13892</t>
  </si>
  <si>
    <t>LOZAP 50 ZENTIVA</t>
  </si>
  <si>
    <t>POR TBL FLM 30X50MG</t>
  </si>
  <si>
    <t>13894</t>
  </si>
  <si>
    <t>POR TBL FLM 90X50MG</t>
  </si>
  <si>
    <t>Pitofenon a analgetika</t>
  </si>
  <si>
    <t>176954</t>
  </si>
  <si>
    <t>ALGIFEN NEO</t>
  </si>
  <si>
    <t>POR GTT SOL 1X50ML</t>
  </si>
  <si>
    <t>Ramipril a diuretika</t>
  </si>
  <si>
    <t>125099</t>
  </si>
  <si>
    <t>TRITAZIDE 5 MG/25 MG</t>
  </si>
  <si>
    <t>POR TBL NOB 28</t>
  </si>
  <si>
    <t>Sulodexid</t>
  </si>
  <si>
    <t>96118</t>
  </si>
  <si>
    <t>VESSEL DUE F</t>
  </si>
  <si>
    <t>POR CPS MOL 50X250LSU</t>
  </si>
  <si>
    <t>Zolpidem</t>
  </si>
  <si>
    <t>163145</t>
  </si>
  <si>
    <t>HYPNOGEN</t>
  </si>
  <si>
    <t>POR TBL FLM 30X10MG</t>
  </si>
  <si>
    <t>Atorvastatin</t>
  </si>
  <si>
    <t>93019</t>
  </si>
  <si>
    <t>SORTIS 40 MG</t>
  </si>
  <si>
    <t>POR TBL FLM 30X40MG</t>
  </si>
  <si>
    <t>Erdostein</t>
  </si>
  <si>
    <t>95560</t>
  </si>
  <si>
    <t>ERDOMED</t>
  </si>
  <si>
    <t>POR CPS DUR 30X300MG</t>
  </si>
  <si>
    <t>Jiná</t>
  </si>
  <si>
    <t>132658</t>
  </si>
  <si>
    <t>Jiný</t>
  </si>
  <si>
    <t>Klarithromycin</t>
  </si>
  <si>
    <t>53853</t>
  </si>
  <si>
    <t>KLACID 500</t>
  </si>
  <si>
    <t>POR TBL FLM 14X500MG</t>
  </si>
  <si>
    <t>Klopidogrel</t>
  </si>
  <si>
    <t>TROMBEX 75 MG POTAHOVANÉ TABLETY</t>
  </si>
  <si>
    <t>POR TBL FLM 90X75MG</t>
  </si>
  <si>
    <t>Levothyroxin, sodná sůl</t>
  </si>
  <si>
    <t>47141</t>
  </si>
  <si>
    <t>LETROX 50</t>
  </si>
  <si>
    <t>POR TBL NOB 100X50RG I</t>
  </si>
  <si>
    <t>Nifuroxazid</t>
  </si>
  <si>
    <t>46405</t>
  </si>
  <si>
    <t>ERCEFURYL 200 MG CPS.</t>
  </si>
  <si>
    <t>POR CPS DUR 14X200MG</t>
  </si>
  <si>
    <t>Telmisartan</t>
  </si>
  <si>
    <t>167670</t>
  </si>
  <si>
    <t>TOLURA 40 MG</t>
  </si>
  <si>
    <t>POR TBL NOB 90X40MG</t>
  </si>
  <si>
    <t>16286</t>
  </si>
  <si>
    <t>STILNOX</t>
  </si>
  <si>
    <t>POR TBL FLM 20X10MG</t>
  </si>
  <si>
    <t>75632</t>
  </si>
  <si>
    <t>DICLOFENAC AL RETARD</t>
  </si>
  <si>
    <t>POR TBL RET 50X100MG</t>
  </si>
  <si>
    <t>75633</t>
  </si>
  <si>
    <t>POR TBL RET 100X100MG</t>
  </si>
  <si>
    <t>Metformin</t>
  </si>
  <si>
    <t>122136</t>
  </si>
  <si>
    <t>METFIREX 1 G</t>
  </si>
  <si>
    <t>POR TBL FLM 60X1000MG</t>
  </si>
  <si>
    <t>Methylprednisolon</t>
  </si>
  <si>
    <t>40368</t>
  </si>
  <si>
    <t>MEDROL 4 MG</t>
  </si>
  <si>
    <t>POR TBL NOB 30X4MG</t>
  </si>
  <si>
    <t>Metoprolol</t>
  </si>
  <si>
    <t>46980</t>
  </si>
  <si>
    <t>BETALOC SR 200 MG</t>
  </si>
  <si>
    <t>POR TBL PRO 100X200MG</t>
  </si>
  <si>
    <t>12891</t>
  </si>
  <si>
    <t>POR TBL NOB 15X100MG</t>
  </si>
  <si>
    <t>Sumatriptan</t>
  </si>
  <si>
    <t>14786</t>
  </si>
  <si>
    <t>ROSEMIG 100 MG</t>
  </si>
  <si>
    <t>POR TBL FLM 2X100MG</t>
  </si>
  <si>
    <t>Telmisartan a diuretika</t>
  </si>
  <si>
    <t>26578</t>
  </si>
  <si>
    <t>MICARDISPLUS 80/12,5 MG</t>
  </si>
  <si>
    <t>Antitusika a expektorancia</t>
  </si>
  <si>
    <t>95459</t>
  </si>
  <si>
    <t>STOPTUSSIN TABLETY</t>
  </si>
  <si>
    <t>POR TBL NOB 20</t>
  </si>
  <si>
    <t>Diosmin, kombinace</t>
  </si>
  <si>
    <t>201992</t>
  </si>
  <si>
    <t>DETRALEX</t>
  </si>
  <si>
    <t>POR TBL FLM 120X500MG</t>
  </si>
  <si>
    <t>Estradiol</t>
  </si>
  <si>
    <t>53797</t>
  </si>
  <si>
    <t>ESTROFEM 1 MG</t>
  </si>
  <si>
    <t>POR TBL FLM 28X1MG</t>
  </si>
  <si>
    <t>48261</t>
  </si>
  <si>
    <t>PLV ADS 1X20GM</t>
  </si>
  <si>
    <t>Levocetirizin</t>
  </si>
  <si>
    <t>124346</t>
  </si>
  <si>
    <t>CEZERA 5 MG</t>
  </si>
  <si>
    <t>POR TBL FLM 90X5MG</t>
  </si>
  <si>
    <t>13888</t>
  </si>
  <si>
    <t>LOZAP 12,5 ZENTIVA</t>
  </si>
  <si>
    <t>POR TBL FLM 90X12.5MG</t>
  </si>
  <si>
    <t>12894</t>
  </si>
  <si>
    <t>POR GRA SUS 15SÁČ I</t>
  </si>
  <si>
    <t>Ramipril</t>
  </si>
  <si>
    <t>56977</t>
  </si>
  <si>
    <t>TRITACE 2,5 MG</t>
  </si>
  <si>
    <t>POR TBL NOB 30X2.5MG</t>
  </si>
  <si>
    <t>Ranitidin</t>
  </si>
  <si>
    <t>91280</t>
  </si>
  <si>
    <t>RANITAL 150 MG POTAHOVANÉ TABLETY</t>
  </si>
  <si>
    <t>POR TBL FLM 30X150MG</t>
  </si>
  <si>
    <t>146891</t>
  </si>
  <si>
    <t>ZOLPIDEM MYLAN</t>
  </si>
  <si>
    <t>POR TBL FLM 14X10MG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</si>
  <si>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</si>
  <si>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</si>
  <si>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</si>
  <si>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C09BA05 - Ramipril a diuretika</t>
  </si>
  <si>
    <t>C09CA07 - Telmisartan</t>
  </si>
  <si>
    <t>C07AB02 - Metoprolol</t>
  </si>
  <si>
    <t>H03AA01 - Levothyroxin, sodná sůl</t>
  </si>
  <si>
    <t>C10AA07 - Rosuvastatin</t>
  </si>
  <si>
    <t>J01FA09 - Klarithromycin</t>
  </si>
  <si>
    <t>M01AX17 - Nimesulid</t>
  </si>
  <si>
    <t>C09AA05 - Ramipril</t>
  </si>
  <si>
    <t>H02AB04 - Methylprednisolon</t>
  </si>
  <si>
    <t>A10BA02 - Metformin</t>
  </si>
  <si>
    <t>J01CR02 - Amoxicilin a enzymový inhibitor</t>
  </si>
  <si>
    <t>C09CA01 - Losartan</t>
  </si>
  <si>
    <t>J01FA10 - Azithromycin</t>
  </si>
  <si>
    <t>N02CC01 - Sumatriptan</t>
  </si>
  <si>
    <t>B01AC04 - Klopidogrel</t>
  </si>
  <si>
    <t>R06AE09 - Levocetirizin</t>
  </si>
  <si>
    <t>A02BA02 - Ranitidin</t>
  </si>
  <si>
    <t>C10AA05 - Atorvastatin</t>
  </si>
  <si>
    <t>M01AX17</t>
  </si>
  <si>
    <t>C10AA07</t>
  </si>
  <si>
    <t>C09BA05</t>
  </si>
  <si>
    <t>C09CA01</t>
  </si>
  <si>
    <t>J01CR02</t>
  </si>
  <si>
    <t>J01FA10</t>
  </si>
  <si>
    <t>B01AC04</t>
  </si>
  <si>
    <t>C09CA07</t>
  </si>
  <si>
    <t>C10AA05</t>
  </si>
  <si>
    <t>H03AA01</t>
  </si>
  <si>
    <t>J01FA09</t>
  </si>
  <si>
    <t>A10BA02</t>
  </si>
  <si>
    <t>C07AB02</t>
  </si>
  <si>
    <t>H02AB04</t>
  </si>
  <si>
    <t>N02CC01</t>
  </si>
  <si>
    <t>A02BA02</t>
  </si>
  <si>
    <t>C09AA05</t>
  </si>
  <si>
    <t>R06AE09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</si>
  <si>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</si>
  <si>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</si>
  <si>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</si>
  <si>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</si>
  <si>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</si>
  <si>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</si>
  <si>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ZA446</t>
  </si>
  <si>
    <t>Vata buničitá přířezy 20 x 30 cm 1230200129</t>
  </si>
  <si>
    <t>ZB404</t>
  </si>
  <si>
    <t>Náplast cosmos 8 cm x 1m 5403353</t>
  </si>
  <si>
    <t>ZC100</t>
  </si>
  <si>
    <t>Vata buničitá dělená 2 role / 500 ks 40 x 50 mm 1230200310</t>
  </si>
  <si>
    <t>ZA762</t>
  </si>
  <si>
    <t>Pohár na moč 100 ml UH 712252</t>
  </si>
  <si>
    <t>ZA788</t>
  </si>
  <si>
    <t>Stříkačka injekční 2-dílná 20 ml L Inject Solo 4606205V</t>
  </si>
  <si>
    <t>ZB756</t>
  </si>
  <si>
    <t>Zkumavka 3 ml K3 edta fialová 454086</t>
  </si>
  <si>
    <t>ZB759</t>
  </si>
  <si>
    <t>Zkumavka červená 8 ml gel 455071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</si>
  <si>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</si>
  <si>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</si>
  <si>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</si>
  <si>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</si>
  <si>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</si>
  <si>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</si>
  <si>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</si>
  <si>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</si>
  <si>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ZB776</t>
  </si>
  <si>
    <t>Zkumavka zelená 3 ml 454082</t>
  </si>
  <si>
    <t>ZB777</t>
  </si>
  <si>
    <t>Zkumavka červená 4 ml gel 454071</t>
  </si>
  <si>
    <t>ZD903</t>
  </si>
  <si>
    <t>Kontejner+lopatka 30 ml nesterilní 331690251330</t>
  </si>
  <si>
    <t>ZF159</t>
  </si>
  <si>
    <t>Nádoba na kontaminovaný odpad 1 l 15-0002</t>
  </si>
  <si>
    <t>ZG515</t>
  </si>
  <si>
    <t>Zkumavka močová vacuette 10,5 ml bal. á 50 ks 331980455007</t>
  </si>
  <si>
    <t>ZI179</t>
  </si>
  <si>
    <t>Zkumavka s mediem+ flovakovaný tampon eSwab růžový 490CE.A</t>
  </si>
  <si>
    <t>ZB268</t>
  </si>
  <si>
    <t>Stojan sedimentační 836 072</t>
  </si>
  <si>
    <t>ZG466</t>
  </si>
  <si>
    <t>Náústek pro spirometr 26/24 flowscreen bal. á 100 ks 400847690</t>
  </si>
  <si>
    <t>ZA715</t>
  </si>
  <si>
    <t>Set infuzní intrafix 4062957</t>
  </si>
  <si>
    <t>Set infuzní intrafix primeline classic 150 cm 4062957</t>
  </si>
  <si>
    <t>ZA360</t>
  </si>
  <si>
    <t>Jehla sterican 0,5 x 25 mm oranžová 9186158</t>
  </si>
  <si>
    <t>ZB768</t>
  </si>
  <si>
    <t>Jehla vakuová 216/38 mm zelená 450076</t>
  </si>
  <si>
    <t>ZL949</t>
  </si>
  <si>
    <t>Rukavice nitril promedica bez p. L bílé 6N á 100 ks 9399W4</t>
  </si>
  <si>
    <t>DG211</t>
  </si>
  <si>
    <t>HEPTAPHAN, DIAG.PROUZKY 50 ks</t>
  </si>
  <si>
    <t>ZH011</t>
  </si>
  <si>
    <t>Náplast micropore 1,25 cm x 9,14 m bal. á 24 ks 1530-0</t>
  </si>
  <si>
    <t>ZL684</t>
  </si>
  <si>
    <t>Náplast santiband standard poinjekční jednotl. baleno 19 mm x 72 mm 652</t>
  </si>
  <si>
    <t>ZL790</t>
  </si>
  <si>
    <t>Obvaz sterilní hotový č. 3 A4101144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</si>
  <si>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</si>
  <si>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</si>
  <si>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</si>
  <si>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</si>
  <si>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</si>
  <si>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</si>
  <si>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ZA727</t>
  </si>
  <si>
    <t>Kontejner 30 ml sterilní 331690251750</t>
  </si>
  <si>
    <t>ZA728</t>
  </si>
  <si>
    <t>Lopatka lékařská nesterilní 1320100655</t>
  </si>
  <si>
    <t>ZB724</t>
  </si>
  <si>
    <t>Kapilára sedimentační kalibrovaná 727111</t>
  </si>
  <si>
    <t>ZB754</t>
  </si>
  <si>
    <t>Zkumavka černá 2 ml 454073</t>
  </si>
  <si>
    <t>ZB761</t>
  </si>
  <si>
    <t>Zkumavka červená 4 ml 454092</t>
  </si>
  <si>
    <t>ZM293</t>
  </si>
  <si>
    <t>Rukavice nitril sempercare bez p. L bal. á 200 ks 30 804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</si>
  <si>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</si>
  <si>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</si>
  <si>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</si>
  <si>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</si>
  <si>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</si>
  <si>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</si>
  <si>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</si>
  <si>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</si>
  <si>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</si>
  <si>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</si>
  <si>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</si>
  <si>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</si>
  <si>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PRAC,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</si>
  <si>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</si>
  <si>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</si>
  <si>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</si>
  <si>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</si>
  <si>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</si>
  <si>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</si>
  <si>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</si>
  <si>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</si>
  <si>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</si>
  <si>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</si>
  <si>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</si>
  <si>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</si>
  <si>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</si>
  <si>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</si>
  <si>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</si>
  <si>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NATRIUM SALICYLICUM BIOTIKA</t>
  </si>
  <si>
    <t>0007981</t>
  </si>
  <si>
    <t>NOVALGIN INJEKCE</t>
  </si>
  <si>
    <t>0058249</t>
  </si>
  <si>
    <t>GUAJACURAN 5%</t>
  </si>
  <si>
    <t>0058712</t>
  </si>
  <si>
    <t>INFUSIO NATRII CHLORATI ISOTONICA MEDIEKOS F 1/1</t>
  </si>
  <si>
    <t>0083947</t>
  </si>
  <si>
    <t>0089212</t>
  </si>
  <si>
    <t>INJECTIO PROCAINII CHLORATI 0,2% ARDEAPHARMA</t>
  </si>
  <si>
    <t>0091775</t>
  </si>
  <si>
    <t>ENGERIX-B 20 MCG</t>
  </si>
  <si>
    <t>V</t>
  </si>
  <si>
    <t>01195</t>
  </si>
  <si>
    <t>02110</t>
  </si>
  <si>
    <t>02130</t>
  </si>
  <si>
    <t>OČKOVÁNÍ V PŘÍPADECH, KDY OČKOVACÍ LÁTKA JE HRAZEN</t>
  </si>
  <si>
    <t>02156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</si>
  <si>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</si>
  <si>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</si>
  <si>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</si>
  <si>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</si>
  <si>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</si>
  <si>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</si>
  <si>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</si>
  <si>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</si>
  <si>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</si>
  <si>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</si>
  <si>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</si>
  <si>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</si>
  <si>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12230</t>
  </si>
  <si>
    <t>PLETYSMOGRAFICKÉ METODY JEDNODUCHÉ (NA JEDNÉ KONČE</t>
  </si>
  <si>
    <t>21115</t>
  </si>
  <si>
    <t>FYZIKÁLNÍ TERAPIE III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</si>
  <si>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</si>
  <si>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</si>
  <si>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</si>
  <si>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</si>
  <si>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</si>
  <si>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</si>
  <si>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</si>
  <si>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</si>
  <si>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</si>
  <si>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</si>
  <si>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</si>
  <si>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</si>
  <si>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</si>
  <si>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</si>
  <si>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</si>
  <si>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</si>
  <si>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</si>
  <si>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</si>
  <si>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</si>
  <si>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</si>
  <si>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</si>
  <si>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</si>
  <si>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</si>
  <si>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</si>
  <si>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</si>
  <si>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</si>
  <si>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</si>
  <si>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</si>
  <si>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</si>
  <si>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 xml:space="preserve">PLETYSMOGRAFICKÉ METODY ZÁTĚŽOVÉ A SLOŽITĚJŠÍ (NA </t>
  </si>
  <si>
    <t>41021</t>
  </si>
  <si>
    <t>KOMPLEXNÍ VYŠETŘENÍ PRACOVNÍM LÉKAŘEM</t>
  </si>
  <si>
    <t>41040</t>
  </si>
  <si>
    <t>POSOUZENÍ ZDRAVOTNÍHO STAVU Z HLEDISKA PROFESIONÁL</t>
  </si>
  <si>
    <t>01193</t>
  </si>
  <si>
    <t>902</t>
  </si>
  <si>
    <t>Zdravotní výkony + ZUM + ZULP vykázané na pracovišti v rámci ambulantní péče - orientační přehled</t>
  </si>
  <si>
    <t>03 - III. interní klinika - nefrologická, revmatologická a endokrinologická</t>
  </si>
  <si>
    <t>05 - II. chirurgická klinika - cévně-transplantační</t>
  </si>
  <si>
    <t>16 - Klinika plicních nemocí a tuberkulózy</t>
  </si>
  <si>
    <t>17 - Neurologická klinika</t>
  </si>
  <si>
    <t>19 - Klinika pracovního lékařství</t>
  </si>
  <si>
    <t>03</t>
  </si>
  <si>
    <t>05</t>
  </si>
  <si>
    <t>16</t>
  </si>
  <si>
    <t>17</t>
  </si>
  <si>
    <t>4F1</t>
  </si>
  <si>
    <t>00601</t>
  </si>
  <si>
    <t>OD TYPU 01 - PRO NEMOCNICE TYPU 3, (KATEGORIE 6)</t>
  </si>
  <si>
    <t>00880</t>
  </si>
  <si>
    <t>ROZLIŠENÍ VYKÁZANÉ HOSPITALIZACE JAKO: = NOVÁ HOSP</t>
  </si>
  <si>
    <t>09544</t>
  </si>
  <si>
    <t>REGULAČNÍ POPLATEK ZA KAŽDÝ DEN LŮŽKOVÉ PÉČE -- PO</t>
  </si>
  <si>
    <t>Zdravotní výkony vykázané na pracovišti pro pacienty hospitalizované ve FNOL - orientační přehled</t>
  </si>
  <si>
    <t>22 - Klinika nukleární medicíny</t>
  </si>
  <si>
    <t>32 - Hemato-onkologická klinika</t>
  </si>
  <si>
    <t>33 - Oddělení klinické biochemie</t>
  </si>
  <si>
    <t>40 - Ústav mikrobiologie</t>
  </si>
  <si>
    <t>41 - Ústav imunologie</t>
  </si>
  <si>
    <t>37 - Ústav klinické a molekulární patologie</t>
  </si>
  <si>
    <t>35 - Transfuzní oddělení</t>
  </si>
  <si>
    <t>34 - Radiologická klinika</t>
  </si>
  <si>
    <t>22</t>
  </si>
  <si>
    <t>407</t>
  </si>
  <si>
    <t>2</t>
  </si>
  <si>
    <t>0002087</t>
  </si>
  <si>
    <t>32</t>
  </si>
  <si>
    <t>818</t>
  </si>
  <si>
    <t>96167</t>
  </si>
  <si>
    <t>KREVNÍ OBRAZ S PĚTI POPULAČNÍM DIFERENCIÁLNÍM POČT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</si>
  <si>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</si>
  <si>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</si>
  <si>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</si>
  <si>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</si>
  <si>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</si>
  <si>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</si>
  <si>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96315</t>
  </si>
  <si>
    <t>ANALÝZA KREVNÍHO NÁTĚRU PANOPTICKY OBARVENÉHO. IND</t>
  </si>
  <si>
    <t>96325</t>
  </si>
  <si>
    <t>FIBRINOGEN (SÉRIE)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</si>
  <si>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</si>
  <si>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</si>
  <si>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</si>
  <si>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</si>
  <si>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</si>
  <si>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</si>
  <si>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</si>
  <si>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</si>
  <si>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</si>
  <si>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</si>
  <si>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</si>
  <si>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</si>
  <si>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</si>
  <si>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</si>
  <si>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</si>
  <si>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</si>
  <si>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</si>
  <si>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</si>
  <si>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</si>
  <si>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</si>
  <si>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</si>
  <si>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</si>
  <si>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</si>
  <si>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</si>
  <si>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</si>
  <si>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</si>
  <si>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</si>
  <si>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</si>
  <si>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</si>
  <si>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</si>
  <si>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91397</t>
  </si>
  <si>
    <t>ELEKTROFORESA S NÁSLEDNOU IMUNOFIXACÍ (KOMPLEX - I</t>
  </si>
  <si>
    <t>91495</t>
  </si>
  <si>
    <t>AUTOPROTILÁTKY PROTI GAD</t>
  </si>
  <si>
    <t>93161</t>
  </si>
  <si>
    <t>INZULÍN</t>
  </si>
  <si>
    <t>93187</t>
  </si>
  <si>
    <t>TYROXIN CELKOVÝ (TT4)</t>
  </si>
  <si>
    <t>81135</t>
  </si>
  <si>
    <t>SODÍK STATIM</t>
  </si>
  <si>
    <t>81473</t>
  </si>
  <si>
    <t>CHOLESTEROL HDL</t>
  </si>
  <si>
    <t>93189</t>
  </si>
  <si>
    <t>TYROXIN VOLNÝ (FT4)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</si>
  <si>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</si>
  <si>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</si>
  <si>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</si>
  <si>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</si>
  <si>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</si>
  <si>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</si>
  <si>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</si>
  <si>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</si>
  <si>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</si>
  <si>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</si>
  <si>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</si>
  <si>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</si>
  <si>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</si>
  <si>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</si>
  <si>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81495</t>
  </si>
  <si>
    <t>KREATINKINÁZA (CK)</t>
  </si>
  <si>
    <t>81449</t>
  </si>
  <si>
    <t>GLYKOVANÝ HEMOGLOBIN</t>
  </si>
  <si>
    <t>81173</t>
  </si>
  <si>
    <t>LIPÁZA STATIM</t>
  </si>
  <si>
    <t>93195</t>
  </si>
  <si>
    <t>TYREOTROPIN (TSH)</t>
  </si>
  <si>
    <t>81329</t>
  </si>
  <si>
    <t>ALBUMIN (SÉRUM)</t>
  </si>
  <si>
    <t>81345</t>
  </si>
  <si>
    <t>AMYLÁZA</t>
  </si>
  <si>
    <t>81155</t>
  </si>
  <si>
    <t>GLUKÓZA KVANTITATIVNÍ STANOVENÍ STATIM</t>
  </si>
  <si>
    <t>81625</t>
  </si>
  <si>
    <t>VÁPNÍK CELKOVÝ</t>
  </si>
  <si>
    <t>81465</t>
  </si>
  <si>
    <t>HOŘČÍK</t>
  </si>
  <si>
    <t>93263</t>
  </si>
  <si>
    <t>KARBOHYDRÁT-DEFICIENTNÍ TRANSFERIN (CDT)</t>
  </si>
  <si>
    <t>81369</t>
  </si>
  <si>
    <t>BÍLKOVINA KVANTITATIVNĚ (MOČ, MOZKOM. MOK, VÝPOTEK</t>
  </si>
  <si>
    <t>93145</t>
  </si>
  <si>
    <t>C-PEPTID</t>
  </si>
  <si>
    <t>81355</t>
  </si>
  <si>
    <t>APOLIPOPROTEINY AI NEBO B</t>
  </si>
  <si>
    <t>81375</t>
  </si>
  <si>
    <t>KRYOGLOBULINY KVANTITATIVNĚ</t>
  </si>
  <si>
    <t>81443</t>
  </si>
  <si>
    <t>GLUKOZOVÝ TOLERANČNÍ TEST (WHO)</t>
  </si>
  <si>
    <t>34</t>
  </si>
  <si>
    <t>809</t>
  </si>
  <si>
    <t>0077019</t>
  </si>
  <si>
    <t>ULTRAVIST 370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</si>
  <si>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</si>
  <si>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</si>
  <si>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</si>
  <si>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</si>
  <si>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</si>
  <si>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</si>
  <si>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89127</t>
  </si>
  <si>
    <t>RTG KOSTÍ A KLOUBŮ KONČETIN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</si>
  <si>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</si>
  <si>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</si>
  <si>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</si>
  <si>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</si>
  <si>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</si>
  <si>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</si>
  <si>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</si>
  <si>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</si>
  <si>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</si>
  <si>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</si>
  <si>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89611</t>
  </si>
  <si>
    <t>CT VYŠETŘENÍ HLAVY NEBO TĚLA NATIVNÍ A KONTRASTNÍ</t>
  </si>
  <si>
    <t>35</t>
  </si>
  <si>
    <t>222</t>
  </si>
  <si>
    <t>22219</t>
  </si>
  <si>
    <t>SCREENING ANTIERYTROCYTÁRNÍCH PROTILÁTEK - V SÉRII</t>
  </si>
  <si>
    <t>22339</t>
  </si>
  <si>
    <t>TITRACE ANTIERYTROCYTÁRNÍCH PROTILÁTEK</t>
  </si>
  <si>
    <t>22131</t>
  </si>
  <si>
    <t>VYŠETŘENÍ CHLADOVÝCH AGLUTININŮ</t>
  </si>
  <si>
    <t>22341</t>
  </si>
  <si>
    <t>IDENTIFIKACE ANTIERYTROCYTÁRNÍCH PROTILÁTEK - ZKUM</t>
  </si>
  <si>
    <t>37</t>
  </si>
  <si>
    <t>807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</si>
  <si>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</si>
  <si>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</si>
  <si>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</si>
  <si>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</si>
  <si>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</si>
  <si>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</si>
  <si>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40</t>
  </si>
  <si>
    <t>802</t>
  </si>
  <si>
    <t>82057</t>
  </si>
  <si>
    <t>IDENTIFIKACE KMENE ORIENTAČNÍ JEDNODUCHÝM TESTEM</t>
  </si>
  <si>
    <t>82087</t>
  </si>
  <si>
    <t>STANOVENÍ PROTILÁTEK AGLUTINACÍ</t>
  </si>
  <si>
    <t>82065</t>
  </si>
  <si>
    <t>STANOVENÍ CITLIVOSTI NA ATB KVANTITATIVNÍ METODOU</t>
  </si>
  <si>
    <t>82079</t>
  </si>
  <si>
    <t>STANOVENÍ PROTILÁTEK PROTI ANTIGENŮM VIRŮ (MIMO VI</t>
  </si>
  <si>
    <t>91399</t>
  </si>
  <si>
    <t>CHARAKTERISTIKA ANTIGENŮ A PROTILÁTEK ELEKTROFORÉZ</t>
  </si>
  <si>
    <t>41</t>
  </si>
  <si>
    <t>813</t>
  </si>
  <si>
    <t>86217</t>
  </si>
  <si>
    <t>URČOVÁNÍ HLA-B 27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</si>
  <si>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</si>
  <si>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</si>
  <si>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</si>
  <si>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</si>
  <si>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</si>
  <si>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</si>
  <si>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</si>
  <si>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</si>
  <si>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91501</t>
  </si>
  <si>
    <t>STANOVENÍ HLADIN REVMATOIDNÍHO FAKTORU (RF) NEFELO</t>
  </si>
  <si>
    <t>91355</t>
  </si>
  <si>
    <t>STANOVENÍ CIK METODOU PEG-IKEM</t>
  </si>
  <si>
    <t>91289</t>
  </si>
  <si>
    <t>STANOVENÍ REVMATOIDNÍHO FAKTORU IgA ELISA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</si>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</sst>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88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2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2" fontId="29" fillId="3" borderId="26" xfId="81" applyNumberFormat="1" applyFont="1" applyFill="1" applyBorder="1"/>
    <xf numFmtId="172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5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6" xfId="53" applyFont="1" applyFill="1" applyBorder="1" applyAlignment="1">
      <alignment horizontal="right"/>
    </xf>
    <xf numFmtId="9" fontId="3" fillId="0" borderId="67" xfId="53" applyNumberFormat="1" applyFont="1" applyFill="1" applyBorder="1"/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170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5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8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0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0" fontId="46" fillId="2" borderId="33" xfId="1" applyFont="1" applyFill="1" applyBorder="1" applyAlignment="1">
      <alignment horizontal="left" indent="4"/>
    </xf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0" fillId="4" borderId="56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wrapText="1" indent="2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70" fontId="40" fillId="0" borderId="18" xfId="0" applyNumberFormat="1" applyFont="1" applyFill="1" applyBorder="1" applyAlignment="1"/>
    <xf numFmtId="170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4" fontId="40" fillId="4" borderId="85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4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91" xfId="0" applyNumberFormat="1" applyFont="1" applyBorder="1"/>
    <xf numFmtId="174" fontId="33" fillId="0" borderId="89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82" xfId="0" applyNumberFormat="1" applyFont="1" applyBorder="1"/>
    <xf numFmtId="174" fontId="40" fillId="2" borderId="100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2" borderId="79" xfId="0" applyNumberFormat="1" applyFont="1" applyFill="1" applyBorder="1" applyAlignment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174" fontId="40" fillId="0" borderId="85" xfId="0" applyNumberFormat="1" applyFont="1" applyBorder="1"/>
    <xf numFmtId="174" fontId="33" fillId="0" borderId="101" xfId="0" applyNumberFormat="1" applyFont="1" applyBorder="1"/>
    <xf numFmtId="174" fontId="33" fillId="0" borderId="79" xfId="0" applyNumberFormat="1" applyFont="1" applyBorder="1"/>
    <xf numFmtId="175" fontId="40" fillId="2" borderId="85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33" fillId="2" borderId="79" xfId="0" applyNumberFormat="1" applyFont="1" applyFill="1" applyBorder="1" applyAlignment="1"/>
    <xf numFmtId="175" fontId="40" fillId="0" borderId="87" xfId="0" applyNumberFormat="1" applyFont="1" applyBorder="1"/>
    <xf numFmtId="175" fontId="33" fillId="0" borderId="88" xfId="0" applyNumberFormat="1" applyFont="1" applyBorder="1"/>
    <xf numFmtId="175" fontId="33" fillId="0" borderId="89" xfId="0" applyNumberFormat="1" applyFont="1" applyBorder="1"/>
    <xf numFmtId="175" fontId="33" fillId="0" borderId="91" xfId="0" applyNumberFormat="1" applyFont="1" applyBorder="1"/>
    <xf numFmtId="175" fontId="40" fillId="0" borderId="93" xfId="0" applyNumberFormat="1" applyFont="1" applyBorder="1"/>
    <xf numFmtId="175" fontId="33" fillId="0" borderId="94" xfId="0" applyNumberFormat="1" applyFont="1" applyBorder="1"/>
    <xf numFmtId="175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5" xfId="0" applyNumberFormat="1" applyFont="1" applyFill="1" applyBorder="1" applyAlignment="1">
      <alignment horizontal="center"/>
    </xf>
    <xf numFmtId="176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3" xfId="53" applyNumberFormat="1" applyFont="1" applyFill="1" applyBorder="1" applyAlignment="1">
      <alignment horizontal="right"/>
    </xf>
    <xf numFmtId="165" fontId="30" fillId="2" borderId="28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49" fontId="32" fillId="2" borderId="2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4" fillId="2" borderId="49" xfId="0" applyNumberFormat="1" applyFont="1" applyFill="1" applyBorder="1" applyAlignment="1">
      <alignment horizontal="center" vertical="top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0" fontId="44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vertical="center" wrapText="1"/>
    </xf>
    <xf numFmtId="3" fontId="34" fillId="9" borderId="111" xfId="0" applyNumberFormat="1" applyFont="1" applyFill="1" applyBorder="1" applyAlignment="1">
      <alignment horizontal="right" vertical="top"/>
    </xf>
    <xf numFmtId="3" fontId="34" fillId="9" borderId="112" xfId="0" applyNumberFormat="1" applyFont="1" applyFill="1" applyBorder="1" applyAlignment="1">
      <alignment horizontal="right" vertical="top"/>
    </xf>
    <xf numFmtId="177" fontId="34" fillId="9" borderId="113" xfId="0" applyNumberFormat="1" applyFont="1" applyFill="1" applyBorder="1" applyAlignment="1">
      <alignment horizontal="right" vertical="top"/>
    </xf>
    <xf numFmtId="3" fontId="34" fillId="0" borderId="111" xfId="0" applyNumberFormat="1" applyFont="1" applyBorder="1" applyAlignment="1">
      <alignment horizontal="right" vertical="top"/>
    </xf>
    <xf numFmtId="177" fontId="34" fillId="9" borderId="114" xfId="0" applyNumberFormat="1" applyFont="1" applyFill="1" applyBorder="1" applyAlignment="1">
      <alignment horizontal="right" vertical="top"/>
    </xf>
    <xf numFmtId="3" fontId="36" fillId="9" borderId="116" xfId="0" applyNumberFormat="1" applyFont="1" applyFill="1" applyBorder="1" applyAlignment="1">
      <alignment horizontal="right" vertical="top"/>
    </xf>
    <xf numFmtId="3" fontId="36" fillId="9" borderId="117" xfId="0" applyNumberFormat="1" applyFont="1" applyFill="1" applyBorder="1" applyAlignment="1">
      <alignment horizontal="right" vertical="top"/>
    </xf>
    <xf numFmtId="177" fontId="36" fillId="9" borderId="118" xfId="0" applyNumberFormat="1" applyFont="1" applyFill="1" applyBorder="1" applyAlignment="1">
      <alignment horizontal="right" vertical="top"/>
    </xf>
    <xf numFmtId="3" fontId="36" fillId="0" borderId="116" xfId="0" applyNumberFormat="1" applyFont="1" applyBorder="1" applyAlignment="1">
      <alignment horizontal="right" vertical="top"/>
    </xf>
    <xf numFmtId="177" fontId="36" fillId="9" borderId="119" xfId="0" applyNumberFormat="1" applyFont="1" applyFill="1" applyBorder="1" applyAlignment="1">
      <alignment horizontal="right" vertical="top"/>
    </xf>
    <xf numFmtId="0" fontId="34" fillId="9" borderId="113" xfId="0" applyFont="1" applyFill="1" applyBorder="1" applyAlignment="1">
      <alignment horizontal="right" vertical="top"/>
    </xf>
    <xf numFmtId="0" fontId="34" fillId="9" borderId="114" xfId="0" applyFont="1" applyFill="1" applyBorder="1" applyAlignment="1">
      <alignment horizontal="right" vertical="top"/>
    </xf>
    <xf numFmtId="0" fontId="36" fillId="9" borderId="118" xfId="0" applyFont="1" applyFill="1" applyBorder="1" applyAlignment="1">
      <alignment horizontal="right" vertical="top"/>
    </xf>
    <xf numFmtId="0" fontId="36" fillId="9" borderId="119" xfId="0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0" borderId="122" xfId="0" applyFont="1" applyBorder="1" applyAlignment="1">
      <alignment horizontal="right" vertical="top"/>
    </xf>
    <xf numFmtId="177" fontId="36" fillId="9" borderId="123" xfId="0" applyNumberFormat="1" applyFont="1" applyFill="1" applyBorder="1" applyAlignment="1">
      <alignment horizontal="right" vertical="top"/>
    </xf>
    <xf numFmtId="0" fontId="38" fillId="10" borderId="110" xfId="0" applyFont="1" applyFill="1" applyBorder="1" applyAlignment="1">
      <alignment vertical="top"/>
    </xf>
    <xf numFmtId="0" fontId="38" fillId="10" borderId="110" xfId="0" applyFont="1" applyFill="1" applyBorder="1" applyAlignment="1">
      <alignment vertical="top" indent="2"/>
    </xf>
    <xf numFmtId="0" fontId="38" fillId="10" borderId="110" xfId="0" applyFont="1" applyFill="1" applyBorder="1" applyAlignment="1">
      <alignment vertical="top" indent="4"/>
    </xf>
    <xf numFmtId="0" fontId="39" fillId="10" borderId="115" xfId="0" applyFont="1" applyFill="1" applyBorder="1" applyAlignment="1">
      <alignment vertical="top" indent="6"/>
    </xf>
    <xf numFmtId="0" fontId="38" fillId="10" borderId="110" xfId="0" applyFont="1" applyFill="1" applyBorder="1" applyAlignment="1">
      <alignment vertical="top" indent="8"/>
    </xf>
    <xf numFmtId="0" fontId="39" fillId="10" borderId="115" xfId="0" applyFont="1" applyFill="1" applyBorder="1" applyAlignment="1">
      <alignment vertical="top" indent="2"/>
    </xf>
    <xf numFmtId="0" fontId="38" fillId="10" borderId="110" xfId="0" applyFont="1" applyFill="1" applyBorder="1" applyAlignment="1">
      <alignment vertical="top" indent="6"/>
    </xf>
    <xf numFmtId="0" fontId="39" fillId="10" borderId="115" xfId="0" applyFont="1" applyFill="1" applyBorder="1" applyAlignment="1">
      <alignment vertical="top" indent="4"/>
    </xf>
    <xf numFmtId="0" fontId="39" fillId="10" borderId="115" xfId="0" applyFont="1" applyFill="1" applyBorder="1" applyAlignment="1">
      <alignment vertical="top"/>
    </xf>
    <xf numFmtId="0" fontId="33" fillId="10" borderId="110" xfId="0" applyFont="1" applyFill="1" applyBorder="1"/>
    <xf numFmtId="0" fontId="39" fillId="10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4" xfId="53" applyNumberFormat="1" applyFont="1" applyFill="1" applyBorder="1" applyAlignment="1">
      <alignment horizontal="left"/>
    </xf>
    <xf numFmtId="165" fontId="32" fillId="2" borderId="125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3" fontId="33" fillId="0" borderId="125" xfId="0" applyNumberFormat="1" applyFont="1" applyFill="1" applyBorder="1"/>
    <xf numFmtId="3" fontId="33" fillId="0" borderId="12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5" fontId="33" fillId="0" borderId="79" xfId="0" applyNumberFormat="1" applyFont="1" applyFill="1" applyBorder="1"/>
    <xf numFmtId="165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4" xfId="0" applyFont="1" applyFill="1" applyBorder="1"/>
    <xf numFmtId="3" fontId="40" fillId="2" borderId="126" xfId="0" applyNumberFormat="1" applyFont="1" applyFill="1" applyBorder="1"/>
    <xf numFmtId="9" fontId="40" fillId="2" borderId="73" xfId="0" applyNumberFormat="1" applyFont="1" applyFill="1" applyBorder="1"/>
    <xf numFmtId="3" fontId="40" fillId="2" borderId="65" xfId="0" applyNumberFormat="1" applyFont="1" applyFill="1" applyBorder="1"/>
    <xf numFmtId="9" fontId="33" fillId="0" borderId="125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8" xfId="0" applyFont="1" applyFill="1" applyBorder="1"/>
    <xf numFmtId="3" fontId="33" fillId="0" borderId="26" xfId="0" applyNumberFormat="1" applyFont="1" applyFill="1" applyBorder="1"/>
    <xf numFmtId="9" fontId="33" fillId="0" borderId="26" xfId="0" applyNumberFormat="1" applyFont="1" applyFill="1" applyBorder="1"/>
    <xf numFmtId="3" fontId="33" fillId="0" borderId="19" xfId="0" applyNumberFormat="1" applyFont="1" applyFill="1" applyBorder="1"/>
    <xf numFmtId="0" fontId="40" fillId="10" borderId="18" xfId="0" applyFont="1" applyFill="1" applyBorder="1"/>
    <xf numFmtId="3" fontId="40" fillId="10" borderId="26" xfId="0" applyNumberFormat="1" applyFont="1" applyFill="1" applyBorder="1"/>
    <xf numFmtId="9" fontId="40" fillId="10" borderId="26" xfId="0" applyNumberFormat="1" applyFont="1" applyFill="1" applyBorder="1"/>
    <xf numFmtId="3" fontId="40" fillId="10" borderId="19" xfId="0" applyNumberFormat="1" applyFont="1" applyFill="1" applyBorder="1"/>
    <xf numFmtId="0" fontId="40" fillId="0" borderId="124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125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0" fontId="33" fillId="0" borderId="109" xfId="0" applyFont="1" applyFill="1" applyBorder="1"/>
    <xf numFmtId="0" fontId="33" fillId="0" borderId="26" xfId="0" applyFont="1" applyFill="1" applyBorder="1"/>
    <xf numFmtId="9" fontId="30" fillId="0" borderId="0" xfId="0" applyNumberFormat="1" applyFont="1" applyFill="1" applyBorder="1"/>
    <xf numFmtId="0" fontId="3" fillId="2" borderId="124" xfId="79" applyFont="1" applyFill="1" applyBorder="1" applyAlignment="1">
      <alignment horizontal="left"/>
    </xf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3" fontId="3" fillId="2" borderId="95" xfId="80" applyNumberFormat="1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80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6" fontId="33" fillId="0" borderId="79" xfId="0" applyNumberFormat="1" applyFont="1" applyFill="1" applyBorder="1"/>
    <xf numFmtId="0" fontId="33" fillId="0" borderId="132" xfId="0" applyFont="1" applyFill="1" applyBorder="1"/>
    <xf numFmtId="0" fontId="33" fillId="0" borderId="133" xfId="0" applyFont="1" applyFill="1" applyBorder="1"/>
    <xf numFmtId="0" fontId="33" fillId="0" borderId="133" xfId="0" applyFont="1" applyFill="1" applyBorder="1" applyAlignment="1">
      <alignment horizontal="right"/>
    </xf>
    <xf numFmtId="0" fontId="33" fillId="0" borderId="133" xfId="0" applyFont="1" applyFill="1" applyBorder="1" applyAlignment="1">
      <alignment horizontal="left"/>
    </xf>
    <xf numFmtId="165" fontId="33" fillId="0" borderId="133" xfId="0" applyNumberFormat="1" applyFont="1" applyFill="1" applyBorder="1"/>
    <xf numFmtId="166" fontId="33" fillId="0" borderId="133" xfId="0" applyNumberFormat="1" applyFont="1" applyFill="1" applyBorder="1"/>
    <xf numFmtId="9" fontId="33" fillId="0" borderId="133" xfId="0" applyNumberFormat="1" applyFont="1" applyFill="1" applyBorder="1"/>
    <xf numFmtId="9" fontId="33" fillId="0" borderId="134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5" fontId="33" fillId="0" borderId="136" xfId="0" applyNumberFormat="1" applyFont="1" applyFill="1" applyBorder="1"/>
    <xf numFmtId="166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3" fontId="33" fillId="0" borderId="133" xfId="0" applyNumberFormat="1" applyFont="1" applyFill="1" applyBorder="1"/>
    <xf numFmtId="3" fontId="33" fillId="0" borderId="134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9" fontId="33" fillId="0" borderId="139" xfId="0" applyNumberFormat="1" applyFont="1" applyFill="1" applyBorder="1"/>
    <xf numFmtId="3" fontId="33" fillId="0" borderId="140" xfId="0" applyNumberFormat="1" applyFont="1" applyFill="1" applyBorder="1"/>
    <xf numFmtId="0" fontId="40" fillId="0" borderId="78" xfId="0" applyFont="1" applyFill="1" applyBorder="1"/>
    <xf numFmtId="0" fontId="40" fillId="0" borderId="132" xfId="0" applyFont="1" applyFill="1" applyBorder="1"/>
    <xf numFmtId="0" fontId="40" fillId="0" borderId="138" xfId="0" applyFont="1" applyFill="1" applyBorder="1"/>
    <xf numFmtId="165" fontId="33" fillId="0" borderId="133" xfId="0" applyNumberFormat="1" applyFont="1" applyFill="1" applyBorder="1" applyAlignment="1">
      <alignment horizontal="right"/>
    </xf>
    <xf numFmtId="165" fontId="33" fillId="0" borderId="136" xfId="0" applyNumberFormat="1" applyFont="1" applyFill="1" applyBorder="1" applyAlignment="1">
      <alignment horizontal="right"/>
    </xf>
    <xf numFmtId="174" fontId="40" fillId="4" borderId="144" xfId="0" applyNumberFormat="1" applyFont="1" applyFill="1" applyBorder="1" applyAlignment="1">
      <alignment horizontal="center"/>
    </xf>
    <xf numFmtId="174" fontId="40" fillId="4" borderId="145" xfId="0" applyNumberFormat="1" applyFont="1" applyFill="1" applyBorder="1" applyAlignment="1">
      <alignment horizontal="center"/>
    </xf>
    <xf numFmtId="174" fontId="33" fillId="0" borderId="146" xfId="0" applyNumberFormat="1" applyFont="1" applyBorder="1" applyAlignment="1">
      <alignment horizontal="right"/>
    </xf>
    <xf numFmtId="174" fontId="33" fillId="0" borderId="147" xfId="0" applyNumberFormat="1" applyFont="1" applyBorder="1" applyAlignment="1">
      <alignment horizontal="right"/>
    </xf>
    <xf numFmtId="174" fontId="33" fillId="0" borderId="147" xfId="0" applyNumberFormat="1" applyFont="1" applyBorder="1" applyAlignment="1">
      <alignment horizontal="right" wrapText="1"/>
    </xf>
    <xf numFmtId="176" fontId="33" fillId="0" borderId="146" xfId="0" applyNumberFormat="1" applyFont="1" applyBorder="1" applyAlignment="1">
      <alignment horizontal="right"/>
    </xf>
    <xf numFmtId="176" fontId="33" fillId="0" borderId="147" xfId="0" applyNumberFormat="1" applyFont="1" applyBorder="1" applyAlignment="1">
      <alignment horizontal="right"/>
    </xf>
    <xf numFmtId="174" fontId="33" fillId="0" borderId="148" xfId="0" applyNumberFormat="1" applyFont="1" applyBorder="1" applyAlignment="1">
      <alignment horizontal="right"/>
    </xf>
    <xf numFmtId="174" fontId="33" fillId="0" borderId="149" xfId="0" applyNumberFormat="1" applyFont="1" applyBorder="1" applyAlignment="1">
      <alignment horizontal="right"/>
    </xf>
    <xf numFmtId="0" fontId="40" fillId="2" borderId="105" xfId="0" applyFont="1" applyFill="1" applyBorder="1" applyAlignment="1">
      <alignment horizontal="center" vertical="center"/>
    </xf>
    <xf numFmtId="0" fontId="55" fillId="2" borderId="143" xfId="0" applyFont="1" applyFill="1" applyBorder="1" applyAlignment="1">
      <alignment horizontal="center" vertical="center" wrapText="1"/>
    </xf>
    <xf numFmtId="175" fontId="33" fillId="2" borderId="105" xfId="0" applyNumberFormat="1" applyFont="1" applyFill="1" applyBorder="1" applyAlignment="1"/>
    <xf numFmtId="175" fontId="33" fillId="0" borderId="142" xfId="0" applyNumberFormat="1" applyFont="1" applyBorder="1"/>
    <xf numFmtId="175" fontId="33" fillId="0" borderId="150" xfId="0" applyNumberFormat="1" applyFont="1" applyBorder="1"/>
    <xf numFmtId="174" fontId="40" fillId="4" borderId="105" xfId="0" applyNumberFormat="1" applyFont="1" applyFill="1" applyBorder="1" applyAlignment="1"/>
    <xf numFmtId="174" fontId="33" fillId="0" borderId="142" xfId="0" applyNumberFormat="1" applyFont="1" applyBorder="1"/>
    <xf numFmtId="174" fontId="33" fillId="0" borderId="143" xfId="0" applyNumberFormat="1" applyFont="1" applyBorder="1"/>
    <xf numFmtId="174" fontId="40" fillId="2" borderId="105" xfId="0" applyNumberFormat="1" applyFont="1" applyFill="1" applyBorder="1" applyAlignment="1"/>
    <xf numFmtId="174" fontId="33" fillId="0" borderId="150" xfId="0" applyNumberFormat="1" applyFont="1" applyBorder="1"/>
    <xf numFmtId="174" fontId="33" fillId="0" borderId="105" xfId="0" applyNumberFormat="1" applyFont="1" applyBorder="1"/>
    <xf numFmtId="174" fontId="40" fillId="4" borderId="151" xfId="0" applyNumberFormat="1" applyFont="1" applyFill="1" applyBorder="1" applyAlignment="1">
      <alignment horizontal="center"/>
    </xf>
    <xf numFmtId="174" fontId="33" fillId="0" borderId="152" xfId="0" applyNumberFormat="1" applyFont="1" applyBorder="1" applyAlignment="1">
      <alignment horizontal="right"/>
    </xf>
    <xf numFmtId="176" fontId="33" fillId="0" borderId="152" xfId="0" applyNumberFormat="1" applyFont="1" applyBorder="1" applyAlignment="1">
      <alignment horizontal="right"/>
    </xf>
    <xf numFmtId="174" fontId="33" fillId="0" borderId="153" xfId="0" applyNumberFormat="1" applyFont="1" applyBorder="1" applyAlignment="1">
      <alignment horizontal="right"/>
    </xf>
    <xf numFmtId="0" fontId="0" fillId="0" borderId="14" xfId="0" applyBorder="1"/>
    <xf numFmtId="174" fontId="40" fillId="4" borderId="84" xfId="0" applyNumberFormat="1" applyFont="1" applyFill="1" applyBorder="1" applyAlignment="1">
      <alignment horizontal="center"/>
    </xf>
    <xf numFmtId="174" fontId="33" fillId="0" borderId="154" xfId="0" applyNumberFormat="1" applyFont="1" applyBorder="1" applyAlignment="1">
      <alignment horizontal="right"/>
    </xf>
    <xf numFmtId="176" fontId="33" fillId="0" borderId="154" xfId="0" applyNumberFormat="1" applyFont="1" applyBorder="1" applyAlignment="1">
      <alignment horizontal="right"/>
    </xf>
    <xf numFmtId="174" fontId="33" fillId="0" borderId="141" xfId="0" applyNumberFormat="1" applyFont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70" fontId="33" fillId="0" borderId="79" xfId="0" applyNumberFormat="1" applyFont="1" applyFill="1" applyBorder="1"/>
    <xf numFmtId="170" fontId="33" fillId="0" borderId="136" xfId="0" applyNumberFormat="1" applyFont="1" applyFill="1" applyBorder="1"/>
    <xf numFmtId="0" fontId="40" fillId="0" borderId="135" xfId="0" applyFont="1" applyFill="1" applyBorder="1"/>
    <xf numFmtId="0" fontId="59" fillId="0" borderId="0" xfId="0" applyFont="1" applyFill="1"/>
    <xf numFmtId="0" fontId="60" fillId="0" borderId="0" xfId="0" applyFont="1" applyFill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170" fontId="33" fillId="0" borderId="133" xfId="0" applyNumberFormat="1" applyFont="1" applyFill="1" applyBorder="1"/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  <xf numFmtId="0" fontId="30" fillId="2" borderId="30" xfId="0" applyFont="1" applyFill="1" applyBorder="1" applyAlignment="1">
      <alignment vertical="center" wrapText="1"/>
    </xf>
    <xf numFmtId="0" fontId="32" fillId="2" borderId="14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5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0.28421101836553481</c:v>
                </c:pt>
                <c:pt idx="1">
                  <c:v>0.2605648303319153</c:v>
                </c:pt>
                <c:pt idx="2">
                  <c:v>0.25857678465487222</c:v>
                </c:pt>
                <c:pt idx="3">
                  <c:v>0.2504277336004655</c:v>
                </c:pt>
                <c:pt idx="4">
                  <c:v>0.24989210949759835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266752"/>
        <c:axId val="8723262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0.25568368301710537</c:v>
                </c:pt>
                <c:pt idx="1">
                  <c:v>0.25568368301710537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328192"/>
        <c:axId val="875799680"/>
      </c:scatterChart>
      <c:catAx>
        <c:axId val="87226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232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2326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2266752"/>
        <c:crosses val="autoZero"/>
        <c:crossBetween val="between"/>
      </c:valAx>
      <c:valAx>
        <c:axId val="8723281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5799680"/>
        <c:crosses val="max"/>
        <c:crossBetween val="midCat"/>
      </c:valAx>
      <c:valAx>
        <c:axId val="8757996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723281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102.21875" style="133" bestFit="1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10" t="s">
        <v>110</v>
      </c>
      <c r="B1" s="310"/>
    </row>
    <row r="2" spans="1:3" ht="14.4" customHeight="1" thickBot="1" x14ac:dyDescent="0.35">
      <c r="A2" s="240" t="s">
        <v>272</v>
      </c>
      <c r="B2" s="46"/>
    </row>
    <row r="3" spans="1:3" ht="14.4" customHeight="1" thickBot="1" x14ac:dyDescent="0.35">
      <c r="A3" s="306" t="s">
        <v>146</v>
      </c>
      <c r="B3" s="307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125</v>
      </c>
      <c r="C4" s="47" t="s">
        <v>126</v>
      </c>
    </row>
    <row r="5" spans="1:3" ht="14.4" customHeight="1" x14ac:dyDescent="0.3">
      <c r="A5" s="149" t="str">
        <f t="shared" si="0"/>
        <v>HI</v>
      </c>
      <c r="B5" s="90" t="s">
        <v>142</v>
      </c>
      <c r="C5" s="47" t="s">
        <v>113</v>
      </c>
    </row>
    <row r="6" spans="1:3" ht="14.4" customHeight="1" x14ac:dyDescent="0.3">
      <c r="A6" s="150" t="str">
        <f t="shared" si="0"/>
        <v>HI Graf</v>
      </c>
      <c r="B6" s="91" t="s">
        <v>106</v>
      </c>
      <c r="C6" s="47" t="s">
        <v>114</v>
      </c>
    </row>
    <row r="7" spans="1:3" ht="14.4" customHeight="1" x14ac:dyDescent="0.3">
      <c r="A7" s="150" t="str">
        <f t="shared" si="0"/>
        <v>Man Tab</v>
      </c>
      <c r="B7" s="91" t="s">
        <v>274</v>
      </c>
      <c r="C7" s="47" t="s">
        <v>115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08" t="s">
        <v>111</v>
      </c>
      <c r="B10" s="307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143</v>
      </c>
      <c r="C11" s="47" t="s">
        <v>116</v>
      </c>
    </row>
    <row r="12" spans="1:3" ht="14.4" customHeight="1" x14ac:dyDescent="0.3">
      <c r="A12" s="150" t="str">
        <f t="shared" ref="A12:A22" si="2">HYPERLINK("#'"&amp;C12&amp;"'!A1",C12)</f>
        <v>LŽ Detail</v>
      </c>
      <c r="B12" s="91" t="s">
        <v>171</v>
      </c>
      <c r="C12" s="47" t="s">
        <v>117</v>
      </c>
    </row>
    <row r="13" spans="1:3" ht="28.8" customHeight="1" x14ac:dyDescent="0.3">
      <c r="A13" s="150" t="str">
        <f t="shared" si="2"/>
        <v>LŽ PL</v>
      </c>
      <c r="B13" s="468" t="s">
        <v>172</v>
      </c>
      <c r="C13" s="47" t="s">
        <v>150</v>
      </c>
    </row>
    <row r="14" spans="1:3" ht="14.4" customHeight="1" x14ac:dyDescent="0.3">
      <c r="A14" s="150" t="str">
        <f t="shared" si="2"/>
        <v>LŽ PL Detail</v>
      </c>
      <c r="B14" s="91" t="s">
        <v>557</v>
      </c>
      <c r="C14" s="47" t="s">
        <v>152</v>
      </c>
    </row>
    <row r="15" spans="1:3" ht="14.4" customHeight="1" x14ac:dyDescent="0.3">
      <c r="A15" s="150" t="str">
        <f t="shared" si="2"/>
        <v>Léky Recepty</v>
      </c>
      <c r="B15" s="91" t="s">
        <v>144</v>
      </c>
      <c r="C15" s="47" t="s">
        <v>118</v>
      </c>
    </row>
    <row r="16" spans="1:3" ht="14.4" customHeight="1" x14ac:dyDescent="0.3">
      <c r="A16" s="150" t="str">
        <f t="shared" si="2"/>
        <v>LRp Lékaři</v>
      </c>
      <c r="B16" s="91" t="s">
        <v>155</v>
      </c>
      <c r="C16" s="47" t="s">
        <v>156</v>
      </c>
    </row>
    <row r="17" spans="1:3" ht="14.4" customHeight="1" x14ac:dyDescent="0.3">
      <c r="A17" s="150" t="str">
        <f t="shared" si="2"/>
        <v>LRp Detail</v>
      </c>
      <c r="B17" s="91" t="s">
        <v>772</v>
      </c>
      <c r="C17" s="47" t="s">
        <v>119</v>
      </c>
    </row>
    <row r="18" spans="1:3" ht="28.8" customHeight="1" x14ac:dyDescent="0.3">
      <c r="A18" s="150" t="str">
        <f t="shared" si="2"/>
        <v>LRp PL</v>
      </c>
      <c r="B18" s="468" t="s">
        <v>773</v>
      </c>
      <c r="C18" s="47" t="s">
        <v>151</v>
      </c>
    </row>
    <row r="19" spans="1:3" ht="14.4" customHeight="1" x14ac:dyDescent="0.3">
      <c r="A19" s="150" t="str">
        <f>HYPERLINK("#'"&amp;C19&amp;"'!A1",C19)</f>
        <v>LRp PL Detail</v>
      </c>
      <c r="B19" s="91" t="s">
        <v>810</v>
      </c>
      <c r="C19" s="47" t="s">
        <v>153</v>
      </c>
    </row>
    <row r="20" spans="1:3" ht="14.4" customHeight="1" x14ac:dyDescent="0.3">
      <c r="A20" s="152" t="str">
        <f t="shared" ref="A20" si="3">HYPERLINK("#'"&amp;C20&amp;"'!A1",C20)</f>
        <v>Materiál Žádanky</v>
      </c>
      <c r="B20" s="91" t="s">
        <v>145</v>
      </c>
      <c r="C20" s="47" t="s">
        <v>120</v>
      </c>
    </row>
    <row r="21" spans="1:3" ht="14.4" customHeight="1" x14ac:dyDescent="0.3">
      <c r="A21" s="150" t="str">
        <f t="shared" si="2"/>
        <v>MŽ Detail</v>
      </c>
      <c r="B21" s="91" t="s">
        <v>902</v>
      </c>
      <c r="C21" s="47" t="s">
        <v>121</v>
      </c>
    </row>
    <row r="22" spans="1:3" ht="14.4" customHeight="1" thickBot="1" x14ac:dyDescent="0.35">
      <c r="A22" s="152" t="str">
        <f t="shared" si="2"/>
        <v>Osobní náklady</v>
      </c>
      <c r="B22" s="91" t="s">
        <v>108</v>
      </c>
      <c r="C22" s="47" t="s">
        <v>122</v>
      </c>
    </row>
    <row r="23" spans="1:3" ht="14.4" customHeight="1" thickBot="1" x14ac:dyDescent="0.35">
      <c r="A23" s="94"/>
      <c r="B23" s="94"/>
    </row>
    <row r="24" spans="1:3" ht="14.4" customHeight="1" thickBot="1" x14ac:dyDescent="0.35">
      <c r="A24" s="309" t="s">
        <v>112</v>
      </c>
      <c r="B24" s="307"/>
    </row>
    <row r="25" spans="1:3" ht="14.4" customHeight="1" x14ac:dyDescent="0.3">
      <c r="A25" s="153" t="str">
        <f t="shared" ref="A25:A30" si="4">HYPERLINK("#'"&amp;C25&amp;"'!A1",C25)</f>
        <v>ZV Vykáz.-A</v>
      </c>
      <c r="B25" s="90" t="s">
        <v>909</v>
      </c>
      <c r="C25" s="47" t="s">
        <v>127</v>
      </c>
    </row>
    <row r="26" spans="1:3" ht="14.4" customHeight="1" x14ac:dyDescent="0.3">
      <c r="A26" s="150" t="str">
        <f t="shared" si="4"/>
        <v>ZV Vykáz.-A Detail</v>
      </c>
      <c r="B26" s="91" t="s">
        <v>987</v>
      </c>
      <c r="C26" s="47" t="s">
        <v>128</v>
      </c>
    </row>
    <row r="27" spans="1:3" ht="14.4" customHeight="1" x14ac:dyDescent="0.3">
      <c r="A27" s="150" t="str">
        <f t="shared" si="4"/>
        <v>ZV Vykáz.-H</v>
      </c>
      <c r="B27" s="91" t="s">
        <v>131</v>
      </c>
      <c r="C27" s="47" t="s">
        <v>129</v>
      </c>
    </row>
    <row r="28" spans="1:3" ht="14.4" customHeight="1" x14ac:dyDescent="0.3">
      <c r="A28" s="150" t="str">
        <f t="shared" si="4"/>
        <v>ZV Vykáz.-H Detail</v>
      </c>
      <c r="B28" s="91" t="s">
        <v>1004</v>
      </c>
      <c r="C28" s="47" t="s">
        <v>130</v>
      </c>
    </row>
    <row r="29" spans="1:3" ht="14.4" customHeight="1" x14ac:dyDescent="0.3">
      <c r="A29" s="150" t="str">
        <f t="shared" si="4"/>
        <v>ZV Vyžád.</v>
      </c>
      <c r="B29" s="91" t="s">
        <v>132</v>
      </c>
      <c r="C29" s="47" t="s">
        <v>124</v>
      </c>
    </row>
    <row r="30" spans="1:3" ht="14.4" customHeight="1" x14ac:dyDescent="0.3">
      <c r="A30" s="150" t="str">
        <f t="shared" si="4"/>
        <v>ZV Vyžád. Detail</v>
      </c>
      <c r="B30" s="91" t="s">
        <v>1191</v>
      </c>
      <c r="C30" s="47" t="s">
        <v>123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10" t="s">
        <v>125</v>
      </c>
      <c r="B1" s="310"/>
      <c r="C1" s="311"/>
      <c r="D1" s="311"/>
      <c r="E1" s="311"/>
    </row>
    <row r="2" spans="1:5" ht="14.4" customHeight="1" thickBot="1" x14ac:dyDescent="0.35">
      <c r="A2" s="240" t="s">
        <v>272</v>
      </c>
      <c r="B2" s="155"/>
    </row>
    <row r="3" spans="1:5" ht="14.4" customHeight="1" thickBot="1" x14ac:dyDescent="0.35">
      <c r="A3" s="158"/>
      <c r="C3" s="159" t="s">
        <v>109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3962.9200739110629</v>
      </c>
      <c r="D4" s="164">
        <f ca="1">IF(ISERROR(VLOOKUP("Náklady celkem",INDIRECT("HI!$A:$G"),5,0)),0,VLOOKUP("Náklady celkem",INDIRECT("HI!$A:$G"),5,0))</f>
        <v>3716.2678000000024</v>
      </c>
      <c r="E4" s="165">
        <f ca="1">IF(C4=0,0,D4/C4)</f>
        <v>0.93775996757168112</v>
      </c>
    </row>
    <row r="5" spans="1:5" ht="14.4" customHeight="1" x14ac:dyDescent="0.3">
      <c r="A5" s="166" t="s">
        <v>158</v>
      </c>
      <c r="B5" s="167"/>
      <c r="C5" s="168"/>
      <c r="D5" s="168"/>
      <c r="E5" s="169"/>
    </row>
    <row r="6" spans="1:5" ht="14.4" customHeight="1" x14ac:dyDescent="0.3">
      <c r="A6" s="170" t="s">
        <v>163</v>
      </c>
      <c r="B6" s="171"/>
      <c r="C6" s="172"/>
      <c r="D6" s="172"/>
      <c r="E6" s="169"/>
    </row>
    <row r="7" spans="1:5" ht="14.4" customHeight="1" x14ac:dyDescent="0.3">
      <c r="A7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113</v>
      </c>
      <c r="C7" s="172">
        <f>IF(ISERROR(HI!F5),"",HI!F5)</f>
        <v>332.93341227978334</v>
      </c>
      <c r="D7" s="172">
        <f>IF(ISERROR(HI!E5),"",HI!E5)</f>
        <v>246.69029</v>
      </c>
      <c r="E7" s="169">
        <f t="shared" ref="E7:E14" si="0">IF(C7=0,0,D7/C7)</f>
        <v>0.74095984632714418</v>
      </c>
    </row>
    <row r="8" spans="1:5" ht="14.4" customHeight="1" x14ac:dyDescent="0.3">
      <c r="A8" s="173" t="str">
        <f>HYPERLINK("#'LŽ PL'!A1","% plnění pozitivního listu")</f>
        <v>% plnění pozitivního listu</v>
      </c>
      <c r="B8" s="171" t="s">
        <v>150</v>
      </c>
      <c r="C8" s="174">
        <v>0.9</v>
      </c>
      <c r="D8" s="174">
        <f>IF(ISERROR(VLOOKUP("celkem",'LŽ PL'!$A:$F,5,0)),0,VLOOKUP("celkem",'LŽ PL'!$A:$F,5,0))</f>
        <v>1</v>
      </c>
      <c r="E8" s="169">
        <f t="shared" si="0"/>
        <v>1.1111111111111112</v>
      </c>
    </row>
    <row r="9" spans="1:5" ht="14.4" customHeight="1" x14ac:dyDescent="0.3">
      <c r="A9" s="175" t="s">
        <v>159</v>
      </c>
      <c r="B9" s="171"/>
      <c r="C9" s="172"/>
      <c r="D9" s="172"/>
      <c r="E9" s="169"/>
    </row>
    <row r="10" spans="1:5" ht="14.4" customHeight="1" x14ac:dyDescent="0.3">
      <c r="A10" s="173" t="str">
        <f>HYPERLINK("#'Léky Recepty'!A1","% záchytu v lékárně (Úhrada Kč)")</f>
        <v>% záchytu v lékárně (Úhrada Kč)</v>
      </c>
      <c r="B10" s="171" t="s">
        <v>118</v>
      </c>
      <c r="C10" s="174">
        <v>0.6</v>
      </c>
      <c r="D10" s="174">
        <f>IF(ISERROR(VLOOKUP("Celkem",'Léky Recepty'!B:H,5,0)),0,VLOOKUP("Celkem",'Léky Recepty'!B:H,5,0))</f>
        <v>0.62954069453575789</v>
      </c>
      <c r="E10" s="169">
        <f t="shared" si="0"/>
        <v>1.0492344908929299</v>
      </c>
    </row>
    <row r="11" spans="1:5" ht="14.4" customHeight="1" x14ac:dyDescent="0.3">
      <c r="A11" s="173" t="str">
        <f>HYPERLINK("#'LRp PL'!A1","% plnění pozitivního listu")</f>
        <v>% plnění pozitivního listu</v>
      </c>
      <c r="B11" s="171" t="s">
        <v>151</v>
      </c>
      <c r="C11" s="174">
        <v>0.8</v>
      </c>
      <c r="D11" s="174">
        <f>IF(ISERROR(VLOOKUP("Celkem",'LRp PL'!A:F,5,0)),0,VLOOKUP("Celkem",'LRp PL'!A:F,5,0))</f>
        <v>0.79045417266172391</v>
      </c>
      <c r="E11" s="169">
        <f t="shared" si="0"/>
        <v>0.9880677158271548</v>
      </c>
    </row>
    <row r="12" spans="1:5" ht="14.4" customHeight="1" x14ac:dyDescent="0.3">
      <c r="A12" s="175" t="s">
        <v>160</v>
      </c>
      <c r="B12" s="171"/>
      <c r="C12" s="172"/>
      <c r="D12" s="172"/>
      <c r="E12" s="169"/>
    </row>
    <row r="13" spans="1:5" ht="14.4" customHeight="1" x14ac:dyDescent="0.3">
      <c r="A13" s="176" t="s">
        <v>164</v>
      </c>
      <c r="B13" s="171"/>
      <c r="C13" s="168"/>
      <c r="D13" s="168"/>
      <c r="E13" s="169"/>
    </row>
    <row r="14" spans="1:5" ht="14.4" customHeight="1" x14ac:dyDescent="0.3">
      <c r="A14" s="17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71" t="s">
        <v>113</v>
      </c>
      <c r="C14" s="172">
        <f>IF(ISERROR(HI!F6),"",HI!F6)</f>
        <v>34.14130267409584</v>
      </c>
      <c r="D14" s="172">
        <f>IF(ISERROR(HI!E6),"",HI!E6)</f>
        <v>21.74727</v>
      </c>
      <c r="E14" s="169">
        <f t="shared" si="0"/>
        <v>0.63697833113147106</v>
      </c>
    </row>
    <row r="15" spans="1:5" ht="14.4" customHeight="1" thickBot="1" x14ac:dyDescent="0.35">
      <c r="A15" s="178" t="str">
        <f>HYPERLINK("#HI!A1","Osobní náklady")</f>
        <v>Osobní náklady</v>
      </c>
      <c r="B15" s="171"/>
      <c r="C15" s="168">
        <f ca="1">IF(ISERROR(VLOOKUP("Osobní náklady (Kč) *",INDIRECT("HI!$A:$G"),6,0)),0,VLOOKUP("Osobní náklady (Kč) *",INDIRECT("HI!$A:$G"),6,0))</f>
        <v>2821.2639766951252</v>
      </c>
      <c r="D15" s="168">
        <f ca="1">IF(ISERROR(VLOOKUP("Osobní náklady (Kč) *",INDIRECT("HI!$A:$G"),5,0)),0,VLOOKUP("Osobní náklady (Kč) *",INDIRECT("HI!$A:$G"),5,0))</f>
        <v>2639.4646600000033</v>
      </c>
      <c r="E15" s="169">
        <f ca="1">IF(C15=0,0,D15/C15)</f>
        <v>0.93556103994632767</v>
      </c>
    </row>
    <row r="16" spans="1:5" ht="14.4" customHeight="1" thickBot="1" x14ac:dyDescent="0.35">
      <c r="A16" s="182"/>
      <c r="B16" s="183"/>
      <c r="C16" s="184"/>
      <c r="D16" s="184"/>
      <c r="E16" s="185"/>
    </row>
    <row r="17" spans="1:5" ht="14.4" customHeight="1" thickBot="1" x14ac:dyDescent="0.35">
      <c r="A17" s="186" t="str">
        <f>HYPERLINK("#HI!A1","VÝNOSY CELKEM (v tisících)")</f>
        <v>VÝNOSY CELKEM (v tisících)</v>
      </c>
      <c r="B17" s="187"/>
      <c r="C17" s="188">
        <f ca="1">IF(ISERROR(VLOOKUP("Výnosy celkem",INDIRECT("HI!$A:$G"),6,0)),0,VLOOKUP("Výnosy celkem",INDIRECT("HI!$A:$G"),6,0))</f>
        <v>1013.254</v>
      </c>
      <c r="D17" s="188">
        <f ca="1">IF(ISERROR(VLOOKUP("Výnosy celkem",INDIRECT("HI!$A:$G"),5,0)),0,VLOOKUP("Výnosy celkem",INDIRECT("HI!$A:$G"),5,0))</f>
        <v>928.66600000000005</v>
      </c>
      <c r="E17" s="189">
        <f t="shared" ref="E17:E22" ca="1" si="1">IF(C17=0,0,D17/C17)</f>
        <v>0.91651846427450578</v>
      </c>
    </row>
    <row r="18" spans="1:5" ht="14.4" customHeight="1" x14ac:dyDescent="0.3">
      <c r="A18" s="190" t="str">
        <f>HYPERLINK("#HI!A1","Ambulance (body za výkony + Kč za ZUM a ZULP)")</f>
        <v>Ambulance (body za výkony + Kč za ZUM a ZULP)</v>
      </c>
      <c r="B18" s="167"/>
      <c r="C18" s="168">
        <f ca="1">IF(ISERROR(VLOOKUP("Ambulance *",INDIRECT("HI!$A:$G"),6,0)),0,VLOOKUP("Ambulance *",INDIRECT("HI!$A:$G"),6,0))</f>
        <v>1013.254</v>
      </c>
      <c r="D18" s="168">
        <f ca="1">IF(ISERROR(VLOOKUP("Ambulance *",INDIRECT("HI!$A:$G"),5,0)),0,VLOOKUP("Ambulance *",INDIRECT("HI!$A:$G"),5,0))</f>
        <v>928.66600000000005</v>
      </c>
      <c r="E18" s="169">
        <f t="shared" ca="1" si="1"/>
        <v>0.91651846427450578</v>
      </c>
    </row>
    <row r="19" spans="1:5" ht="14.4" customHeight="1" x14ac:dyDescent="0.3">
      <c r="A19" s="191" t="str">
        <f>HYPERLINK("#'ZV Vykáz.-A'!A1","Zdravotní výkony vykázané u ambulantních pacientů (min. 100 %)")</f>
        <v>Zdravotní výkony vykázané u ambulantních pacientů (min. 100 %)</v>
      </c>
      <c r="B19" s="154" t="s">
        <v>127</v>
      </c>
      <c r="C19" s="174">
        <v>1</v>
      </c>
      <c r="D19" s="174">
        <f>IF(ISERROR(VLOOKUP("Celkem:",'ZV Vykáz.-A'!$A:$S,7,0)),"",VLOOKUP("Celkem:",'ZV Vykáz.-A'!$A:$S,7,0))</f>
        <v>0.91651846427450567</v>
      </c>
      <c r="E19" s="169">
        <f t="shared" si="1"/>
        <v>0.91651846427450567</v>
      </c>
    </row>
    <row r="20" spans="1:5" ht="14.4" customHeight="1" x14ac:dyDescent="0.3">
      <c r="A20" s="191" t="str">
        <f>HYPERLINK("#'ZV Vykáz.-H'!A1","Zdravotní výkony vykázané u hospitalizovaných pacientů (max. 85 %)")</f>
        <v>Zdravotní výkony vykázané u hospitalizovaných pacientů (max. 85 %)</v>
      </c>
      <c r="B20" s="154" t="s">
        <v>129</v>
      </c>
      <c r="C20" s="174">
        <v>0.85</v>
      </c>
      <c r="D20" s="174">
        <f>IF(ISERROR(VLOOKUP("Celkem:",'ZV Vykáz.-H'!$A:$S,7,0)),"",VLOOKUP("Celkem:",'ZV Vykáz.-H'!$A:$S,7,0))</f>
        <v>3.8563384519324558E-3</v>
      </c>
      <c r="E20" s="169">
        <f t="shared" si="1"/>
        <v>4.5368687669793597E-3</v>
      </c>
    </row>
    <row r="21" spans="1:5" ht="14.4" customHeight="1" x14ac:dyDescent="0.3">
      <c r="A21" s="192" t="str">
        <f>HYPERLINK("#HI!A1","Hospitalizace (casemix * 30000)")</f>
        <v>Hospitalizace (casemix * 30000)</v>
      </c>
      <c r="B21" s="171"/>
      <c r="C21" s="168">
        <f ca="1">IF(ISERROR(VLOOKUP("Hospitalizace *",INDIRECT("HI!$A:$G"),6,0)),0,VLOOKUP("Hospitalizace *",INDIRECT("HI!$A:$G"),6,0))</f>
        <v>0</v>
      </c>
      <c r="D21" s="168">
        <f ca="1">IF(ISERROR(VLOOKUP("Hospitalizace *",INDIRECT("HI!$A:$G"),5,0)),0,VLOOKUP("Hospitalizace *",INDIRECT("HI!$A:$G"),5,0))</f>
        <v>0</v>
      </c>
      <c r="E21" s="169">
        <f ca="1">IF(C21=0,0,D21/C21)</f>
        <v>0</v>
      </c>
    </row>
    <row r="22" spans="1:5" ht="27.6" x14ac:dyDescent="0.3">
      <c r="A22" s="193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2" s="171" t="s">
        <v>124</v>
      </c>
      <c r="C22" s="174" t="e">
        <f>IF(#REF!&gt;1,95%,95%-2*ABS(#REF!-#REF!))</f>
        <v>#REF!</v>
      </c>
      <c r="D22" s="174">
        <f>IF(ISERROR(VLOOKUP("Celkem:",'ZV Vyžád.'!$A:$M,7,0)),"",VLOOKUP("Celkem:",'ZV Vyžád.'!$A:$M,7,0))</f>
        <v>0</v>
      </c>
      <c r="E22" s="169" t="e">
        <f t="shared" si="1"/>
        <v>#REF!</v>
      </c>
    </row>
    <row r="23" spans="1:5" ht="14.4" customHeight="1" thickBot="1" x14ac:dyDescent="0.35">
      <c r="A23" s="194" t="s">
        <v>161</v>
      </c>
      <c r="B23" s="179"/>
      <c r="C23" s="180"/>
      <c r="D23" s="180"/>
      <c r="E23" s="181"/>
    </row>
    <row r="24" spans="1:5" ht="14.4" customHeight="1" thickBot="1" x14ac:dyDescent="0.35">
      <c r="A24" s="195"/>
      <c r="B24" s="196"/>
      <c r="C24" s="197"/>
      <c r="D24" s="197"/>
      <c r="E24" s="198"/>
    </row>
    <row r="25" spans="1:5" ht="14.4" customHeight="1" thickBot="1" x14ac:dyDescent="0.35">
      <c r="A25" s="199" t="s">
        <v>162</v>
      </c>
      <c r="B25" s="200"/>
      <c r="C25" s="201"/>
      <c r="D25" s="201"/>
      <c r="E25" s="202"/>
    </row>
  </sheetData>
  <mergeCells count="1">
    <mergeCell ref="A1:E1"/>
  </mergeCells>
  <conditionalFormatting sqref="E5">
    <cfRule type="cellIs" dxfId="64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2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1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60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9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58" priority="16" operator="lessThan">
      <formula>1</formula>
    </cfRule>
  </conditionalFormatting>
  <conditionalFormatting sqref="E17 E19 E8 E10:E11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22 E4 E7 E14 E20">
    <cfRule type="cellIs" dxfId="57" priority="59" operator="greaterThan">
      <formula>1</formula>
    </cfRule>
    <cfRule type="iconSet" priority="6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10" t="s">
        <v>142</v>
      </c>
      <c r="B1" s="310"/>
      <c r="C1" s="310"/>
      <c r="D1" s="310"/>
      <c r="E1" s="310"/>
      <c r="F1" s="310"/>
      <c r="G1" s="311"/>
      <c r="H1" s="311"/>
    </row>
    <row r="2" spans="1:8" ht="14.4" customHeight="1" thickBot="1" x14ac:dyDescent="0.35">
      <c r="A2" s="240" t="s">
        <v>272</v>
      </c>
      <c r="B2" s="114"/>
      <c r="C2" s="114"/>
      <c r="D2" s="114"/>
      <c r="E2" s="114"/>
      <c r="F2" s="114"/>
    </row>
    <row r="3" spans="1:8" ht="14.4" customHeight="1" x14ac:dyDescent="0.3">
      <c r="A3" s="312"/>
      <c r="B3" s="110">
        <v>2012</v>
      </c>
      <c r="C3" s="40">
        <v>2013</v>
      </c>
      <c r="D3" s="7"/>
      <c r="E3" s="316">
        <v>2014</v>
      </c>
      <c r="F3" s="317"/>
      <c r="G3" s="317"/>
      <c r="H3" s="318"/>
    </row>
    <row r="4" spans="1:8" ht="14.4" customHeight="1" thickBot="1" x14ac:dyDescent="0.35">
      <c r="A4" s="313"/>
      <c r="B4" s="314" t="s">
        <v>73</v>
      </c>
      <c r="C4" s="315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113.68880999999999</v>
      </c>
      <c r="C5" s="29">
        <v>291.03636999999799</v>
      </c>
      <c r="D5" s="8"/>
      <c r="E5" s="120">
        <v>246.69029</v>
      </c>
      <c r="F5" s="28">
        <v>332.93341227978334</v>
      </c>
      <c r="G5" s="119">
        <f>E5-F5</f>
        <v>-86.243122279783336</v>
      </c>
      <c r="H5" s="125">
        <f>IF(F5&lt;0.00000001,"",E5/F5)</f>
        <v>0.74095984632714418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35.383790000000005</v>
      </c>
      <c r="C6" s="31">
        <v>26.390219999997999</v>
      </c>
      <c r="D6" s="8"/>
      <c r="E6" s="121">
        <v>21.74727</v>
      </c>
      <c r="F6" s="30">
        <v>34.14130267409584</v>
      </c>
      <c r="G6" s="122">
        <f>E6-F6</f>
        <v>-12.39403267409584</v>
      </c>
      <c r="H6" s="126">
        <f>IF(F6&lt;0.00000001,"",E6/F6)</f>
        <v>0.63697833113147106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2694.0254400000003</v>
      </c>
      <c r="C7" s="31">
        <v>2545.9615699999999</v>
      </c>
      <c r="D7" s="8"/>
      <c r="E7" s="121">
        <v>2639.4646600000033</v>
      </c>
      <c r="F7" s="30">
        <v>2821.2639766951252</v>
      </c>
      <c r="G7" s="122">
        <f>E7-F7</f>
        <v>-181.79931669512189</v>
      </c>
      <c r="H7" s="126">
        <f>IF(F7&lt;0.00000001,"",E7/F7)</f>
        <v>0.93556103994632767</v>
      </c>
    </row>
    <row r="8" spans="1:8" ht="14.4" customHeight="1" thickBot="1" x14ac:dyDescent="0.35">
      <c r="A8" s="1" t="s">
        <v>76</v>
      </c>
      <c r="B8" s="11">
        <v>913.84805000000006</v>
      </c>
      <c r="C8" s="33">
        <v>818.34227000000146</v>
      </c>
      <c r="D8" s="8"/>
      <c r="E8" s="123">
        <v>808.36557999999911</v>
      </c>
      <c r="F8" s="32">
        <v>774.58138226205847</v>
      </c>
      <c r="G8" s="124">
        <f>E8-F8</f>
        <v>33.784197737940644</v>
      </c>
      <c r="H8" s="127">
        <f>IF(F8&lt;0.00000001,"",E8/F8)</f>
        <v>1.0436160725155548</v>
      </c>
    </row>
    <row r="9" spans="1:8" ht="14.4" customHeight="1" thickBot="1" x14ac:dyDescent="0.35">
      <c r="A9" s="2" t="s">
        <v>77</v>
      </c>
      <c r="B9" s="3">
        <v>3756.9460900000004</v>
      </c>
      <c r="C9" s="35">
        <v>3681.7304299999973</v>
      </c>
      <c r="D9" s="8"/>
      <c r="E9" s="3">
        <v>3716.2678000000024</v>
      </c>
      <c r="F9" s="34">
        <v>3962.9200739110629</v>
      </c>
      <c r="G9" s="34">
        <f>E9-F9</f>
        <v>-246.65227391106055</v>
      </c>
      <c r="H9" s="128">
        <f>IF(F9&lt;0.00000001,"",E9/F9)</f>
        <v>0.93775996757168112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1013.254</v>
      </c>
      <c r="C11" s="29">
        <f>IF(ISERROR(VLOOKUP("Celkem:",'ZV Vykáz.-A'!A:F,4,0)),0,VLOOKUP("Celkem:",'ZV Vykáz.-A'!A:F,4,0)/1000)</f>
        <v>868.93200000000002</v>
      </c>
      <c r="D11" s="8"/>
      <c r="E11" s="120">
        <f>IF(ISERROR(VLOOKUP("Celkem:",'ZV Vykáz.-A'!A:F,6,0)),0,VLOOKUP("Celkem:",'ZV Vykáz.-A'!A:F,6,0)/1000)</f>
        <v>928.66600000000005</v>
      </c>
      <c r="F11" s="28">
        <f>B11</f>
        <v>1013.254</v>
      </c>
      <c r="G11" s="119">
        <f>E11-F11</f>
        <v>-84.587999999999965</v>
      </c>
      <c r="H11" s="125">
        <f>IF(F11&lt;0.00000001,"",E11/F11)</f>
        <v>0.91651846427450578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1013.254</v>
      </c>
      <c r="C13" s="37">
        <f>SUM(C11:C12)</f>
        <v>868.93200000000002</v>
      </c>
      <c r="D13" s="8"/>
      <c r="E13" s="5">
        <f>SUM(E11:E12)</f>
        <v>928.66600000000005</v>
      </c>
      <c r="F13" s="36">
        <f>SUM(F11:F12)</f>
        <v>1013.254</v>
      </c>
      <c r="G13" s="36">
        <f>E13-F13</f>
        <v>-84.587999999999965</v>
      </c>
      <c r="H13" s="129">
        <f>IF(F13&lt;0.00000001,"",E13/F13)</f>
        <v>0.91651846427450578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0.26970150109340535</v>
      </c>
      <c r="C15" s="39">
        <f>IF(C9=0,"",C13/C9)</f>
        <v>0.23601184728779848</v>
      </c>
      <c r="D15" s="8"/>
      <c r="E15" s="6">
        <f>IF(E9=0,"",E13/E9)</f>
        <v>0.24989210949759849</v>
      </c>
      <c r="F15" s="38">
        <f>IF(F9=0,"",F13/F9)</f>
        <v>0.25568368301710537</v>
      </c>
      <c r="G15" s="38">
        <f>IF(ISERROR(F15-E15),"",E15-F15)</f>
        <v>-5.7915735195068763E-3</v>
      </c>
      <c r="H15" s="130">
        <f>IF(ISERROR(F15-E15),"",IF(F15&lt;0.00000001,"",E15/F15))</f>
        <v>0.97734867766622624</v>
      </c>
    </row>
    <row r="17" spans="1:8" ht="14.4" customHeight="1" x14ac:dyDescent="0.3">
      <c r="A17" s="116" t="s">
        <v>166</v>
      </c>
    </row>
    <row r="18" spans="1:8" ht="14.4" customHeight="1" x14ac:dyDescent="0.3">
      <c r="A18" s="293" t="s">
        <v>229</v>
      </c>
      <c r="B18" s="294"/>
      <c r="C18" s="294"/>
      <c r="D18" s="294"/>
      <c r="E18" s="294"/>
      <c r="F18" s="294"/>
      <c r="G18" s="294"/>
      <c r="H18" s="294"/>
    </row>
    <row r="19" spans="1:8" x14ac:dyDescent="0.3">
      <c r="A19" s="292" t="s">
        <v>228</v>
      </c>
      <c r="B19" s="294"/>
      <c r="C19" s="294"/>
      <c r="D19" s="294"/>
      <c r="E19" s="294"/>
      <c r="F19" s="294"/>
      <c r="G19" s="294"/>
      <c r="H19" s="294"/>
    </row>
    <row r="20" spans="1:8" ht="14.4" customHeight="1" x14ac:dyDescent="0.3">
      <c r="A20" s="117" t="s">
        <v>167</v>
      </c>
    </row>
    <row r="21" spans="1:8" ht="14.4" customHeight="1" x14ac:dyDescent="0.3">
      <c r="A21" s="117" t="s">
        <v>168</v>
      </c>
    </row>
    <row r="22" spans="1:8" ht="14.4" customHeight="1" x14ac:dyDescent="0.3">
      <c r="A22" s="118" t="s">
        <v>169</v>
      </c>
    </row>
    <row r="23" spans="1:8" ht="14.4" customHeight="1" x14ac:dyDescent="0.3">
      <c r="A23" s="118" t="s">
        <v>170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6" priority="4" operator="greaterThan">
      <formula>0</formula>
    </cfRule>
  </conditionalFormatting>
  <conditionalFormatting sqref="G11:G13 G15">
    <cfRule type="cellIs" dxfId="55" priority="3" operator="lessThan">
      <formula>0</formula>
    </cfRule>
  </conditionalFormatting>
  <conditionalFormatting sqref="H5:H9">
    <cfRule type="cellIs" dxfId="54" priority="2" operator="greaterThan">
      <formula>1</formula>
    </cfRule>
  </conditionalFormatting>
  <conditionalFormatting sqref="H11:H13 H15">
    <cfRule type="cellIs" dxfId="5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10" t="s">
        <v>106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3" ht="14.4" customHeight="1" x14ac:dyDescent="0.3">
      <c r="A2" s="240" t="s">
        <v>272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3"/>
      <c r="B3" s="204" t="s">
        <v>82</v>
      </c>
      <c r="C3" s="205" t="s">
        <v>83</v>
      </c>
      <c r="D3" s="205" t="s">
        <v>84</v>
      </c>
      <c r="E3" s="204" t="s">
        <v>85</v>
      </c>
      <c r="F3" s="205" t="s">
        <v>86</v>
      </c>
      <c r="G3" s="205" t="s">
        <v>87</v>
      </c>
      <c r="H3" s="205" t="s">
        <v>88</v>
      </c>
      <c r="I3" s="205" t="s">
        <v>89</v>
      </c>
      <c r="J3" s="205" t="s">
        <v>90</v>
      </c>
      <c r="K3" s="205" t="s">
        <v>91</v>
      </c>
      <c r="L3" s="205" t="s">
        <v>92</v>
      </c>
      <c r="M3" s="205" t="s">
        <v>93</v>
      </c>
    </row>
    <row r="4" spans="1:13" ht="14.4" customHeight="1" x14ac:dyDescent="0.3">
      <c r="A4" s="203" t="s">
        <v>81</v>
      </c>
      <c r="B4" s="206">
        <f>(B10+B8)/B6</f>
        <v>0.28421101836553481</v>
      </c>
      <c r="C4" s="206">
        <f t="shared" ref="C4:M4" si="0">(C10+C8)/C6</f>
        <v>0.2605648303319153</v>
      </c>
      <c r="D4" s="206">
        <f t="shared" si="0"/>
        <v>0.25857678465487222</v>
      </c>
      <c r="E4" s="206">
        <f t="shared" si="0"/>
        <v>0.2504277336004655</v>
      </c>
      <c r="F4" s="206">
        <f t="shared" si="0"/>
        <v>0.24989210949759835</v>
      </c>
      <c r="G4" s="206">
        <f t="shared" si="0"/>
        <v>0.24989210949759835</v>
      </c>
      <c r="H4" s="206">
        <f t="shared" si="0"/>
        <v>0.24989210949759835</v>
      </c>
      <c r="I4" s="206">
        <f t="shared" si="0"/>
        <v>0.24989210949759835</v>
      </c>
      <c r="J4" s="206">
        <f t="shared" si="0"/>
        <v>0.24989210949759835</v>
      </c>
      <c r="K4" s="206">
        <f t="shared" si="0"/>
        <v>0.24989210949759835</v>
      </c>
      <c r="L4" s="206">
        <f t="shared" si="0"/>
        <v>0.24989210949759835</v>
      </c>
      <c r="M4" s="206">
        <f t="shared" si="0"/>
        <v>0.24989210949759835</v>
      </c>
    </row>
    <row r="5" spans="1:13" ht="14.4" customHeight="1" x14ac:dyDescent="0.3">
      <c r="A5" s="207" t="s">
        <v>53</v>
      </c>
      <c r="B5" s="206">
        <f>IF(ISERROR(VLOOKUP($A5,'Man Tab'!$A:$Q,COLUMN()+2,0)),0,VLOOKUP($A5,'Man Tab'!$A:$Q,COLUMN()+2,0))</f>
        <v>778.05569000000401</v>
      </c>
      <c r="C5" s="206">
        <f>IF(ISERROR(VLOOKUP($A5,'Man Tab'!$A:$Q,COLUMN()+2,0)),0,VLOOKUP($A5,'Man Tab'!$A:$Q,COLUMN()+2,0))</f>
        <v>720.72677999999996</v>
      </c>
      <c r="D5" s="206">
        <f>IF(ISERROR(VLOOKUP($A5,'Man Tab'!$A:$Q,COLUMN()+2,0)),0,VLOOKUP($A5,'Man Tab'!$A:$Q,COLUMN()+2,0))</f>
        <v>716.20755999999994</v>
      </c>
      <c r="E5" s="206">
        <f>IF(ISERROR(VLOOKUP($A5,'Man Tab'!$A:$Q,COLUMN()+2,0)),0,VLOOKUP($A5,'Man Tab'!$A:$Q,COLUMN()+2,0))</f>
        <v>785.52828</v>
      </c>
      <c r="F5" s="206">
        <f>IF(ISERROR(VLOOKUP($A5,'Man Tab'!$A:$Q,COLUMN()+2,0)),0,VLOOKUP($A5,'Man Tab'!$A:$Q,COLUMN()+2,0))</f>
        <v>715.74949000000004</v>
      </c>
      <c r="G5" s="206">
        <f>IF(ISERROR(VLOOKUP($A5,'Man Tab'!$A:$Q,COLUMN()+2,0)),0,VLOOKUP($A5,'Man Tab'!$A:$Q,COLUMN()+2,0))</f>
        <v>4.9406564584124654E-324</v>
      </c>
      <c r="H5" s="206">
        <f>IF(ISERROR(VLOOKUP($A5,'Man Tab'!$A:$Q,COLUMN()+2,0)),0,VLOOKUP($A5,'Man Tab'!$A:$Q,COLUMN()+2,0))</f>
        <v>4.9406564584124654E-324</v>
      </c>
      <c r="I5" s="206">
        <f>IF(ISERROR(VLOOKUP($A5,'Man Tab'!$A:$Q,COLUMN()+2,0)),0,VLOOKUP($A5,'Man Tab'!$A:$Q,COLUMN()+2,0))</f>
        <v>4.9406564584124654E-324</v>
      </c>
      <c r="J5" s="206">
        <f>IF(ISERROR(VLOOKUP($A5,'Man Tab'!$A:$Q,COLUMN()+2,0)),0,VLOOKUP($A5,'Man Tab'!$A:$Q,COLUMN()+2,0))</f>
        <v>4.9406564584124654E-324</v>
      </c>
      <c r="K5" s="206">
        <f>IF(ISERROR(VLOOKUP($A5,'Man Tab'!$A:$Q,COLUMN()+2,0)),0,VLOOKUP($A5,'Man Tab'!$A:$Q,COLUMN()+2,0))</f>
        <v>4.9406564584124654E-324</v>
      </c>
      <c r="L5" s="206">
        <f>IF(ISERROR(VLOOKUP($A5,'Man Tab'!$A:$Q,COLUMN()+2,0)),0,VLOOKUP($A5,'Man Tab'!$A:$Q,COLUMN()+2,0))</f>
        <v>4.9406564584124654E-324</v>
      </c>
      <c r="M5" s="206">
        <f>IF(ISERROR(VLOOKUP($A5,'Man Tab'!$A:$Q,COLUMN()+2,0)),0,VLOOKUP($A5,'Man Tab'!$A:$Q,COLUMN()+2,0))</f>
        <v>4.9406564584124654E-324</v>
      </c>
    </row>
    <row r="6" spans="1:13" ht="14.4" customHeight="1" x14ac:dyDescent="0.3">
      <c r="A6" s="207" t="s">
        <v>77</v>
      </c>
      <c r="B6" s="208">
        <f>B5</f>
        <v>778.05569000000401</v>
      </c>
      <c r="C6" s="208">
        <f t="shared" ref="C6:M6" si="1">C5+B6</f>
        <v>1498.782470000004</v>
      </c>
      <c r="D6" s="208">
        <f t="shared" si="1"/>
        <v>2214.990030000004</v>
      </c>
      <c r="E6" s="208">
        <f t="shared" si="1"/>
        <v>3000.518310000004</v>
      </c>
      <c r="F6" s="208">
        <f t="shared" si="1"/>
        <v>3716.2678000000042</v>
      </c>
      <c r="G6" s="208">
        <f t="shared" si="1"/>
        <v>3716.2678000000042</v>
      </c>
      <c r="H6" s="208">
        <f t="shared" si="1"/>
        <v>3716.2678000000042</v>
      </c>
      <c r="I6" s="208">
        <f t="shared" si="1"/>
        <v>3716.2678000000042</v>
      </c>
      <c r="J6" s="208">
        <f t="shared" si="1"/>
        <v>3716.2678000000042</v>
      </c>
      <c r="K6" s="208">
        <f t="shared" si="1"/>
        <v>3716.2678000000042</v>
      </c>
      <c r="L6" s="208">
        <f t="shared" si="1"/>
        <v>3716.2678000000042</v>
      </c>
      <c r="M6" s="208">
        <f t="shared" si="1"/>
        <v>3716.2678000000042</v>
      </c>
    </row>
    <row r="7" spans="1:13" ht="14.4" customHeight="1" x14ac:dyDescent="0.3">
      <c r="A7" s="207" t="s">
        <v>104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13" ht="14.4" customHeight="1" x14ac:dyDescent="0.3">
      <c r="A8" s="207" t="s">
        <v>78</v>
      </c>
      <c r="B8" s="208">
        <f>B7*30</f>
        <v>0</v>
      </c>
      <c r="C8" s="208">
        <f t="shared" ref="C8:M8" si="2">C7*30</f>
        <v>0</v>
      </c>
      <c r="D8" s="208">
        <f t="shared" si="2"/>
        <v>0</v>
      </c>
      <c r="E8" s="208">
        <f t="shared" si="2"/>
        <v>0</v>
      </c>
      <c r="F8" s="208">
        <f t="shared" si="2"/>
        <v>0</v>
      </c>
      <c r="G8" s="208">
        <f t="shared" si="2"/>
        <v>0</v>
      </c>
      <c r="H8" s="208">
        <f t="shared" si="2"/>
        <v>0</v>
      </c>
      <c r="I8" s="208">
        <f t="shared" si="2"/>
        <v>0</v>
      </c>
      <c r="J8" s="208">
        <f t="shared" si="2"/>
        <v>0</v>
      </c>
      <c r="K8" s="208">
        <f t="shared" si="2"/>
        <v>0</v>
      </c>
      <c r="L8" s="208">
        <f t="shared" si="2"/>
        <v>0</v>
      </c>
      <c r="M8" s="208">
        <f t="shared" si="2"/>
        <v>0</v>
      </c>
    </row>
    <row r="9" spans="1:13" ht="14.4" customHeight="1" x14ac:dyDescent="0.3">
      <c r="A9" s="207" t="s">
        <v>105</v>
      </c>
      <c r="B9" s="207">
        <v>221132</v>
      </c>
      <c r="C9" s="207">
        <v>169398</v>
      </c>
      <c r="D9" s="207">
        <v>182215</v>
      </c>
      <c r="E9" s="207">
        <v>178668</v>
      </c>
      <c r="F9" s="207">
        <v>177253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</row>
    <row r="10" spans="1:13" ht="14.4" customHeight="1" x14ac:dyDescent="0.3">
      <c r="A10" s="207" t="s">
        <v>79</v>
      </c>
      <c r="B10" s="208">
        <f>B9/1000</f>
        <v>221.13200000000001</v>
      </c>
      <c r="C10" s="208">
        <f t="shared" ref="C10:M10" si="3">C9/1000+B10</f>
        <v>390.53</v>
      </c>
      <c r="D10" s="208">
        <f t="shared" si="3"/>
        <v>572.745</v>
      </c>
      <c r="E10" s="208">
        <f t="shared" si="3"/>
        <v>751.41300000000001</v>
      </c>
      <c r="F10" s="208">
        <f t="shared" si="3"/>
        <v>928.66599999999994</v>
      </c>
      <c r="G10" s="208">
        <f t="shared" si="3"/>
        <v>928.66599999999994</v>
      </c>
      <c r="H10" s="208">
        <f t="shared" si="3"/>
        <v>928.66599999999994</v>
      </c>
      <c r="I10" s="208">
        <f t="shared" si="3"/>
        <v>928.66599999999994</v>
      </c>
      <c r="J10" s="208">
        <f t="shared" si="3"/>
        <v>928.66599999999994</v>
      </c>
      <c r="K10" s="208">
        <f t="shared" si="3"/>
        <v>928.66599999999994</v>
      </c>
      <c r="L10" s="208">
        <f t="shared" si="3"/>
        <v>928.66599999999994</v>
      </c>
      <c r="M10" s="208">
        <f t="shared" si="3"/>
        <v>928.66599999999994</v>
      </c>
    </row>
    <row r="11" spans="1:13" ht="14.4" customHeight="1" x14ac:dyDescent="0.3">
      <c r="A11" s="203"/>
      <c r="B11" s="203" t="s">
        <v>94</v>
      </c>
      <c r="C11" s="203">
        <f ca="1">IF(MONTH(TODAY())=1,12,MONTH(TODAY())-1)</f>
        <v>5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</row>
    <row r="12" spans="1:13" ht="14.4" customHeight="1" x14ac:dyDescent="0.3">
      <c r="A12" s="203">
        <v>0</v>
      </c>
      <c r="B12" s="206">
        <f>IF(ISERROR(HI!F15),#REF!,HI!F15)</f>
        <v>0.25568368301710537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</row>
    <row r="13" spans="1:13" ht="14.4" customHeight="1" x14ac:dyDescent="0.3">
      <c r="A13" s="203">
        <v>1</v>
      </c>
      <c r="B13" s="206">
        <f>IF(ISERROR(HI!F15),#REF!,HI!F15)</f>
        <v>0.25568368301710537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9" customFormat="1" ht="18.600000000000001" customHeight="1" thickBot="1" x14ac:dyDescent="0.4">
      <c r="A1" s="319" t="s">
        <v>274</v>
      </c>
      <c r="B1" s="319"/>
      <c r="C1" s="319"/>
      <c r="D1" s="319"/>
      <c r="E1" s="319"/>
      <c r="F1" s="319"/>
      <c r="G1" s="319"/>
      <c r="H1" s="310"/>
      <c r="I1" s="310"/>
      <c r="J1" s="310"/>
      <c r="K1" s="310"/>
      <c r="L1" s="310"/>
      <c r="M1" s="310"/>
      <c r="N1" s="310"/>
      <c r="O1" s="310"/>
      <c r="P1" s="310"/>
      <c r="Q1" s="310"/>
    </row>
    <row r="2" spans="1:17" s="209" customFormat="1" ht="14.4" customHeight="1" thickBot="1" x14ac:dyDescent="0.3">
      <c r="A2" s="240" t="s">
        <v>272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17" ht="14.4" customHeight="1" x14ac:dyDescent="0.3">
      <c r="A3" s="76"/>
      <c r="B3" s="320" t="s">
        <v>29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141"/>
      <c r="Q3" s="143"/>
    </row>
    <row r="4" spans="1:17" ht="14.4" customHeight="1" x14ac:dyDescent="0.3">
      <c r="A4" s="77"/>
      <c r="B4" s="20">
        <v>2014</v>
      </c>
      <c r="C4" s="142" t="s">
        <v>30</v>
      </c>
      <c r="D4" s="132" t="s">
        <v>173</v>
      </c>
      <c r="E4" s="132" t="s">
        <v>174</v>
      </c>
      <c r="F4" s="132" t="s">
        <v>175</v>
      </c>
      <c r="G4" s="132" t="s">
        <v>176</v>
      </c>
      <c r="H4" s="132" t="s">
        <v>177</v>
      </c>
      <c r="I4" s="132" t="s">
        <v>178</v>
      </c>
      <c r="J4" s="132" t="s">
        <v>179</v>
      </c>
      <c r="K4" s="132" t="s">
        <v>180</v>
      </c>
      <c r="L4" s="132" t="s">
        <v>181</v>
      </c>
      <c r="M4" s="132" t="s">
        <v>182</v>
      </c>
      <c r="N4" s="132" t="s">
        <v>183</v>
      </c>
      <c r="O4" s="132" t="s">
        <v>184</v>
      </c>
      <c r="P4" s="322" t="s">
        <v>3</v>
      </c>
      <c r="Q4" s="323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2.4703282292062327E-323</v>
      </c>
      <c r="Q6" s="95" t="s">
        <v>273</v>
      </c>
    </row>
    <row r="7" spans="1:17" ht="14.4" customHeight="1" x14ac:dyDescent="0.3">
      <c r="A7" s="15" t="s">
        <v>35</v>
      </c>
      <c r="B7" s="51">
        <v>799.04018947148097</v>
      </c>
      <c r="C7" s="52">
        <v>66.586682455955994</v>
      </c>
      <c r="D7" s="52">
        <v>53.224670000000003</v>
      </c>
      <c r="E7" s="52">
        <v>37.199019999999997</v>
      </c>
      <c r="F7" s="52">
        <v>41.342579999999998</v>
      </c>
      <c r="G7" s="52">
        <v>76.879819999999995</v>
      </c>
      <c r="H7" s="52">
        <v>38.044199999999996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246.69029</v>
      </c>
      <c r="Q7" s="96">
        <v>0.74095984632699996</v>
      </c>
    </row>
    <row r="8" spans="1:17" ht="14.4" customHeight="1" x14ac:dyDescent="0.3">
      <c r="A8" s="15" t="s">
        <v>36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2.4703282292062327E-323</v>
      </c>
      <c r="Q8" s="96" t="s">
        <v>273</v>
      </c>
    </row>
    <row r="9" spans="1:17" ht="14.4" customHeight="1" x14ac:dyDescent="0.3">
      <c r="A9" s="15" t="s">
        <v>37</v>
      </c>
      <c r="B9" s="51">
        <v>81.939126417829996</v>
      </c>
      <c r="C9" s="52">
        <v>6.828260534819</v>
      </c>
      <c r="D9" s="52">
        <v>1.5437000000000001</v>
      </c>
      <c r="E9" s="52">
        <v>4.7906199999999997</v>
      </c>
      <c r="F9" s="52">
        <v>4.6877700000000004</v>
      </c>
      <c r="G9" s="52">
        <v>5.43926</v>
      </c>
      <c r="H9" s="52">
        <v>5.28592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21.74727</v>
      </c>
      <c r="Q9" s="96">
        <v>0.636978331131</v>
      </c>
    </row>
    <row r="10" spans="1:17" ht="14.4" customHeight="1" x14ac:dyDescent="0.3">
      <c r="A10" s="15" t="s">
        <v>38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2.4703282292062327E-323</v>
      </c>
      <c r="Q10" s="96" t="s">
        <v>273</v>
      </c>
    </row>
    <row r="11" spans="1:17" ht="14.4" customHeight="1" x14ac:dyDescent="0.3">
      <c r="A11" s="15" t="s">
        <v>39</v>
      </c>
      <c r="B11" s="51">
        <v>100.800141184086</v>
      </c>
      <c r="C11" s="52">
        <v>8.4000117653400004</v>
      </c>
      <c r="D11" s="52">
        <v>5.33216</v>
      </c>
      <c r="E11" s="52">
        <v>3.0661499999999999</v>
      </c>
      <c r="F11" s="52">
        <v>11.2155</v>
      </c>
      <c r="G11" s="52">
        <v>11.90929</v>
      </c>
      <c r="H11" s="52">
        <v>3.2291500000000002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34.752249999999997</v>
      </c>
      <c r="Q11" s="96">
        <v>0.82743336487600005</v>
      </c>
    </row>
    <row r="12" spans="1:17" ht="14.4" customHeight="1" x14ac:dyDescent="0.3">
      <c r="A12" s="15" t="s">
        <v>40</v>
      </c>
      <c r="B12" s="51">
        <v>4.8941998601070003</v>
      </c>
      <c r="C12" s="52">
        <v>0.40784998834199998</v>
      </c>
      <c r="D12" s="52">
        <v>0.28560000000000002</v>
      </c>
      <c r="E12" s="52">
        <v>4.9406564584124654E-324</v>
      </c>
      <c r="F12" s="52">
        <v>0.23627000000000001</v>
      </c>
      <c r="G12" s="52">
        <v>4.9406564584124654E-324</v>
      </c>
      <c r="H12" s="52">
        <v>0.30009999999999998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0.82196999999999998</v>
      </c>
      <c r="Q12" s="96">
        <v>0.40307467132199998</v>
      </c>
    </row>
    <row r="13" spans="1:17" ht="14.4" customHeight="1" x14ac:dyDescent="0.3">
      <c r="A13" s="15" t="s">
        <v>41</v>
      </c>
      <c r="B13" s="51">
        <v>5.4714928329830004</v>
      </c>
      <c r="C13" s="52">
        <v>0.45595773608099999</v>
      </c>
      <c r="D13" s="52">
        <v>0.90093000000000001</v>
      </c>
      <c r="E13" s="52">
        <v>0.23135</v>
      </c>
      <c r="F13" s="52">
        <v>0.89319999999999999</v>
      </c>
      <c r="G13" s="52">
        <v>0.23135</v>
      </c>
      <c r="H13" s="52">
        <v>0.23135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2.4881799999999998</v>
      </c>
      <c r="Q13" s="96">
        <v>1.091408173652</v>
      </c>
    </row>
    <row r="14" spans="1:17" ht="14.4" customHeight="1" x14ac:dyDescent="0.3">
      <c r="A14" s="15" t="s">
        <v>42</v>
      </c>
      <c r="B14" s="51">
        <v>1186.5711549196601</v>
      </c>
      <c r="C14" s="52">
        <v>98.880929576637996</v>
      </c>
      <c r="D14" s="52">
        <v>139.99800000000101</v>
      </c>
      <c r="E14" s="52">
        <v>117.651</v>
      </c>
      <c r="F14" s="52">
        <v>105.108</v>
      </c>
      <c r="G14" s="52">
        <v>87.174000000000007</v>
      </c>
      <c r="H14" s="52">
        <v>74.311000000000007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524.24200000000098</v>
      </c>
      <c r="Q14" s="96">
        <v>1.060350063949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2.4703282292062327E-323</v>
      </c>
      <c r="Q15" s="96" t="s">
        <v>273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2.4703282292062327E-323</v>
      </c>
      <c r="Q16" s="96" t="s">
        <v>273</v>
      </c>
    </row>
    <row r="17" spans="1:17" ht="14.4" customHeight="1" x14ac:dyDescent="0.3">
      <c r="A17" s="15" t="s">
        <v>45</v>
      </c>
      <c r="B17" s="51">
        <v>55.262643467825001</v>
      </c>
      <c r="C17" s="52">
        <v>4.6052202889849996</v>
      </c>
      <c r="D17" s="52">
        <v>0.58684999999999998</v>
      </c>
      <c r="E17" s="52">
        <v>4.1372400000000003</v>
      </c>
      <c r="F17" s="52">
        <v>3.31168</v>
      </c>
      <c r="G17" s="52">
        <v>31.98368</v>
      </c>
      <c r="H17" s="52">
        <v>2.4234200000000001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42.442869999999999</v>
      </c>
      <c r="Q17" s="96">
        <v>1.8432503696510001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4.9406564584124654E-324</v>
      </c>
      <c r="E18" s="52">
        <v>1.091</v>
      </c>
      <c r="F18" s="52">
        <v>4.9406564584124654E-324</v>
      </c>
      <c r="G18" s="52">
        <v>4.9406564584124654E-324</v>
      </c>
      <c r="H18" s="52">
        <v>1.49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2.581</v>
      </c>
      <c r="Q18" s="96" t="s">
        <v>273</v>
      </c>
    </row>
    <row r="19" spans="1:17" ht="14.4" customHeight="1" x14ac:dyDescent="0.3">
      <c r="A19" s="15" t="s">
        <v>47</v>
      </c>
      <c r="B19" s="51">
        <v>217.001093616248</v>
      </c>
      <c r="C19" s="52">
        <v>18.083424468019999</v>
      </c>
      <c r="D19" s="52">
        <v>18.67754</v>
      </c>
      <c r="E19" s="52">
        <v>9.9350400000000008</v>
      </c>
      <c r="F19" s="52">
        <v>15.028449999999999</v>
      </c>
      <c r="G19" s="52">
        <v>8.6847899999999996</v>
      </c>
      <c r="H19" s="52">
        <v>28.256489999999999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80.582310000000007</v>
      </c>
      <c r="Q19" s="96">
        <v>0.89122843012899999</v>
      </c>
    </row>
    <row r="20" spans="1:17" ht="14.4" customHeight="1" x14ac:dyDescent="0.3">
      <c r="A20" s="15" t="s">
        <v>48</v>
      </c>
      <c r="B20" s="51">
        <v>6771.0335440683002</v>
      </c>
      <c r="C20" s="52">
        <v>564.25279533902506</v>
      </c>
      <c r="D20" s="52">
        <v>533.415240000003</v>
      </c>
      <c r="E20" s="52">
        <v>518.53435999999999</v>
      </c>
      <c r="F20" s="52">
        <v>510.29311000000001</v>
      </c>
      <c r="G20" s="52">
        <v>539.13508999999999</v>
      </c>
      <c r="H20" s="52">
        <v>538.08686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2639.4646600000001</v>
      </c>
      <c r="Q20" s="96">
        <v>0.93556103994600004</v>
      </c>
    </row>
    <row r="21" spans="1:17" ht="14.4" customHeight="1" x14ac:dyDescent="0.3">
      <c r="A21" s="16" t="s">
        <v>49</v>
      </c>
      <c r="B21" s="51">
        <v>288.99459154803202</v>
      </c>
      <c r="C21" s="52">
        <v>24.082882629002</v>
      </c>
      <c r="D21" s="52">
        <v>24.091000000000001</v>
      </c>
      <c r="E21" s="52">
        <v>24.091000000000001</v>
      </c>
      <c r="F21" s="52">
        <v>24.091000000000001</v>
      </c>
      <c r="G21" s="52">
        <v>24.091000000000001</v>
      </c>
      <c r="H21" s="52">
        <v>24.091000000000001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120.455</v>
      </c>
      <c r="Q21" s="96">
        <v>1.000337059774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2.4703282292062327E-323</v>
      </c>
      <c r="Q22" s="96" t="s">
        <v>273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9.8813129168249309E-323</v>
      </c>
      <c r="Q23" s="96" t="s">
        <v>273</v>
      </c>
    </row>
    <row r="24" spans="1:17" ht="14.4" customHeight="1" x14ac:dyDescent="0.3">
      <c r="A24" s="16" t="s">
        <v>52</v>
      </c>
      <c r="B24" s="51">
        <v>1.8189894035458601E-12</v>
      </c>
      <c r="C24" s="52">
        <v>0</v>
      </c>
      <c r="D24" s="52">
        <v>0</v>
      </c>
      <c r="E24" s="52">
        <v>0</v>
      </c>
      <c r="F24" s="52">
        <v>1.13686837721616E-13</v>
      </c>
      <c r="G24" s="52">
        <v>0</v>
      </c>
      <c r="H24" s="52">
        <v>1.13686837721616E-13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2.2737367544323201E-13</v>
      </c>
      <c r="Q24" s="96"/>
    </row>
    <row r="25" spans="1:17" ht="14.4" customHeight="1" x14ac:dyDescent="0.3">
      <c r="A25" s="17" t="s">
        <v>53</v>
      </c>
      <c r="B25" s="54">
        <v>9511.0081773865604</v>
      </c>
      <c r="C25" s="55">
        <v>792.58401478221299</v>
      </c>
      <c r="D25" s="55">
        <v>778.05569000000401</v>
      </c>
      <c r="E25" s="55">
        <v>720.72677999999996</v>
      </c>
      <c r="F25" s="55">
        <v>716.20755999999994</v>
      </c>
      <c r="G25" s="55">
        <v>785.52828</v>
      </c>
      <c r="H25" s="55">
        <v>715.74949000000004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3716.2678000000001</v>
      </c>
      <c r="Q25" s="97">
        <v>0.937759967571</v>
      </c>
    </row>
    <row r="26" spans="1:17" ht="14.4" customHeight="1" x14ac:dyDescent="0.3">
      <c r="A26" s="15" t="s">
        <v>54</v>
      </c>
      <c r="B26" s="51">
        <v>1321.0015593989201</v>
      </c>
      <c r="C26" s="52">
        <v>110.083463283244</v>
      </c>
      <c r="D26" s="52">
        <v>98.418880000000001</v>
      </c>
      <c r="E26" s="52">
        <v>87.53931</v>
      </c>
      <c r="F26" s="52">
        <v>94.741699999999994</v>
      </c>
      <c r="G26" s="52">
        <v>97.930310000000006</v>
      </c>
      <c r="H26" s="52">
        <v>99.011399999999995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477.64159999999998</v>
      </c>
      <c r="Q26" s="96">
        <v>0.867780837837</v>
      </c>
    </row>
    <row r="27" spans="1:17" ht="14.4" customHeight="1" x14ac:dyDescent="0.3">
      <c r="A27" s="18" t="s">
        <v>55</v>
      </c>
      <c r="B27" s="54">
        <v>10832.0097367855</v>
      </c>
      <c r="C27" s="55">
        <v>902.66747806545595</v>
      </c>
      <c r="D27" s="55">
        <v>876.47457000000395</v>
      </c>
      <c r="E27" s="55">
        <v>808.26608999999996</v>
      </c>
      <c r="F27" s="55">
        <v>810.94925999999998</v>
      </c>
      <c r="G27" s="55">
        <v>883.45858999999996</v>
      </c>
      <c r="H27" s="55">
        <v>814.76089000000002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4193.9093999999996</v>
      </c>
      <c r="Q27" s="97">
        <v>0.92922576738600005</v>
      </c>
    </row>
    <row r="28" spans="1:17" ht="14.4" customHeight="1" x14ac:dyDescent="0.3">
      <c r="A28" s="16" t="s">
        <v>56</v>
      </c>
      <c r="B28" s="51">
        <v>3641.8615312176298</v>
      </c>
      <c r="C28" s="52">
        <v>303.48846093480199</v>
      </c>
      <c r="D28" s="52">
        <v>309.96321</v>
      </c>
      <c r="E28" s="52">
        <v>300.09784999999999</v>
      </c>
      <c r="F28" s="52">
        <v>326.46519999999998</v>
      </c>
      <c r="G28" s="52">
        <v>396.73505999999998</v>
      </c>
      <c r="H28" s="52">
        <v>296.96420000000001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1630.22552</v>
      </c>
      <c r="Q28" s="96">
        <v>1.0743245492619999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4.9406564584124654E-323</v>
      </c>
      <c r="Q29" s="96" t="s">
        <v>273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2.4703282292062327E-322</v>
      </c>
      <c r="Q30" s="96">
        <v>0</v>
      </c>
    </row>
    <row r="31" spans="1:17" ht="14.4" customHeight="1" thickBot="1" x14ac:dyDescent="0.35">
      <c r="A31" s="19" t="s">
        <v>59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1.2351641146031164E-322</v>
      </c>
      <c r="Q31" s="98" t="s">
        <v>273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166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193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19" t="s">
        <v>61</v>
      </c>
      <c r="B1" s="319"/>
      <c r="C1" s="319"/>
      <c r="D1" s="319"/>
      <c r="E1" s="319"/>
      <c r="F1" s="319"/>
      <c r="G1" s="319"/>
      <c r="H1" s="324"/>
      <c r="I1" s="324"/>
      <c r="J1" s="324"/>
      <c r="K1" s="324"/>
    </row>
    <row r="2" spans="1:11" s="60" customFormat="1" ht="14.4" customHeight="1" thickBot="1" x14ac:dyDescent="0.35">
      <c r="A2" s="240" t="s">
        <v>272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0" t="s">
        <v>62</v>
      </c>
      <c r="C3" s="321"/>
      <c r="D3" s="321"/>
      <c r="E3" s="321"/>
      <c r="F3" s="327" t="s">
        <v>63</v>
      </c>
      <c r="G3" s="321"/>
      <c r="H3" s="321"/>
      <c r="I3" s="321"/>
      <c r="J3" s="321"/>
      <c r="K3" s="328"/>
    </row>
    <row r="4" spans="1:11" ht="14.4" customHeight="1" x14ac:dyDescent="0.3">
      <c r="A4" s="77"/>
      <c r="B4" s="325"/>
      <c r="C4" s="326"/>
      <c r="D4" s="326"/>
      <c r="E4" s="326"/>
      <c r="F4" s="329" t="s">
        <v>189</v>
      </c>
      <c r="G4" s="331" t="s">
        <v>64</v>
      </c>
      <c r="H4" s="144" t="s">
        <v>147</v>
      </c>
      <c r="I4" s="329" t="s">
        <v>65</v>
      </c>
      <c r="J4" s="331" t="s">
        <v>191</v>
      </c>
      <c r="K4" s="332" t="s">
        <v>192</v>
      </c>
    </row>
    <row r="5" spans="1:11" ht="42" thickBot="1" x14ac:dyDescent="0.35">
      <c r="A5" s="78"/>
      <c r="B5" s="24" t="s">
        <v>185</v>
      </c>
      <c r="C5" s="25" t="s">
        <v>186</v>
      </c>
      <c r="D5" s="26" t="s">
        <v>187</v>
      </c>
      <c r="E5" s="26" t="s">
        <v>188</v>
      </c>
      <c r="F5" s="330"/>
      <c r="G5" s="330"/>
      <c r="H5" s="25" t="s">
        <v>190</v>
      </c>
      <c r="I5" s="330"/>
      <c r="J5" s="330"/>
      <c r="K5" s="333"/>
    </row>
    <row r="6" spans="1:11" ht="14.4" customHeight="1" thickBot="1" x14ac:dyDescent="0.35">
      <c r="A6" s="411" t="s">
        <v>275</v>
      </c>
      <c r="B6" s="393">
        <v>9055.7816558676805</v>
      </c>
      <c r="C6" s="393">
        <v>9257.4608100000005</v>
      </c>
      <c r="D6" s="394">
        <v>201.67915413232899</v>
      </c>
      <c r="E6" s="395">
        <v>1.0222707615740001</v>
      </c>
      <c r="F6" s="393">
        <v>9511.0081773865604</v>
      </c>
      <c r="G6" s="394">
        <v>3962.9200739110602</v>
      </c>
      <c r="H6" s="396">
        <v>715.74949000000004</v>
      </c>
      <c r="I6" s="393">
        <v>3716.2678000000001</v>
      </c>
      <c r="J6" s="394">
        <v>-246.652273911061</v>
      </c>
      <c r="K6" s="397">
        <v>0.39073331982100001</v>
      </c>
    </row>
    <row r="7" spans="1:11" ht="14.4" customHeight="1" thickBot="1" x14ac:dyDescent="0.35">
      <c r="A7" s="412" t="s">
        <v>276</v>
      </c>
      <c r="B7" s="393">
        <v>2451.11857005409</v>
      </c>
      <c r="C7" s="393">
        <v>1994.7084400000001</v>
      </c>
      <c r="D7" s="394">
        <v>-456.410130054089</v>
      </c>
      <c r="E7" s="395">
        <v>0.81379516453</v>
      </c>
      <c r="F7" s="393">
        <v>2178.7163046861501</v>
      </c>
      <c r="G7" s="394">
        <v>907.79846028589395</v>
      </c>
      <c r="H7" s="396">
        <v>121.40172</v>
      </c>
      <c r="I7" s="393">
        <v>830.74196000000097</v>
      </c>
      <c r="J7" s="394">
        <v>-77.056500285892994</v>
      </c>
      <c r="K7" s="397">
        <v>0.38129882179300001</v>
      </c>
    </row>
    <row r="8" spans="1:11" ht="14.4" customHeight="1" thickBot="1" x14ac:dyDescent="0.35">
      <c r="A8" s="413" t="s">
        <v>277</v>
      </c>
      <c r="B8" s="393">
        <v>1167.7569883005101</v>
      </c>
      <c r="C8" s="393">
        <v>767.04643999999996</v>
      </c>
      <c r="D8" s="394">
        <v>-400.710548300509</v>
      </c>
      <c r="E8" s="395">
        <v>0.65685450627499997</v>
      </c>
      <c r="F8" s="393">
        <v>992.14514976648695</v>
      </c>
      <c r="G8" s="394">
        <v>413.39381240270302</v>
      </c>
      <c r="H8" s="396">
        <v>47.090719999999997</v>
      </c>
      <c r="I8" s="393">
        <v>306.49995999999999</v>
      </c>
      <c r="J8" s="394">
        <v>-106.893852402703</v>
      </c>
      <c r="K8" s="397">
        <v>0.30892653163900002</v>
      </c>
    </row>
    <row r="9" spans="1:11" ht="14.4" customHeight="1" thickBot="1" x14ac:dyDescent="0.35">
      <c r="A9" s="414" t="s">
        <v>278</v>
      </c>
      <c r="B9" s="398">
        <v>1004.85308138937</v>
      </c>
      <c r="C9" s="398">
        <v>582.44007999999997</v>
      </c>
      <c r="D9" s="399">
        <v>-422.41300138937402</v>
      </c>
      <c r="E9" s="400">
        <v>0.57962710249600002</v>
      </c>
      <c r="F9" s="398">
        <v>799.04018947148097</v>
      </c>
      <c r="G9" s="399">
        <v>332.93341227978402</v>
      </c>
      <c r="H9" s="401">
        <v>38.044199999999996</v>
      </c>
      <c r="I9" s="398">
        <v>246.69029</v>
      </c>
      <c r="J9" s="399">
        <v>-86.243122279782995</v>
      </c>
      <c r="K9" s="402">
        <v>0.30873326930200001</v>
      </c>
    </row>
    <row r="10" spans="1:11" ht="14.4" customHeight="1" thickBot="1" x14ac:dyDescent="0.35">
      <c r="A10" s="415" t="s">
        <v>279</v>
      </c>
      <c r="B10" s="393">
        <v>1002.86531696445</v>
      </c>
      <c r="C10" s="393">
        <v>582.40260999999998</v>
      </c>
      <c r="D10" s="394">
        <v>-420.46270696445202</v>
      </c>
      <c r="E10" s="395">
        <v>0.58073860980900005</v>
      </c>
      <c r="F10" s="393">
        <v>799.00226389420004</v>
      </c>
      <c r="G10" s="394">
        <v>332.91760995591699</v>
      </c>
      <c r="H10" s="396">
        <v>38.044199999999996</v>
      </c>
      <c r="I10" s="393">
        <v>246.69029</v>
      </c>
      <c r="J10" s="394">
        <v>-86.227319955916002</v>
      </c>
      <c r="K10" s="397">
        <v>0.30874792368800003</v>
      </c>
    </row>
    <row r="11" spans="1:11" ht="14.4" customHeight="1" thickBot="1" x14ac:dyDescent="0.35">
      <c r="A11" s="415" t="s">
        <v>280</v>
      </c>
      <c r="B11" s="393">
        <v>1.000010671733</v>
      </c>
      <c r="C11" s="393">
        <v>3.7470000000000003E-2</v>
      </c>
      <c r="D11" s="394">
        <v>-0.96254067173299995</v>
      </c>
      <c r="E11" s="395">
        <v>3.7469600133999997E-2</v>
      </c>
      <c r="F11" s="393">
        <v>3.7925577279999997E-2</v>
      </c>
      <c r="G11" s="394">
        <v>1.5802323866000001E-2</v>
      </c>
      <c r="H11" s="396">
        <v>4.9406564584124654E-324</v>
      </c>
      <c r="I11" s="393">
        <v>2.4703282292062327E-323</v>
      </c>
      <c r="J11" s="394">
        <v>-1.5802323866000001E-2</v>
      </c>
      <c r="K11" s="397">
        <v>6.5216665251044544E-322</v>
      </c>
    </row>
    <row r="12" spans="1:11" ht="14.4" customHeight="1" thickBot="1" x14ac:dyDescent="0.35">
      <c r="A12" s="414" t="s">
        <v>281</v>
      </c>
      <c r="B12" s="398">
        <v>86.581388003870998</v>
      </c>
      <c r="C12" s="398">
        <v>81.502390000000005</v>
      </c>
      <c r="D12" s="399">
        <v>-5.0789980038709999</v>
      </c>
      <c r="E12" s="400">
        <v>0.94133845482300005</v>
      </c>
      <c r="F12" s="398">
        <v>81.939126417829996</v>
      </c>
      <c r="G12" s="399">
        <v>34.141302674096003</v>
      </c>
      <c r="H12" s="401">
        <v>5.28592</v>
      </c>
      <c r="I12" s="398">
        <v>21.74727</v>
      </c>
      <c r="J12" s="399">
        <v>-12.394032674096</v>
      </c>
      <c r="K12" s="402">
        <v>0.26540763797099998</v>
      </c>
    </row>
    <row r="13" spans="1:11" ht="14.4" customHeight="1" thickBot="1" x14ac:dyDescent="0.35">
      <c r="A13" s="415" t="s">
        <v>282</v>
      </c>
      <c r="B13" s="393">
        <v>7</v>
      </c>
      <c r="C13" s="393">
        <v>11.908609999999999</v>
      </c>
      <c r="D13" s="394">
        <v>4.9086100000000004</v>
      </c>
      <c r="E13" s="395">
        <v>1.70123</v>
      </c>
      <c r="F13" s="393">
        <v>12.908599045861999</v>
      </c>
      <c r="G13" s="394">
        <v>5.3785829357750004</v>
      </c>
      <c r="H13" s="396">
        <v>1.53912</v>
      </c>
      <c r="I13" s="393">
        <v>6.5085899999999999</v>
      </c>
      <c r="J13" s="394">
        <v>1.1300070642240001</v>
      </c>
      <c r="K13" s="397">
        <v>0.50420576058400002</v>
      </c>
    </row>
    <row r="14" spans="1:11" ht="14.4" customHeight="1" thickBot="1" x14ac:dyDescent="0.35">
      <c r="A14" s="415" t="s">
        <v>283</v>
      </c>
      <c r="B14" s="393">
        <v>3.0494912279399999</v>
      </c>
      <c r="C14" s="393">
        <v>2.3810899999999999</v>
      </c>
      <c r="D14" s="394">
        <v>-0.66840122794000001</v>
      </c>
      <c r="E14" s="395">
        <v>0.780815494133</v>
      </c>
      <c r="F14" s="393">
        <v>2.3865047211979999</v>
      </c>
      <c r="G14" s="394">
        <v>0.99437696716599999</v>
      </c>
      <c r="H14" s="396">
        <v>0.12330000000000001</v>
      </c>
      <c r="I14" s="393">
        <v>0.61673</v>
      </c>
      <c r="J14" s="394">
        <v>-0.37764696716599999</v>
      </c>
      <c r="K14" s="397">
        <v>0.25842395974400001</v>
      </c>
    </row>
    <row r="15" spans="1:11" ht="14.4" customHeight="1" thickBot="1" x14ac:dyDescent="0.35">
      <c r="A15" s="415" t="s">
        <v>284</v>
      </c>
      <c r="B15" s="393">
        <v>32.914959169917999</v>
      </c>
      <c r="C15" s="393">
        <v>31.546330000000001</v>
      </c>
      <c r="D15" s="394">
        <v>-1.368629169918</v>
      </c>
      <c r="E15" s="395">
        <v>0.95841923537399998</v>
      </c>
      <c r="F15" s="393">
        <v>31.546092350763999</v>
      </c>
      <c r="G15" s="394">
        <v>13.144205146151</v>
      </c>
      <c r="H15" s="396">
        <v>1.5515000000000001</v>
      </c>
      <c r="I15" s="393">
        <v>6.53695</v>
      </c>
      <c r="J15" s="394">
        <v>-6.6072551461510001</v>
      </c>
      <c r="K15" s="397">
        <v>0.207219009166</v>
      </c>
    </row>
    <row r="16" spans="1:11" ht="14.4" customHeight="1" thickBot="1" x14ac:dyDescent="0.35">
      <c r="A16" s="415" t="s">
        <v>285</v>
      </c>
      <c r="B16" s="393">
        <v>38.666712446882002</v>
      </c>
      <c r="C16" s="393">
        <v>31.576000000000001</v>
      </c>
      <c r="D16" s="394">
        <v>-7.0907124468819998</v>
      </c>
      <c r="E16" s="395">
        <v>0.81661972280100004</v>
      </c>
      <c r="F16" s="393">
        <v>30.932619226945999</v>
      </c>
      <c r="G16" s="394">
        <v>12.888591344561</v>
      </c>
      <c r="H16" s="396">
        <v>1.6339999999999999</v>
      </c>
      <c r="I16" s="393">
        <v>6.5339999999999998</v>
      </c>
      <c r="J16" s="394">
        <v>-6.3545913445600002</v>
      </c>
      <c r="K16" s="397">
        <v>0.21123332466799999</v>
      </c>
    </row>
    <row r="17" spans="1:11" ht="14.4" customHeight="1" thickBot="1" x14ac:dyDescent="0.35">
      <c r="A17" s="415" t="s">
        <v>286</v>
      </c>
      <c r="B17" s="393">
        <v>3</v>
      </c>
      <c r="C17" s="393">
        <v>1.46336</v>
      </c>
      <c r="D17" s="394">
        <v>-1.53664</v>
      </c>
      <c r="E17" s="395">
        <v>0.48778666666600001</v>
      </c>
      <c r="F17" s="393">
        <v>1.501137758447</v>
      </c>
      <c r="G17" s="394">
        <v>0.62547406601900002</v>
      </c>
      <c r="H17" s="396">
        <v>0.29599999999999999</v>
      </c>
      <c r="I17" s="393">
        <v>0.94599999999999995</v>
      </c>
      <c r="J17" s="394">
        <v>0.32052593398000001</v>
      </c>
      <c r="K17" s="397">
        <v>0.63018866501500004</v>
      </c>
    </row>
    <row r="18" spans="1:11" ht="14.4" customHeight="1" thickBot="1" x14ac:dyDescent="0.35">
      <c r="A18" s="415" t="s">
        <v>287</v>
      </c>
      <c r="B18" s="393">
        <v>1.9502251591299999</v>
      </c>
      <c r="C18" s="393">
        <v>2.6269999999999998</v>
      </c>
      <c r="D18" s="394">
        <v>0.67677484086899997</v>
      </c>
      <c r="E18" s="395">
        <v>1.3470239514140001</v>
      </c>
      <c r="F18" s="393">
        <v>2.6641733146109998</v>
      </c>
      <c r="G18" s="394">
        <v>1.110072214421</v>
      </c>
      <c r="H18" s="396">
        <v>0.14199999999999999</v>
      </c>
      <c r="I18" s="393">
        <v>0.60499999999999998</v>
      </c>
      <c r="J18" s="394">
        <v>-0.50507221442100003</v>
      </c>
      <c r="K18" s="397">
        <v>0.227087328246</v>
      </c>
    </row>
    <row r="19" spans="1:11" ht="14.4" customHeight="1" thickBot="1" x14ac:dyDescent="0.35">
      <c r="A19" s="414" t="s">
        <v>288</v>
      </c>
      <c r="B19" s="398">
        <v>69.682502571588003</v>
      </c>
      <c r="C19" s="398">
        <v>93.896010000000004</v>
      </c>
      <c r="D19" s="399">
        <v>24.213507428412001</v>
      </c>
      <c r="E19" s="400">
        <v>1.347483321276</v>
      </c>
      <c r="F19" s="398">
        <v>100.800141184086</v>
      </c>
      <c r="G19" s="399">
        <v>42.000058826702002</v>
      </c>
      <c r="H19" s="401">
        <v>3.2291500000000002</v>
      </c>
      <c r="I19" s="398">
        <v>34.752249999999997</v>
      </c>
      <c r="J19" s="399">
        <v>-7.2478088267020002</v>
      </c>
      <c r="K19" s="402">
        <v>0.34476390203099999</v>
      </c>
    </row>
    <row r="20" spans="1:11" ht="14.4" customHeight="1" thickBot="1" x14ac:dyDescent="0.35">
      <c r="A20" s="415" t="s">
        <v>289</v>
      </c>
      <c r="B20" s="393">
        <v>4.5875915536500003</v>
      </c>
      <c r="C20" s="393">
        <v>20.984760000000001</v>
      </c>
      <c r="D20" s="394">
        <v>16.397168446348999</v>
      </c>
      <c r="E20" s="395">
        <v>4.5742433158200004</v>
      </c>
      <c r="F20" s="393">
        <v>24.218620319271</v>
      </c>
      <c r="G20" s="394">
        <v>10.091091799696001</v>
      </c>
      <c r="H20" s="396">
        <v>4.9406564584124654E-324</v>
      </c>
      <c r="I20" s="393">
        <v>2.4703282292062327E-323</v>
      </c>
      <c r="J20" s="394">
        <v>-10.091091799696001</v>
      </c>
      <c r="K20" s="397">
        <v>0</v>
      </c>
    </row>
    <row r="21" spans="1:11" ht="14.4" customHeight="1" thickBot="1" x14ac:dyDescent="0.35">
      <c r="A21" s="415" t="s">
        <v>290</v>
      </c>
      <c r="B21" s="393">
        <v>0</v>
      </c>
      <c r="C21" s="393">
        <v>0.22943</v>
      </c>
      <c r="D21" s="394">
        <v>0.22943</v>
      </c>
      <c r="E21" s="403" t="s">
        <v>273</v>
      </c>
      <c r="F21" s="393">
        <v>0.23093460057000001</v>
      </c>
      <c r="G21" s="394">
        <v>9.6222750236999999E-2</v>
      </c>
      <c r="H21" s="396">
        <v>4.9406564584124654E-324</v>
      </c>
      <c r="I21" s="393">
        <v>6.5100000000000005E-2</v>
      </c>
      <c r="J21" s="394">
        <v>-3.1122750237000001E-2</v>
      </c>
      <c r="K21" s="397">
        <v>0.28189799120199999</v>
      </c>
    </row>
    <row r="22" spans="1:11" ht="14.4" customHeight="1" thickBot="1" x14ac:dyDescent="0.35">
      <c r="A22" s="415" t="s">
        <v>291</v>
      </c>
      <c r="B22" s="393">
        <v>8.9995435723420005</v>
      </c>
      <c r="C22" s="393">
        <v>12.348269999999999</v>
      </c>
      <c r="D22" s="394">
        <v>3.3487264276570001</v>
      </c>
      <c r="E22" s="395">
        <v>1.372099584911</v>
      </c>
      <c r="F22" s="393">
        <v>12.702025100788999</v>
      </c>
      <c r="G22" s="394">
        <v>5.292510458662</v>
      </c>
      <c r="H22" s="396">
        <v>0.11082</v>
      </c>
      <c r="I22" s="393">
        <v>3.2609300000000001</v>
      </c>
      <c r="J22" s="394">
        <v>-2.0315804586619999</v>
      </c>
      <c r="K22" s="397">
        <v>0.25672520516399999</v>
      </c>
    </row>
    <row r="23" spans="1:11" ht="14.4" customHeight="1" thickBot="1" x14ac:dyDescent="0.35">
      <c r="A23" s="415" t="s">
        <v>292</v>
      </c>
      <c r="B23" s="393">
        <v>28.85466852291</v>
      </c>
      <c r="C23" s="393">
        <v>27.780080000000002</v>
      </c>
      <c r="D23" s="394">
        <v>-1.0745885229100001</v>
      </c>
      <c r="E23" s="395">
        <v>0.96275859062199998</v>
      </c>
      <c r="F23" s="393">
        <v>26.031246613278999</v>
      </c>
      <c r="G23" s="394">
        <v>10.846352755531999</v>
      </c>
      <c r="H23" s="396">
        <v>1.67398</v>
      </c>
      <c r="I23" s="393">
        <v>9.4792400000000008</v>
      </c>
      <c r="J23" s="394">
        <v>-1.367112755532</v>
      </c>
      <c r="K23" s="397">
        <v>0.36414852276600002</v>
      </c>
    </row>
    <row r="24" spans="1:11" ht="14.4" customHeight="1" thickBot="1" x14ac:dyDescent="0.35">
      <c r="A24" s="415" t="s">
        <v>293</v>
      </c>
      <c r="B24" s="393">
        <v>1.7337157986730001</v>
      </c>
      <c r="C24" s="393">
        <v>2.3786200000000002</v>
      </c>
      <c r="D24" s="394">
        <v>0.64490420132600002</v>
      </c>
      <c r="E24" s="395">
        <v>1.3719780380490001</v>
      </c>
      <c r="F24" s="393">
        <v>4.9995948694530004</v>
      </c>
      <c r="G24" s="394">
        <v>2.0831645289380001</v>
      </c>
      <c r="H24" s="396">
        <v>4.9406564584124654E-324</v>
      </c>
      <c r="I24" s="393">
        <v>5.0588600000000001</v>
      </c>
      <c r="J24" s="394">
        <v>2.975695471061</v>
      </c>
      <c r="K24" s="397">
        <v>1.0118539865909999</v>
      </c>
    </row>
    <row r="25" spans="1:11" ht="14.4" customHeight="1" thickBot="1" x14ac:dyDescent="0.35">
      <c r="A25" s="415" t="s">
        <v>294</v>
      </c>
      <c r="B25" s="393">
        <v>25.506983124009999</v>
      </c>
      <c r="C25" s="393">
        <v>26.090890000000002</v>
      </c>
      <c r="D25" s="394">
        <v>0.58390687598900004</v>
      </c>
      <c r="E25" s="395">
        <v>1.0228920399220001</v>
      </c>
      <c r="F25" s="393">
        <v>29.171985844207999</v>
      </c>
      <c r="G25" s="394">
        <v>12.154994101752999</v>
      </c>
      <c r="H25" s="396">
        <v>1.0774600000000001</v>
      </c>
      <c r="I25" s="393">
        <v>15.54814</v>
      </c>
      <c r="J25" s="394">
        <v>3.3931458982459999</v>
      </c>
      <c r="K25" s="397">
        <v>0.53298188484700004</v>
      </c>
    </row>
    <row r="26" spans="1:11" ht="14.4" customHeight="1" thickBot="1" x14ac:dyDescent="0.35">
      <c r="A26" s="415" t="s">
        <v>295</v>
      </c>
      <c r="B26" s="393">
        <v>4.9406564584124654E-324</v>
      </c>
      <c r="C26" s="393">
        <v>4.0839600000000003</v>
      </c>
      <c r="D26" s="394">
        <v>4.0839600000000003</v>
      </c>
      <c r="E26" s="403" t="s">
        <v>296</v>
      </c>
      <c r="F26" s="393">
        <v>3.4457338365119998</v>
      </c>
      <c r="G26" s="394">
        <v>1.4357224318799999</v>
      </c>
      <c r="H26" s="396">
        <v>0.36688999999999999</v>
      </c>
      <c r="I26" s="393">
        <v>1.3399799999999999</v>
      </c>
      <c r="J26" s="394">
        <v>-9.5742431880000006E-2</v>
      </c>
      <c r="K26" s="397">
        <v>0.388880878087</v>
      </c>
    </row>
    <row r="27" spans="1:11" ht="14.4" customHeight="1" thickBot="1" x14ac:dyDescent="0.35">
      <c r="A27" s="414" t="s">
        <v>297</v>
      </c>
      <c r="B27" s="398">
        <v>1.283560915734</v>
      </c>
      <c r="C27" s="398">
        <v>5.0661300000000002</v>
      </c>
      <c r="D27" s="399">
        <v>3.7825690842649999</v>
      </c>
      <c r="E27" s="400">
        <v>3.9469338290809999</v>
      </c>
      <c r="F27" s="398">
        <v>4.8941998601070003</v>
      </c>
      <c r="G27" s="399">
        <v>2.0392499417110002</v>
      </c>
      <c r="H27" s="401">
        <v>0.30009999999999998</v>
      </c>
      <c r="I27" s="398">
        <v>0.82196999999999998</v>
      </c>
      <c r="J27" s="399">
        <v>-1.2172799417110001</v>
      </c>
      <c r="K27" s="402">
        <v>0.16794777971700001</v>
      </c>
    </row>
    <row r="28" spans="1:11" ht="14.4" customHeight="1" thickBot="1" x14ac:dyDescent="0.35">
      <c r="A28" s="415" t="s">
        <v>298</v>
      </c>
      <c r="B28" s="393">
        <v>4.9406564584124654E-324</v>
      </c>
      <c r="C28" s="393">
        <v>2.0884</v>
      </c>
      <c r="D28" s="394">
        <v>2.0884</v>
      </c>
      <c r="E28" s="403" t="s">
        <v>296</v>
      </c>
      <c r="F28" s="393">
        <v>1.6917125969519999</v>
      </c>
      <c r="G28" s="394">
        <v>0.70488024872999999</v>
      </c>
      <c r="H28" s="396">
        <v>4.9406564584124654E-324</v>
      </c>
      <c r="I28" s="393">
        <v>2.4703282292062327E-323</v>
      </c>
      <c r="J28" s="394">
        <v>-0.70488024872999999</v>
      </c>
      <c r="K28" s="397">
        <v>1.4821969375237396E-323</v>
      </c>
    </row>
    <row r="29" spans="1:11" ht="14.4" customHeight="1" thickBot="1" x14ac:dyDescent="0.35">
      <c r="A29" s="415" t="s">
        <v>299</v>
      </c>
      <c r="B29" s="393">
        <v>1.062565018266</v>
      </c>
      <c r="C29" s="393">
        <v>4.9406564584124654E-324</v>
      </c>
      <c r="D29" s="394">
        <v>-1.062565018266</v>
      </c>
      <c r="E29" s="395">
        <v>4.9406564584124654E-324</v>
      </c>
      <c r="F29" s="393">
        <v>4.9406564584124654E-324</v>
      </c>
      <c r="G29" s="394">
        <v>0</v>
      </c>
      <c r="H29" s="396">
        <v>0.30009999999999998</v>
      </c>
      <c r="I29" s="393">
        <v>0.30009999999999998</v>
      </c>
      <c r="J29" s="394">
        <v>0.30009999999999998</v>
      </c>
      <c r="K29" s="404" t="s">
        <v>296</v>
      </c>
    </row>
    <row r="30" spans="1:11" ht="14.4" customHeight="1" thickBot="1" x14ac:dyDescent="0.35">
      <c r="A30" s="415" t="s">
        <v>300</v>
      </c>
      <c r="B30" s="393">
        <v>0.220995897468</v>
      </c>
      <c r="C30" s="393">
        <v>2.9777300000000002</v>
      </c>
      <c r="D30" s="394">
        <v>2.7567341025309999</v>
      </c>
      <c r="E30" s="395">
        <v>13.474141529821001</v>
      </c>
      <c r="F30" s="393">
        <v>3.202487263154</v>
      </c>
      <c r="G30" s="394">
        <v>1.3343696929810001</v>
      </c>
      <c r="H30" s="396">
        <v>4.9406564584124654E-324</v>
      </c>
      <c r="I30" s="393">
        <v>0.52186999999999995</v>
      </c>
      <c r="J30" s="394">
        <v>-0.812499692981</v>
      </c>
      <c r="K30" s="397">
        <v>0.162957712901</v>
      </c>
    </row>
    <row r="31" spans="1:11" ht="14.4" customHeight="1" thickBot="1" x14ac:dyDescent="0.35">
      <c r="A31" s="414" t="s">
        <v>301</v>
      </c>
      <c r="B31" s="398">
        <v>5.3564554199399996</v>
      </c>
      <c r="C31" s="398">
        <v>4.1418299999999997</v>
      </c>
      <c r="D31" s="399">
        <v>-1.21462541994</v>
      </c>
      <c r="E31" s="400">
        <v>0.77324082350800005</v>
      </c>
      <c r="F31" s="398">
        <v>5.4714928329830004</v>
      </c>
      <c r="G31" s="399">
        <v>2.2797886804090002</v>
      </c>
      <c r="H31" s="401">
        <v>0.23135</v>
      </c>
      <c r="I31" s="398">
        <v>2.4881799999999998</v>
      </c>
      <c r="J31" s="399">
        <v>0.20839131959000001</v>
      </c>
      <c r="K31" s="402">
        <v>0.45475340568799999</v>
      </c>
    </row>
    <row r="32" spans="1:11" ht="14.4" customHeight="1" thickBot="1" x14ac:dyDescent="0.35">
      <c r="A32" s="415" t="s">
        <v>302</v>
      </c>
      <c r="B32" s="393">
        <v>2.8052947837329998</v>
      </c>
      <c r="C32" s="393">
        <v>1.6533500000000001</v>
      </c>
      <c r="D32" s="394">
        <v>-1.1519447837329999</v>
      </c>
      <c r="E32" s="395">
        <v>0.58936765204999997</v>
      </c>
      <c r="F32" s="393">
        <v>2.4719005640009999</v>
      </c>
      <c r="G32" s="394">
        <v>1.0299585683329999</v>
      </c>
      <c r="H32" s="396">
        <v>4.9406564584124654E-324</v>
      </c>
      <c r="I32" s="393">
        <v>1.38927</v>
      </c>
      <c r="J32" s="394">
        <v>0.35931143166599999</v>
      </c>
      <c r="K32" s="397">
        <v>0.56202503459499997</v>
      </c>
    </row>
    <row r="33" spans="1:11" ht="14.4" customHeight="1" thickBot="1" x14ac:dyDescent="0.35">
      <c r="A33" s="415" t="s">
        <v>303</v>
      </c>
      <c r="B33" s="393">
        <v>2.5511606362060002</v>
      </c>
      <c r="C33" s="393">
        <v>2.48848</v>
      </c>
      <c r="D33" s="394">
        <v>-6.2680636206000007E-2</v>
      </c>
      <c r="E33" s="395">
        <v>0.97543054117500005</v>
      </c>
      <c r="F33" s="393">
        <v>0</v>
      </c>
      <c r="G33" s="394">
        <v>0</v>
      </c>
      <c r="H33" s="396">
        <v>4.9406564584124654E-324</v>
      </c>
      <c r="I33" s="393">
        <v>2.4703282292062327E-323</v>
      </c>
      <c r="J33" s="394">
        <v>2.4703282292062327E-323</v>
      </c>
      <c r="K33" s="404" t="s">
        <v>273</v>
      </c>
    </row>
    <row r="34" spans="1:11" ht="14.4" customHeight="1" thickBot="1" x14ac:dyDescent="0.35">
      <c r="A34" s="415" t="s">
        <v>304</v>
      </c>
      <c r="B34" s="393">
        <v>4.9406564584124654E-324</v>
      </c>
      <c r="C34" s="393">
        <v>4.9406564584124654E-324</v>
      </c>
      <c r="D34" s="394">
        <v>0</v>
      </c>
      <c r="E34" s="395">
        <v>1</v>
      </c>
      <c r="F34" s="393">
        <v>2.999592268981</v>
      </c>
      <c r="G34" s="394">
        <v>1.2498301120749999</v>
      </c>
      <c r="H34" s="396">
        <v>0.23135</v>
      </c>
      <c r="I34" s="393">
        <v>1.0989100000000001</v>
      </c>
      <c r="J34" s="394">
        <v>-0.150920112075</v>
      </c>
      <c r="K34" s="397">
        <v>0.36635312451000002</v>
      </c>
    </row>
    <row r="35" spans="1:11" ht="14.4" customHeight="1" thickBot="1" x14ac:dyDescent="0.35">
      <c r="A35" s="413" t="s">
        <v>42</v>
      </c>
      <c r="B35" s="393">
        <v>1283.3615817535799</v>
      </c>
      <c r="C35" s="393">
        <v>1227.662</v>
      </c>
      <c r="D35" s="394">
        <v>-55.699581753578997</v>
      </c>
      <c r="E35" s="395">
        <v>0.95659868384199997</v>
      </c>
      <c r="F35" s="393">
        <v>1186.5711549196601</v>
      </c>
      <c r="G35" s="394">
        <v>494.40464788319099</v>
      </c>
      <c r="H35" s="396">
        <v>74.311000000000007</v>
      </c>
      <c r="I35" s="393">
        <v>524.24200000000098</v>
      </c>
      <c r="J35" s="394">
        <v>29.837352116809001</v>
      </c>
      <c r="K35" s="397">
        <v>0.44181252664499998</v>
      </c>
    </row>
    <row r="36" spans="1:11" ht="14.4" customHeight="1" thickBot="1" x14ac:dyDescent="0.35">
      <c r="A36" s="414" t="s">
        <v>305</v>
      </c>
      <c r="B36" s="398">
        <v>1283.3615817535799</v>
      </c>
      <c r="C36" s="398">
        <v>1227.662</v>
      </c>
      <c r="D36" s="399">
        <v>-55.699581753578997</v>
      </c>
      <c r="E36" s="400">
        <v>0.95659868384199997</v>
      </c>
      <c r="F36" s="398">
        <v>1186.5711549196601</v>
      </c>
      <c r="G36" s="399">
        <v>494.40464788319099</v>
      </c>
      <c r="H36" s="401">
        <v>74.311000000000007</v>
      </c>
      <c r="I36" s="398">
        <v>524.24200000000098</v>
      </c>
      <c r="J36" s="399">
        <v>29.837352116809001</v>
      </c>
      <c r="K36" s="402">
        <v>0.44181252664499998</v>
      </c>
    </row>
    <row r="37" spans="1:11" ht="14.4" customHeight="1" thickBot="1" x14ac:dyDescent="0.35">
      <c r="A37" s="415" t="s">
        <v>306</v>
      </c>
      <c r="B37" s="393">
        <v>407.91152092024498</v>
      </c>
      <c r="C37" s="393">
        <v>420.291</v>
      </c>
      <c r="D37" s="394">
        <v>12.379479079755001</v>
      </c>
      <c r="E37" s="395">
        <v>1.0303484418669999</v>
      </c>
      <c r="F37" s="393">
        <v>417.14983394043298</v>
      </c>
      <c r="G37" s="394">
        <v>173.81243080851399</v>
      </c>
      <c r="H37" s="396">
        <v>27.757999999999999</v>
      </c>
      <c r="I37" s="393">
        <v>141.25899999999999</v>
      </c>
      <c r="J37" s="394">
        <v>-32.553430808512999</v>
      </c>
      <c r="K37" s="397">
        <v>0.33862892540400003</v>
      </c>
    </row>
    <row r="38" spans="1:11" ht="14.4" customHeight="1" thickBot="1" x14ac:dyDescent="0.35">
      <c r="A38" s="415" t="s">
        <v>307</v>
      </c>
      <c r="B38" s="393">
        <v>107.39108339259001</v>
      </c>
      <c r="C38" s="393">
        <v>102.801</v>
      </c>
      <c r="D38" s="394">
        <v>-4.5900833925890003</v>
      </c>
      <c r="E38" s="395">
        <v>0.95725824484099997</v>
      </c>
      <c r="F38" s="393">
        <v>55.000372564808998</v>
      </c>
      <c r="G38" s="394">
        <v>22.916821902003999</v>
      </c>
      <c r="H38" s="396">
        <v>7.7050000000000001</v>
      </c>
      <c r="I38" s="393">
        <v>42.085999999999999</v>
      </c>
      <c r="J38" s="394">
        <v>19.169178097995001</v>
      </c>
      <c r="K38" s="397">
        <v>0.76519481664199995</v>
      </c>
    </row>
    <row r="39" spans="1:11" ht="14.4" customHeight="1" thickBot="1" x14ac:dyDescent="0.35">
      <c r="A39" s="415" t="s">
        <v>308</v>
      </c>
      <c r="B39" s="393">
        <v>768.05897744074502</v>
      </c>
      <c r="C39" s="393">
        <v>704.57</v>
      </c>
      <c r="D39" s="394">
        <v>-63.488977440744002</v>
      </c>
      <c r="E39" s="395">
        <v>0.91733840850000004</v>
      </c>
      <c r="F39" s="393">
        <v>714.42094841441599</v>
      </c>
      <c r="G39" s="394">
        <v>297.67539517267301</v>
      </c>
      <c r="H39" s="396">
        <v>38.847999999999999</v>
      </c>
      <c r="I39" s="393">
        <v>340.89700000000101</v>
      </c>
      <c r="J39" s="394">
        <v>43.221604827326999</v>
      </c>
      <c r="K39" s="397">
        <v>0.477165459322</v>
      </c>
    </row>
    <row r="40" spans="1:11" ht="14.4" customHeight="1" thickBot="1" x14ac:dyDescent="0.35">
      <c r="A40" s="416" t="s">
        <v>309</v>
      </c>
      <c r="B40" s="398">
        <v>288.662826965622</v>
      </c>
      <c r="C40" s="398">
        <v>259.08382</v>
      </c>
      <c r="D40" s="399">
        <v>-29.579006965621002</v>
      </c>
      <c r="E40" s="400">
        <v>0.89753094544000001</v>
      </c>
      <c r="F40" s="398">
        <v>272.263737084073</v>
      </c>
      <c r="G40" s="399">
        <v>113.44322378503</v>
      </c>
      <c r="H40" s="401">
        <v>32.169910000000002</v>
      </c>
      <c r="I40" s="398">
        <v>125.60617999999999</v>
      </c>
      <c r="J40" s="399">
        <v>12.162956214969</v>
      </c>
      <c r="K40" s="402">
        <v>0.461340101128</v>
      </c>
    </row>
    <row r="41" spans="1:11" ht="14.4" customHeight="1" thickBot="1" x14ac:dyDescent="0.35">
      <c r="A41" s="413" t="s">
        <v>45</v>
      </c>
      <c r="B41" s="393">
        <v>69.995210412437999</v>
      </c>
      <c r="C41" s="393">
        <v>39.302120000000002</v>
      </c>
      <c r="D41" s="394">
        <v>-30.693090412438</v>
      </c>
      <c r="E41" s="395">
        <v>0.56149727629099999</v>
      </c>
      <c r="F41" s="393">
        <v>55.262643467825001</v>
      </c>
      <c r="G41" s="394">
        <v>23.026101444927001</v>
      </c>
      <c r="H41" s="396">
        <v>2.4234200000000001</v>
      </c>
      <c r="I41" s="393">
        <v>42.442869999999999</v>
      </c>
      <c r="J41" s="394">
        <v>19.416768555072</v>
      </c>
      <c r="K41" s="397">
        <v>0.76802098735400004</v>
      </c>
    </row>
    <row r="42" spans="1:11" ht="14.4" customHeight="1" thickBot="1" x14ac:dyDescent="0.35">
      <c r="A42" s="417" t="s">
        <v>310</v>
      </c>
      <c r="B42" s="393">
        <v>69.995210412437999</v>
      </c>
      <c r="C42" s="393">
        <v>39.302120000000002</v>
      </c>
      <c r="D42" s="394">
        <v>-30.693090412438</v>
      </c>
      <c r="E42" s="395">
        <v>0.56149727629099999</v>
      </c>
      <c r="F42" s="393">
        <v>55.262643467825001</v>
      </c>
      <c r="G42" s="394">
        <v>23.026101444927001</v>
      </c>
      <c r="H42" s="396">
        <v>2.4234200000000001</v>
      </c>
      <c r="I42" s="393">
        <v>42.442869999999999</v>
      </c>
      <c r="J42" s="394">
        <v>19.416768555072</v>
      </c>
      <c r="K42" s="397">
        <v>0.76802098735400004</v>
      </c>
    </row>
    <row r="43" spans="1:11" ht="14.4" customHeight="1" thickBot="1" x14ac:dyDescent="0.35">
      <c r="A43" s="415" t="s">
        <v>311</v>
      </c>
      <c r="B43" s="393">
        <v>4.0002024093240003</v>
      </c>
      <c r="C43" s="393">
        <v>1.27776</v>
      </c>
      <c r="D43" s="394">
        <v>-2.7224424093240001</v>
      </c>
      <c r="E43" s="395">
        <v>0.31942383640900002</v>
      </c>
      <c r="F43" s="393">
        <v>1.178273429766</v>
      </c>
      <c r="G43" s="394">
        <v>0.49094726240199998</v>
      </c>
      <c r="H43" s="396">
        <v>4.9406564584124654E-324</v>
      </c>
      <c r="I43" s="393">
        <v>2.4703282292062327E-323</v>
      </c>
      <c r="J43" s="394">
        <v>-0.49094726240199998</v>
      </c>
      <c r="K43" s="397">
        <v>1.9762625833649862E-323</v>
      </c>
    </row>
    <row r="44" spans="1:11" ht="14.4" customHeight="1" thickBot="1" x14ac:dyDescent="0.35">
      <c r="A44" s="415" t="s">
        <v>312</v>
      </c>
      <c r="B44" s="393">
        <v>4.9406564584124654E-324</v>
      </c>
      <c r="C44" s="393">
        <v>4.9406564584124654E-324</v>
      </c>
      <c r="D44" s="394">
        <v>0</v>
      </c>
      <c r="E44" s="395">
        <v>1</v>
      </c>
      <c r="F44" s="393">
        <v>4.9406564584124654E-324</v>
      </c>
      <c r="G44" s="394">
        <v>0</v>
      </c>
      <c r="H44" s="396">
        <v>4.9406564584124654E-324</v>
      </c>
      <c r="I44" s="393">
        <v>0.121</v>
      </c>
      <c r="J44" s="394">
        <v>0.121</v>
      </c>
      <c r="K44" s="404" t="s">
        <v>296</v>
      </c>
    </row>
    <row r="45" spans="1:11" ht="14.4" customHeight="1" thickBot="1" x14ac:dyDescent="0.35">
      <c r="A45" s="415" t="s">
        <v>313</v>
      </c>
      <c r="B45" s="393">
        <v>0</v>
      </c>
      <c r="C45" s="393">
        <v>2.399</v>
      </c>
      <c r="D45" s="394">
        <v>2.399</v>
      </c>
      <c r="E45" s="403" t="s">
        <v>273</v>
      </c>
      <c r="F45" s="393">
        <v>3.1194073684950001</v>
      </c>
      <c r="G45" s="394">
        <v>1.2997530702060001</v>
      </c>
      <c r="H45" s="396">
        <v>0.76719999999999999</v>
      </c>
      <c r="I45" s="393">
        <v>0.76719999999999999</v>
      </c>
      <c r="J45" s="394">
        <v>-0.53255307020599996</v>
      </c>
      <c r="K45" s="397">
        <v>0.24594415200399999</v>
      </c>
    </row>
    <row r="46" spans="1:11" ht="14.4" customHeight="1" thickBot="1" x14ac:dyDescent="0.35">
      <c r="A46" s="415" t="s">
        <v>314</v>
      </c>
      <c r="B46" s="393">
        <v>17.998548463239999</v>
      </c>
      <c r="C46" s="393">
        <v>23.3169</v>
      </c>
      <c r="D46" s="394">
        <v>5.3183515367589997</v>
      </c>
      <c r="E46" s="395">
        <v>1.2954878026750001</v>
      </c>
      <c r="F46" s="393">
        <v>38.999934156165999</v>
      </c>
      <c r="G46" s="394">
        <v>16.249972565069001</v>
      </c>
      <c r="H46" s="396">
        <v>4.9406564584124654E-324</v>
      </c>
      <c r="I46" s="393">
        <v>32.449530000000003</v>
      </c>
      <c r="J46" s="394">
        <v>16.19955743493</v>
      </c>
      <c r="K46" s="397">
        <v>0.83204063550600005</v>
      </c>
    </row>
    <row r="47" spans="1:11" ht="14.4" customHeight="1" thickBot="1" x14ac:dyDescent="0.35">
      <c r="A47" s="415" t="s">
        <v>315</v>
      </c>
      <c r="B47" s="393">
        <v>47.996459539873001</v>
      </c>
      <c r="C47" s="393">
        <v>12.30846</v>
      </c>
      <c r="D47" s="394">
        <v>-35.687999539872997</v>
      </c>
      <c r="E47" s="395">
        <v>0.25644516528900002</v>
      </c>
      <c r="F47" s="393">
        <v>11.965028513396</v>
      </c>
      <c r="G47" s="394">
        <v>4.9854285472480004</v>
      </c>
      <c r="H47" s="396">
        <v>1.65622</v>
      </c>
      <c r="I47" s="393">
        <v>9.1051400000000005</v>
      </c>
      <c r="J47" s="394">
        <v>4.1197114527509999</v>
      </c>
      <c r="K47" s="397">
        <v>0.76097938168699997</v>
      </c>
    </row>
    <row r="48" spans="1:11" ht="14.4" customHeight="1" thickBot="1" x14ac:dyDescent="0.35">
      <c r="A48" s="418" t="s">
        <v>46</v>
      </c>
      <c r="B48" s="398">
        <v>0</v>
      </c>
      <c r="C48" s="398">
        <v>4.282</v>
      </c>
      <c r="D48" s="399">
        <v>4.282</v>
      </c>
      <c r="E48" s="405" t="s">
        <v>273</v>
      </c>
      <c r="F48" s="398">
        <v>0</v>
      </c>
      <c r="G48" s="399">
        <v>0</v>
      </c>
      <c r="H48" s="401">
        <v>1.49</v>
      </c>
      <c r="I48" s="398">
        <v>2.581</v>
      </c>
      <c r="J48" s="399">
        <v>2.581</v>
      </c>
      <c r="K48" s="406" t="s">
        <v>273</v>
      </c>
    </row>
    <row r="49" spans="1:11" ht="14.4" customHeight="1" thickBot="1" x14ac:dyDescent="0.35">
      <c r="A49" s="414" t="s">
        <v>316</v>
      </c>
      <c r="B49" s="398">
        <v>0</v>
      </c>
      <c r="C49" s="398">
        <v>4.282</v>
      </c>
      <c r="D49" s="399">
        <v>4.282</v>
      </c>
      <c r="E49" s="405" t="s">
        <v>273</v>
      </c>
      <c r="F49" s="398">
        <v>0</v>
      </c>
      <c r="G49" s="399">
        <v>0</v>
      </c>
      <c r="H49" s="401">
        <v>1.49</v>
      </c>
      <c r="I49" s="398">
        <v>2.581</v>
      </c>
      <c r="J49" s="399">
        <v>2.581</v>
      </c>
      <c r="K49" s="406" t="s">
        <v>273</v>
      </c>
    </row>
    <row r="50" spans="1:11" ht="14.4" customHeight="1" thickBot="1" x14ac:dyDescent="0.35">
      <c r="A50" s="415" t="s">
        <v>317</v>
      </c>
      <c r="B50" s="393">
        <v>0</v>
      </c>
      <c r="C50" s="393">
        <v>4.282</v>
      </c>
      <c r="D50" s="394">
        <v>4.282</v>
      </c>
      <c r="E50" s="403" t="s">
        <v>273</v>
      </c>
      <c r="F50" s="393">
        <v>0</v>
      </c>
      <c r="G50" s="394">
        <v>0</v>
      </c>
      <c r="H50" s="396">
        <v>1.49</v>
      </c>
      <c r="I50" s="393">
        <v>2.581</v>
      </c>
      <c r="J50" s="394">
        <v>2.581</v>
      </c>
      <c r="K50" s="404" t="s">
        <v>273</v>
      </c>
    </row>
    <row r="51" spans="1:11" ht="14.4" customHeight="1" thickBot="1" x14ac:dyDescent="0.35">
      <c r="A51" s="413" t="s">
        <v>47</v>
      </c>
      <c r="B51" s="393">
        <v>218.667616553183</v>
      </c>
      <c r="C51" s="393">
        <v>215.49969999999999</v>
      </c>
      <c r="D51" s="394">
        <v>-3.1679165531829998</v>
      </c>
      <c r="E51" s="395">
        <v>0.985512639671</v>
      </c>
      <c r="F51" s="393">
        <v>217.001093616248</v>
      </c>
      <c r="G51" s="394">
        <v>90.417122340103006</v>
      </c>
      <c r="H51" s="396">
        <v>28.256489999999999</v>
      </c>
      <c r="I51" s="393">
        <v>80.582310000000007</v>
      </c>
      <c r="J51" s="394">
        <v>-9.8348123401029994</v>
      </c>
      <c r="K51" s="397">
        <v>0.37134517921999999</v>
      </c>
    </row>
    <row r="52" spans="1:11" ht="14.4" customHeight="1" thickBot="1" x14ac:dyDescent="0.35">
      <c r="A52" s="414" t="s">
        <v>318</v>
      </c>
      <c r="B52" s="398">
        <v>4.5208658522859997</v>
      </c>
      <c r="C52" s="398">
        <v>0.10299999999999999</v>
      </c>
      <c r="D52" s="399">
        <v>-4.4178658522859999</v>
      </c>
      <c r="E52" s="400">
        <v>2.2783246255E-2</v>
      </c>
      <c r="F52" s="398">
        <v>4.1168974895000002E-2</v>
      </c>
      <c r="G52" s="399">
        <v>1.7153739538999999E-2</v>
      </c>
      <c r="H52" s="401">
        <v>4.9406564584124654E-324</v>
      </c>
      <c r="I52" s="398">
        <v>2.4703282292062327E-323</v>
      </c>
      <c r="J52" s="399">
        <v>-1.7153739538999999E-2</v>
      </c>
      <c r="K52" s="402">
        <v>5.9781943146790832E-322</v>
      </c>
    </row>
    <row r="53" spans="1:11" ht="14.4" customHeight="1" thickBot="1" x14ac:dyDescent="0.35">
      <c r="A53" s="415" t="s">
        <v>319</v>
      </c>
      <c r="B53" s="393">
        <v>4.5208658522859997</v>
      </c>
      <c r="C53" s="393">
        <v>0.10299999999999999</v>
      </c>
      <c r="D53" s="394">
        <v>-4.4178658522859999</v>
      </c>
      <c r="E53" s="395">
        <v>2.2783246255E-2</v>
      </c>
      <c r="F53" s="393">
        <v>4.1168974895000002E-2</v>
      </c>
      <c r="G53" s="394">
        <v>1.7153739538999999E-2</v>
      </c>
      <c r="H53" s="396">
        <v>4.9406564584124654E-324</v>
      </c>
      <c r="I53" s="393">
        <v>2.4703282292062327E-323</v>
      </c>
      <c r="J53" s="394">
        <v>-1.7153739538999999E-2</v>
      </c>
      <c r="K53" s="397">
        <v>5.9781943146790832E-322</v>
      </c>
    </row>
    <row r="54" spans="1:11" ht="14.4" customHeight="1" thickBot="1" x14ac:dyDescent="0.35">
      <c r="A54" s="414" t="s">
        <v>320</v>
      </c>
      <c r="B54" s="398">
        <v>65.325583165267005</v>
      </c>
      <c r="C54" s="398">
        <v>68.804469999999995</v>
      </c>
      <c r="D54" s="399">
        <v>3.4788868347320001</v>
      </c>
      <c r="E54" s="400">
        <v>1.0532545852040001</v>
      </c>
      <c r="F54" s="398">
        <v>69.733645747104006</v>
      </c>
      <c r="G54" s="399">
        <v>29.05568572796</v>
      </c>
      <c r="H54" s="401">
        <v>5.2275900000000002</v>
      </c>
      <c r="I54" s="398">
        <v>29.46367</v>
      </c>
      <c r="J54" s="399">
        <v>0.40798427203900001</v>
      </c>
      <c r="K54" s="402">
        <v>0.42251727533099998</v>
      </c>
    </row>
    <row r="55" spans="1:11" ht="14.4" customHeight="1" thickBot="1" x14ac:dyDescent="0.35">
      <c r="A55" s="415" t="s">
        <v>321</v>
      </c>
      <c r="B55" s="393">
        <v>58.245680862937</v>
      </c>
      <c r="C55" s="393">
        <v>61.018999999999998</v>
      </c>
      <c r="D55" s="394">
        <v>2.7733191370629999</v>
      </c>
      <c r="E55" s="395">
        <v>1.0476141594699999</v>
      </c>
      <c r="F55" s="393">
        <v>62.421596630528001</v>
      </c>
      <c r="G55" s="394">
        <v>26.008998596053001</v>
      </c>
      <c r="H55" s="396">
        <v>4.2667000000000002</v>
      </c>
      <c r="I55" s="393">
        <v>26.088699999999999</v>
      </c>
      <c r="J55" s="394">
        <v>7.9701403946000005E-2</v>
      </c>
      <c r="K55" s="397">
        <v>0.41794349084600002</v>
      </c>
    </row>
    <row r="56" spans="1:11" ht="14.4" customHeight="1" thickBot="1" x14ac:dyDescent="0.35">
      <c r="A56" s="415" t="s">
        <v>322</v>
      </c>
      <c r="B56" s="393">
        <v>7.0799023023299998</v>
      </c>
      <c r="C56" s="393">
        <v>7.7854700000000001</v>
      </c>
      <c r="D56" s="394">
        <v>0.70556769766899996</v>
      </c>
      <c r="E56" s="395">
        <v>1.0996578296620001</v>
      </c>
      <c r="F56" s="393">
        <v>7.3120491165750003</v>
      </c>
      <c r="G56" s="394">
        <v>3.0466871319059998</v>
      </c>
      <c r="H56" s="396">
        <v>0.96089000000000002</v>
      </c>
      <c r="I56" s="393">
        <v>3.3749699999999998</v>
      </c>
      <c r="J56" s="394">
        <v>0.328282868093</v>
      </c>
      <c r="K56" s="397">
        <v>0.46156281860100001</v>
      </c>
    </row>
    <row r="57" spans="1:11" ht="14.4" customHeight="1" thickBot="1" x14ac:dyDescent="0.35">
      <c r="A57" s="414" t="s">
        <v>323</v>
      </c>
      <c r="B57" s="398">
        <v>5.4220475850909997</v>
      </c>
      <c r="C57" s="398">
        <v>5.1539200000000003</v>
      </c>
      <c r="D57" s="399">
        <v>-0.26812758509099999</v>
      </c>
      <c r="E57" s="400">
        <v>0.95054864774100001</v>
      </c>
      <c r="F57" s="398">
        <v>4.9129653563779998</v>
      </c>
      <c r="G57" s="399">
        <v>2.0470688984900001</v>
      </c>
      <c r="H57" s="401">
        <v>0.30008000000000001</v>
      </c>
      <c r="I57" s="398">
        <v>2.2716799999999999</v>
      </c>
      <c r="J57" s="399">
        <v>0.22461110150899999</v>
      </c>
      <c r="K57" s="402">
        <v>0.46238469747200001</v>
      </c>
    </row>
    <row r="58" spans="1:11" ht="14.4" customHeight="1" thickBot="1" x14ac:dyDescent="0.35">
      <c r="A58" s="415" t="s">
        <v>324</v>
      </c>
      <c r="B58" s="393">
        <v>1.9993583020329999</v>
      </c>
      <c r="C58" s="393">
        <v>1.62</v>
      </c>
      <c r="D58" s="394">
        <v>-0.37935830203300003</v>
      </c>
      <c r="E58" s="395">
        <v>0.81025997108699999</v>
      </c>
      <c r="F58" s="393">
        <v>1.6780130766300001</v>
      </c>
      <c r="G58" s="394">
        <v>0.69917211526199996</v>
      </c>
      <c r="H58" s="396">
        <v>4.9406564584124654E-324</v>
      </c>
      <c r="I58" s="393">
        <v>0.81</v>
      </c>
      <c r="J58" s="394">
        <v>0.110827884737</v>
      </c>
      <c r="K58" s="397">
        <v>0.482713759076</v>
      </c>
    </row>
    <row r="59" spans="1:11" ht="14.4" customHeight="1" thickBot="1" x14ac:dyDescent="0.35">
      <c r="A59" s="415" t="s">
        <v>325</v>
      </c>
      <c r="B59" s="393">
        <v>3.4226892830579998</v>
      </c>
      <c r="C59" s="393">
        <v>3.5339200000000002</v>
      </c>
      <c r="D59" s="394">
        <v>0.11123071694099999</v>
      </c>
      <c r="E59" s="395">
        <v>1.0324980469280001</v>
      </c>
      <c r="F59" s="393">
        <v>3.2349522797470001</v>
      </c>
      <c r="G59" s="394">
        <v>1.347896783228</v>
      </c>
      <c r="H59" s="396">
        <v>0.30008000000000001</v>
      </c>
      <c r="I59" s="393">
        <v>1.4616800000000001</v>
      </c>
      <c r="J59" s="394">
        <v>0.11378321677100001</v>
      </c>
      <c r="K59" s="397">
        <v>0.45183974092899998</v>
      </c>
    </row>
    <row r="60" spans="1:11" ht="14.4" customHeight="1" thickBot="1" x14ac:dyDescent="0.35">
      <c r="A60" s="414" t="s">
        <v>326</v>
      </c>
      <c r="B60" s="398">
        <v>130.00122597221699</v>
      </c>
      <c r="C60" s="398">
        <v>118.49056</v>
      </c>
      <c r="D60" s="399">
        <v>-11.510665972216</v>
      </c>
      <c r="E60" s="400">
        <v>0.91145725060500005</v>
      </c>
      <c r="F60" s="398">
        <v>118.238523080756</v>
      </c>
      <c r="G60" s="399">
        <v>49.266051283647997</v>
      </c>
      <c r="H60" s="401">
        <v>21.924869999999999</v>
      </c>
      <c r="I60" s="398">
        <v>42.89931</v>
      </c>
      <c r="J60" s="399">
        <v>-6.3667412836480004</v>
      </c>
      <c r="K60" s="402">
        <v>0.36282007658900001</v>
      </c>
    </row>
    <row r="61" spans="1:11" ht="14.4" customHeight="1" thickBot="1" x14ac:dyDescent="0.35">
      <c r="A61" s="415" t="s">
        <v>327</v>
      </c>
      <c r="B61" s="393">
        <v>110.000111696177</v>
      </c>
      <c r="C61" s="393">
        <v>102.00841</v>
      </c>
      <c r="D61" s="394">
        <v>-7.9917016961770004</v>
      </c>
      <c r="E61" s="395">
        <v>0.92734824016999995</v>
      </c>
      <c r="F61" s="393">
        <v>102.58485358582899</v>
      </c>
      <c r="G61" s="394">
        <v>42.743688994095002</v>
      </c>
      <c r="H61" s="396">
        <v>21.586919999999999</v>
      </c>
      <c r="I61" s="393">
        <v>36.945659999999997</v>
      </c>
      <c r="J61" s="394">
        <v>-5.7980289940949996</v>
      </c>
      <c r="K61" s="397">
        <v>0.36014731910699999</v>
      </c>
    </row>
    <row r="62" spans="1:11" ht="14.4" customHeight="1" thickBot="1" x14ac:dyDescent="0.35">
      <c r="A62" s="415" t="s">
        <v>328</v>
      </c>
      <c r="B62" s="393">
        <v>20.001114276039001</v>
      </c>
      <c r="C62" s="393">
        <v>16.482150000000001</v>
      </c>
      <c r="D62" s="394">
        <v>-3.5189642760390001</v>
      </c>
      <c r="E62" s="395">
        <v>0.82406158839499999</v>
      </c>
      <c r="F62" s="393">
        <v>15.653669494927</v>
      </c>
      <c r="G62" s="394">
        <v>6.5223622895520004</v>
      </c>
      <c r="H62" s="396">
        <v>0.33794999999999997</v>
      </c>
      <c r="I62" s="393">
        <v>5.9536499999999997</v>
      </c>
      <c r="J62" s="394">
        <v>-0.56871228955200004</v>
      </c>
      <c r="K62" s="397">
        <v>0.38033574184800001</v>
      </c>
    </row>
    <row r="63" spans="1:11" ht="14.4" customHeight="1" thickBot="1" x14ac:dyDescent="0.35">
      <c r="A63" s="414" t="s">
        <v>329</v>
      </c>
      <c r="B63" s="398">
        <v>13.305152539610001</v>
      </c>
      <c r="C63" s="398">
        <v>22.947749999999999</v>
      </c>
      <c r="D63" s="399">
        <v>9.6425974603890001</v>
      </c>
      <c r="E63" s="400">
        <v>1.7247265622600001</v>
      </c>
      <c r="F63" s="398">
        <v>24.074790457113</v>
      </c>
      <c r="G63" s="399">
        <v>10.031162690464001</v>
      </c>
      <c r="H63" s="401">
        <v>0.19075</v>
      </c>
      <c r="I63" s="398">
        <v>5.1414499999999999</v>
      </c>
      <c r="J63" s="399">
        <v>-4.889712690464</v>
      </c>
      <c r="K63" s="402">
        <v>0.213561568029</v>
      </c>
    </row>
    <row r="64" spans="1:11" ht="14.4" customHeight="1" thickBot="1" x14ac:dyDescent="0.35">
      <c r="A64" s="415" t="s">
        <v>330</v>
      </c>
      <c r="B64" s="393">
        <v>12.154568198553999</v>
      </c>
      <c r="C64" s="393">
        <v>15.940149999999999</v>
      </c>
      <c r="D64" s="394">
        <v>3.7855818014459999</v>
      </c>
      <c r="E64" s="395">
        <v>1.311453417316</v>
      </c>
      <c r="F64" s="393">
        <v>15.759445382161999</v>
      </c>
      <c r="G64" s="394">
        <v>6.5664355758999999</v>
      </c>
      <c r="H64" s="396">
        <v>0.19075</v>
      </c>
      <c r="I64" s="393">
        <v>4.2154499999999997</v>
      </c>
      <c r="J64" s="394">
        <v>-2.3509855758999998</v>
      </c>
      <c r="K64" s="397">
        <v>0.26748720515000002</v>
      </c>
    </row>
    <row r="65" spans="1:11" ht="14.4" customHeight="1" thickBot="1" x14ac:dyDescent="0.35">
      <c r="A65" s="415" t="s">
        <v>331</v>
      </c>
      <c r="B65" s="393">
        <v>0</v>
      </c>
      <c r="C65" s="393">
        <v>0.45100000000000001</v>
      </c>
      <c r="D65" s="394">
        <v>0.45100000000000001</v>
      </c>
      <c r="E65" s="403" t="s">
        <v>273</v>
      </c>
      <c r="F65" s="393">
        <v>1.0003644167400001</v>
      </c>
      <c r="G65" s="394">
        <v>0.416818506975</v>
      </c>
      <c r="H65" s="396">
        <v>4.9406564584124654E-324</v>
      </c>
      <c r="I65" s="393">
        <v>0.92600000000000005</v>
      </c>
      <c r="J65" s="394">
        <v>0.50918149302399995</v>
      </c>
      <c r="K65" s="397">
        <v>0.92566267302500005</v>
      </c>
    </row>
    <row r="66" spans="1:11" ht="14.4" customHeight="1" thickBot="1" x14ac:dyDescent="0.35">
      <c r="A66" s="415" t="s">
        <v>332</v>
      </c>
      <c r="B66" s="393">
        <v>4.9406564584124654E-324</v>
      </c>
      <c r="C66" s="393">
        <v>1.7826</v>
      </c>
      <c r="D66" s="394">
        <v>1.7826</v>
      </c>
      <c r="E66" s="403" t="s">
        <v>296</v>
      </c>
      <c r="F66" s="393">
        <v>1.684148307494</v>
      </c>
      <c r="G66" s="394">
        <v>0.70172846145599999</v>
      </c>
      <c r="H66" s="396">
        <v>4.9406564584124654E-324</v>
      </c>
      <c r="I66" s="393">
        <v>2.4703282292062327E-323</v>
      </c>
      <c r="J66" s="394">
        <v>-0.70172846145599999</v>
      </c>
      <c r="K66" s="397">
        <v>1.4821969375237396E-323</v>
      </c>
    </row>
    <row r="67" spans="1:11" ht="14.4" customHeight="1" thickBot="1" x14ac:dyDescent="0.35">
      <c r="A67" s="415" t="s">
        <v>333</v>
      </c>
      <c r="B67" s="393">
        <v>1.1505843410559999</v>
      </c>
      <c r="C67" s="393">
        <v>4.774</v>
      </c>
      <c r="D67" s="394">
        <v>3.6234156589430002</v>
      </c>
      <c r="E67" s="395">
        <v>4.1491960473029996</v>
      </c>
      <c r="F67" s="393">
        <v>5.6308323507160001</v>
      </c>
      <c r="G67" s="394">
        <v>2.3461801461310001</v>
      </c>
      <c r="H67" s="396">
        <v>4.9406564584124654E-324</v>
      </c>
      <c r="I67" s="393">
        <v>2.4703282292062327E-323</v>
      </c>
      <c r="J67" s="394">
        <v>-2.3461801461310001</v>
      </c>
      <c r="K67" s="397">
        <v>4.9406564584124654E-324</v>
      </c>
    </row>
    <row r="68" spans="1:11" ht="14.4" customHeight="1" thickBot="1" x14ac:dyDescent="0.35">
      <c r="A68" s="414" t="s">
        <v>334</v>
      </c>
      <c r="B68" s="398">
        <v>9.2741438711000004E-2</v>
      </c>
      <c r="C68" s="398">
        <v>4.9406564584124654E-324</v>
      </c>
      <c r="D68" s="399">
        <v>-9.2741438711000004E-2</v>
      </c>
      <c r="E68" s="400">
        <v>5.434722104253712E-323</v>
      </c>
      <c r="F68" s="398">
        <v>0</v>
      </c>
      <c r="G68" s="399">
        <v>0</v>
      </c>
      <c r="H68" s="401">
        <v>0.61319999999999997</v>
      </c>
      <c r="I68" s="398">
        <v>0.80620000000000003</v>
      </c>
      <c r="J68" s="399">
        <v>0.80620000000000003</v>
      </c>
      <c r="K68" s="406" t="s">
        <v>273</v>
      </c>
    </row>
    <row r="69" spans="1:11" ht="14.4" customHeight="1" thickBot="1" x14ac:dyDescent="0.35">
      <c r="A69" s="415" t="s">
        <v>335</v>
      </c>
      <c r="B69" s="393">
        <v>9.2741438711000004E-2</v>
      </c>
      <c r="C69" s="393">
        <v>4.9406564584124654E-324</v>
      </c>
      <c r="D69" s="394">
        <v>-9.2741438711000004E-2</v>
      </c>
      <c r="E69" s="395">
        <v>5.434722104253712E-323</v>
      </c>
      <c r="F69" s="393">
        <v>0</v>
      </c>
      <c r="G69" s="394">
        <v>0</v>
      </c>
      <c r="H69" s="396">
        <v>0.61319999999999997</v>
      </c>
      <c r="I69" s="393">
        <v>0.80620000000000003</v>
      </c>
      <c r="J69" s="394">
        <v>0.80620000000000003</v>
      </c>
      <c r="K69" s="404" t="s">
        <v>273</v>
      </c>
    </row>
    <row r="70" spans="1:11" ht="14.4" customHeight="1" thickBot="1" x14ac:dyDescent="0.35">
      <c r="A70" s="412" t="s">
        <v>48</v>
      </c>
      <c r="B70" s="393">
        <v>6065.0002588479701</v>
      </c>
      <c r="C70" s="393">
        <v>6703.6416200000003</v>
      </c>
      <c r="D70" s="394">
        <v>638.64136115202905</v>
      </c>
      <c r="E70" s="395">
        <v>1.1052994779709999</v>
      </c>
      <c r="F70" s="393">
        <v>6771.0335440683002</v>
      </c>
      <c r="G70" s="394">
        <v>2821.2639766951302</v>
      </c>
      <c r="H70" s="396">
        <v>538.08686</v>
      </c>
      <c r="I70" s="393">
        <v>2639.4646600000001</v>
      </c>
      <c r="J70" s="394">
        <v>-181.79931669512399</v>
      </c>
      <c r="K70" s="397">
        <v>0.38981709997699998</v>
      </c>
    </row>
    <row r="71" spans="1:11" ht="14.4" customHeight="1" thickBot="1" x14ac:dyDescent="0.35">
      <c r="A71" s="418" t="s">
        <v>336</v>
      </c>
      <c r="B71" s="398">
        <v>4491.9999999997499</v>
      </c>
      <c r="C71" s="398">
        <v>4978.2849999999999</v>
      </c>
      <c r="D71" s="399">
        <v>486.28500000024701</v>
      </c>
      <c r="E71" s="400">
        <v>1.1082557880670001</v>
      </c>
      <c r="F71" s="398">
        <v>5017.99999999991</v>
      </c>
      <c r="G71" s="399">
        <v>2090.8333333332998</v>
      </c>
      <c r="H71" s="401">
        <v>398.58199999999999</v>
      </c>
      <c r="I71" s="398">
        <v>1956.125</v>
      </c>
      <c r="J71" s="399">
        <v>-134.70833333329401</v>
      </c>
      <c r="K71" s="402">
        <v>0.38982164208800002</v>
      </c>
    </row>
    <row r="72" spans="1:11" ht="14.4" customHeight="1" thickBot="1" x14ac:dyDescent="0.35">
      <c r="A72" s="414" t="s">
        <v>337</v>
      </c>
      <c r="B72" s="398">
        <v>4491.9999999997499</v>
      </c>
      <c r="C72" s="398">
        <v>4917.4840000000004</v>
      </c>
      <c r="D72" s="399">
        <v>425.48400000024901</v>
      </c>
      <c r="E72" s="400">
        <v>1.0947203918070001</v>
      </c>
      <c r="F72" s="398">
        <v>5001.99999999991</v>
      </c>
      <c r="G72" s="399">
        <v>2084.1666666666301</v>
      </c>
      <c r="H72" s="401">
        <v>398.58199999999999</v>
      </c>
      <c r="I72" s="398">
        <v>1952.298</v>
      </c>
      <c r="J72" s="399">
        <v>-131.86866666662701</v>
      </c>
      <c r="K72" s="402">
        <v>0.39030347860800002</v>
      </c>
    </row>
    <row r="73" spans="1:11" ht="14.4" customHeight="1" thickBot="1" x14ac:dyDescent="0.35">
      <c r="A73" s="415" t="s">
        <v>338</v>
      </c>
      <c r="B73" s="393">
        <v>4491.9999999997499</v>
      </c>
      <c r="C73" s="393">
        <v>4917.4840000000004</v>
      </c>
      <c r="D73" s="394">
        <v>425.48400000024901</v>
      </c>
      <c r="E73" s="395">
        <v>1.0947203918070001</v>
      </c>
      <c r="F73" s="393">
        <v>5001.99999999991</v>
      </c>
      <c r="G73" s="394">
        <v>2084.1666666666301</v>
      </c>
      <c r="H73" s="396">
        <v>398.58199999999999</v>
      </c>
      <c r="I73" s="393">
        <v>1952.298</v>
      </c>
      <c r="J73" s="394">
        <v>-131.86866666662701</v>
      </c>
      <c r="K73" s="397">
        <v>0.39030347860800002</v>
      </c>
    </row>
    <row r="74" spans="1:11" ht="14.4" customHeight="1" thickBot="1" x14ac:dyDescent="0.35">
      <c r="A74" s="414" t="s">
        <v>339</v>
      </c>
      <c r="B74" s="398">
        <v>4.9406564584124654E-324</v>
      </c>
      <c r="C74" s="398">
        <v>12.124000000000001</v>
      </c>
      <c r="D74" s="399">
        <v>12.124000000000001</v>
      </c>
      <c r="E74" s="405" t="s">
        <v>296</v>
      </c>
      <c r="F74" s="398">
        <v>0</v>
      </c>
      <c r="G74" s="399">
        <v>0</v>
      </c>
      <c r="H74" s="401">
        <v>4.9406564584124654E-324</v>
      </c>
      <c r="I74" s="398">
        <v>2.4703282292062327E-323</v>
      </c>
      <c r="J74" s="399">
        <v>2.4703282292062327E-323</v>
      </c>
      <c r="K74" s="406" t="s">
        <v>273</v>
      </c>
    </row>
    <row r="75" spans="1:11" ht="14.4" customHeight="1" thickBot="1" x14ac:dyDescent="0.35">
      <c r="A75" s="415" t="s">
        <v>340</v>
      </c>
      <c r="B75" s="393">
        <v>4.9406564584124654E-324</v>
      </c>
      <c r="C75" s="393">
        <v>12.124000000000001</v>
      </c>
      <c r="D75" s="394">
        <v>12.124000000000001</v>
      </c>
      <c r="E75" s="403" t="s">
        <v>296</v>
      </c>
      <c r="F75" s="393">
        <v>0</v>
      </c>
      <c r="G75" s="394">
        <v>0</v>
      </c>
      <c r="H75" s="396">
        <v>4.9406564584124654E-324</v>
      </c>
      <c r="I75" s="393">
        <v>2.4703282292062327E-323</v>
      </c>
      <c r="J75" s="394">
        <v>2.4703282292062327E-323</v>
      </c>
      <c r="K75" s="404" t="s">
        <v>273</v>
      </c>
    </row>
    <row r="76" spans="1:11" ht="14.4" customHeight="1" thickBot="1" x14ac:dyDescent="0.35">
      <c r="A76" s="414" t="s">
        <v>341</v>
      </c>
      <c r="B76" s="398">
        <v>4.9406564584124654E-324</v>
      </c>
      <c r="C76" s="398">
        <v>37.235999999999997</v>
      </c>
      <c r="D76" s="399">
        <v>37.235999999999997</v>
      </c>
      <c r="E76" s="405" t="s">
        <v>296</v>
      </c>
      <c r="F76" s="398">
        <v>0</v>
      </c>
      <c r="G76" s="399">
        <v>0</v>
      </c>
      <c r="H76" s="401">
        <v>4.9406564584124654E-324</v>
      </c>
      <c r="I76" s="398">
        <v>2.4703282292062327E-323</v>
      </c>
      <c r="J76" s="399">
        <v>2.4703282292062327E-323</v>
      </c>
      <c r="K76" s="406" t="s">
        <v>273</v>
      </c>
    </row>
    <row r="77" spans="1:11" ht="14.4" customHeight="1" thickBot="1" x14ac:dyDescent="0.35">
      <c r="A77" s="415" t="s">
        <v>342</v>
      </c>
      <c r="B77" s="393">
        <v>4.9406564584124654E-324</v>
      </c>
      <c r="C77" s="393">
        <v>37.235999999999997</v>
      </c>
      <c r="D77" s="394">
        <v>37.235999999999997</v>
      </c>
      <c r="E77" s="403" t="s">
        <v>296</v>
      </c>
      <c r="F77" s="393">
        <v>0</v>
      </c>
      <c r="G77" s="394">
        <v>0</v>
      </c>
      <c r="H77" s="396">
        <v>4.9406564584124654E-324</v>
      </c>
      <c r="I77" s="393">
        <v>2.4703282292062327E-323</v>
      </c>
      <c r="J77" s="394">
        <v>2.4703282292062327E-323</v>
      </c>
      <c r="K77" s="404" t="s">
        <v>273</v>
      </c>
    </row>
    <row r="78" spans="1:11" ht="14.4" customHeight="1" thickBot="1" x14ac:dyDescent="0.35">
      <c r="A78" s="414" t="s">
        <v>343</v>
      </c>
      <c r="B78" s="398">
        <v>0</v>
      </c>
      <c r="C78" s="398">
        <v>11.441000000000001</v>
      </c>
      <c r="D78" s="399">
        <v>11.441000000000001</v>
      </c>
      <c r="E78" s="405" t="s">
        <v>273</v>
      </c>
      <c r="F78" s="398">
        <v>15.999999999999</v>
      </c>
      <c r="G78" s="399">
        <v>6.6666666666659999</v>
      </c>
      <c r="H78" s="401">
        <v>4.9406564584124654E-324</v>
      </c>
      <c r="I78" s="398">
        <v>3.827</v>
      </c>
      <c r="J78" s="399">
        <v>-2.839666666666</v>
      </c>
      <c r="K78" s="402">
        <v>0.2391875</v>
      </c>
    </row>
    <row r="79" spans="1:11" ht="14.4" customHeight="1" thickBot="1" x14ac:dyDescent="0.35">
      <c r="A79" s="415" t="s">
        <v>344</v>
      </c>
      <c r="B79" s="393">
        <v>0</v>
      </c>
      <c r="C79" s="393">
        <v>11.441000000000001</v>
      </c>
      <c r="D79" s="394">
        <v>11.441000000000001</v>
      </c>
      <c r="E79" s="403" t="s">
        <v>273</v>
      </c>
      <c r="F79" s="393">
        <v>15.999999999999</v>
      </c>
      <c r="G79" s="394">
        <v>6.6666666666659999</v>
      </c>
      <c r="H79" s="396">
        <v>4.9406564584124654E-324</v>
      </c>
      <c r="I79" s="393">
        <v>3.827</v>
      </c>
      <c r="J79" s="394">
        <v>-2.839666666666</v>
      </c>
      <c r="K79" s="397">
        <v>0.2391875</v>
      </c>
    </row>
    <row r="80" spans="1:11" ht="14.4" customHeight="1" thickBot="1" x14ac:dyDescent="0.35">
      <c r="A80" s="413" t="s">
        <v>345</v>
      </c>
      <c r="B80" s="393">
        <v>1528.00025884822</v>
      </c>
      <c r="C80" s="393">
        <v>1676.06267</v>
      </c>
      <c r="D80" s="394">
        <v>148.062411151779</v>
      </c>
      <c r="E80" s="395">
        <v>1.0968994673220001</v>
      </c>
      <c r="F80" s="393">
        <v>1702.03354406839</v>
      </c>
      <c r="G80" s="394">
        <v>709.18064336183102</v>
      </c>
      <c r="H80" s="396">
        <v>135.51849999999999</v>
      </c>
      <c r="I80" s="393">
        <v>663.77750000000106</v>
      </c>
      <c r="J80" s="394">
        <v>-45.403143361829997</v>
      </c>
      <c r="K80" s="397">
        <v>0.38999084495899999</v>
      </c>
    </row>
    <row r="81" spans="1:11" ht="14.4" customHeight="1" thickBot="1" x14ac:dyDescent="0.35">
      <c r="A81" s="414" t="s">
        <v>346</v>
      </c>
      <c r="B81" s="398">
        <v>405.00094796440499</v>
      </c>
      <c r="C81" s="398">
        <v>443.66066000000001</v>
      </c>
      <c r="D81" s="399">
        <v>38.659712035595</v>
      </c>
      <c r="E81" s="400">
        <v>1.0954558556709999</v>
      </c>
      <c r="F81" s="398">
        <v>451.03354406841999</v>
      </c>
      <c r="G81" s="399">
        <v>187.93064336184199</v>
      </c>
      <c r="H81" s="401">
        <v>35.872999999999998</v>
      </c>
      <c r="I81" s="398">
        <v>175.703</v>
      </c>
      <c r="J81" s="399">
        <v>-12.227643361841</v>
      </c>
      <c r="K81" s="402">
        <v>0.38955639178200002</v>
      </c>
    </row>
    <row r="82" spans="1:11" ht="14.4" customHeight="1" thickBot="1" x14ac:dyDescent="0.35">
      <c r="A82" s="415" t="s">
        <v>347</v>
      </c>
      <c r="B82" s="393">
        <v>405.00094796440499</v>
      </c>
      <c r="C82" s="393">
        <v>443.66066000000001</v>
      </c>
      <c r="D82" s="394">
        <v>38.659712035595</v>
      </c>
      <c r="E82" s="395">
        <v>1.0954558556709999</v>
      </c>
      <c r="F82" s="393">
        <v>451.03354406841999</v>
      </c>
      <c r="G82" s="394">
        <v>187.93064336184199</v>
      </c>
      <c r="H82" s="396">
        <v>35.872999999999998</v>
      </c>
      <c r="I82" s="393">
        <v>175.703</v>
      </c>
      <c r="J82" s="394">
        <v>-12.227643361841</v>
      </c>
      <c r="K82" s="397">
        <v>0.38955639178200002</v>
      </c>
    </row>
    <row r="83" spans="1:11" ht="14.4" customHeight="1" thickBot="1" x14ac:dyDescent="0.35">
      <c r="A83" s="414" t="s">
        <v>348</v>
      </c>
      <c r="B83" s="398">
        <v>1122.99931088382</v>
      </c>
      <c r="C83" s="398">
        <v>1232.40201</v>
      </c>
      <c r="D83" s="399">
        <v>109.402699116184</v>
      </c>
      <c r="E83" s="400">
        <v>1.0974200946120001</v>
      </c>
      <c r="F83" s="398">
        <v>1250.99999999997</v>
      </c>
      <c r="G83" s="399">
        <v>521.24999999999</v>
      </c>
      <c r="H83" s="401">
        <v>99.645499999999998</v>
      </c>
      <c r="I83" s="398">
        <v>488.07450000000102</v>
      </c>
      <c r="J83" s="399">
        <v>-33.175499999989</v>
      </c>
      <c r="K83" s="402">
        <v>0.39014748201400001</v>
      </c>
    </row>
    <row r="84" spans="1:11" ht="14.4" customHeight="1" thickBot="1" x14ac:dyDescent="0.35">
      <c r="A84" s="415" t="s">
        <v>349</v>
      </c>
      <c r="B84" s="393">
        <v>1122.99931088382</v>
      </c>
      <c r="C84" s="393">
        <v>1232.40201</v>
      </c>
      <c r="D84" s="394">
        <v>109.402699116184</v>
      </c>
      <c r="E84" s="395">
        <v>1.0974200946120001</v>
      </c>
      <c r="F84" s="393">
        <v>1250.99999999997</v>
      </c>
      <c r="G84" s="394">
        <v>521.24999999999</v>
      </c>
      <c r="H84" s="396">
        <v>99.645499999999998</v>
      </c>
      <c r="I84" s="393">
        <v>488.07450000000102</v>
      </c>
      <c r="J84" s="394">
        <v>-33.175499999989</v>
      </c>
      <c r="K84" s="397">
        <v>0.39014748201400001</v>
      </c>
    </row>
    <row r="85" spans="1:11" ht="14.4" customHeight="1" thickBot="1" x14ac:dyDescent="0.35">
      <c r="A85" s="413" t="s">
        <v>350</v>
      </c>
      <c r="B85" s="393">
        <v>44.999999999997002</v>
      </c>
      <c r="C85" s="393">
        <v>49.293950000000002</v>
      </c>
      <c r="D85" s="394">
        <v>4.2939500000019999</v>
      </c>
      <c r="E85" s="395">
        <v>1.0954211111109999</v>
      </c>
      <c r="F85" s="393">
        <v>50.999999999998998</v>
      </c>
      <c r="G85" s="394">
        <v>21.249999999999002</v>
      </c>
      <c r="H85" s="396">
        <v>3.9863599999999999</v>
      </c>
      <c r="I85" s="393">
        <v>19.562159999999999</v>
      </c>
      <c r="J85" s="394">
        <v>-1.6878399999989999</v>
      </c>
      <c r="K85" s="397">
        <v>0.38357176470499998</v>
      </c>
    </row>
    <row r="86" spans="1:11" ht="14.4" customHeight="1" thickBot="1" x14ac:dyDescent="0.35">
      <c r="A86" s="414" t="s">
        <v>351</v>
      </c>
      <c r="B86" s="398">
        <v>44.999999999997002</v>
      </c>
      <c r="C86" s="398">
        <v>49.293950000000002</v>
      </c>
      <c r="D86" s="399">
        <v>4.2939500000019999</v>
      </c>
      <c r="E86" s="400">
        <v>1.0954211111109999</v>
      </c>
      <c r="F86" s="398">
        <v>50.999999999998998</v>
      </c>
      <c r="G86" s="399">
        <v>21.249999999999002</v>
      </c>
      <c r="H86" s="401">
        <v>3.9863599999999999</v>
      </c>
      <c r="I86" s="398">
        <v>19.562159999999999</v>
      </c>
      <c r="J86" s="399">
        <v>-1.6878399999989999</v>
      </c>
      <c r="K86" s="402">
        <v>0.38357176470499998</v>
      </c>
    </row>
    <row r="87" spans="1:11" ht="14.4" customHeight="1" thickBot="1" x14ac:dyDescent="0.35">
      <c r="A87" s="415" t="s">
        <v>352</v>
      </c>
      <c r="B87" s="393">
        <v>44.999999999997002</v>
      </c>
      <c r="C87" s="393">
        <v>49.293950000000002</v>
      </c>
      <c r="D87" s="394">
        <v>4.2939500000019999</v>
      </c>
      <c r="E87" s="395">
        <v>1.0954211111109999</v>
      </c>
      <c r="F87" s="393">
        <v>50.999999999998998</v>
      </c>
      <c r="G87" s="394">
        <v>21.249999999999002</v>
      </c>
      <c r="H87" s="396">
        <v>3.9863599999999999</v>
      </c>
      <c r="I87" s="393">
        <v>19.562159999999999</v>
      </c>
      <c r="J87" s="394">
        <v>-1.6878399999989999</v>
      </c>
      <c r="K87" s="397">
        <v>0.38357176470499998</v>
      </c>
    </row>
    <row r="88" spans="1:11" ht="14.4" customHeight="1" thickBot="1" x14ac:dyDescent="0.35">
      <c r="A88" s="412" t="s">
        <v>353</v>
      </c>
      <c r="B88" s="393">
        <v>0</v>
      </c>
      <c r="C88" s="393">
        <v>4.5142499999989996</v>
      </c>
      <c r="D88" s="394">
        <v>4.5142499999989996</v>
      </c>
      <c r="E88" s="403" t="s">
        <v>273</v>
      </c>
      <c r="F88" s="393">
        <v>0</v>
      </c>
      <c r="G88" s="394">
        <v>0</v>
      </c>
      <c r="H88" s="396">
        <v>4.9406564584124654E-324</v>
      </c>
      <c r="I88" s="393">
        <v>2.4703282292062327E-323</v>
      </c>
      <c r="J88" s="394">
        <v>2.4703282292062327E-323</v>
      </c>
      <c r="K88" s="404" t="s">
        <v>273</v>
      </c>
    </row>
    <row r="89" spans="1:11" ht="14.4" customHeight="1" thickBot="1" x14ac:dyDescent="0.35">
      <c r="A89" s="413" t="s">
        <v>354</v>
      </c>
      <c r="B89" s="393">
        <v>0</v>
      </c>
      <c r="C89" s="393">
        <v>2.4069999999989999</v>
      </c>
      <c r="D89" s="394">
        <v>2.4069999999989999</v>
      </c>
      <c r="E89" s="403" t="s">
        <v>273</v>
      </c>
      <c r="F89" s="393">
        <v>0</v>
      </c>
      <c r="G89" s="394">
        <v>0</v>
      </c>
      <c r="H89" s="396">
        <v>4.9406564584124654E-324</v>
      </c>
      <c r="I89" s="393">
        <v>2.4703282292062327E-323</v>
      </c>
      <c r="J89" s="394">
        <v>2.4703282292062327E-323</v>
      </c>
      <c r="K89" s="404" t="s">
        <v>273</v>
      </c>
    </row>
    <row r="90" spans="1:11" ht="14.4" customHeight="1" thickBot="1" x14ac:dyDescent="0.35">
      <c r="A90" s="414" t="s">
        <v>355</v>
      </c>
      <c r="B90" s="398">
        <v>0</v>
      </c>
      <c r="C90" s="398">
        <v>2.4069999999989999</v>
      </c>
      <c r="D90" s="399">
        <v>2.4069999999989999</v>
      </c>
      <c r="E90" s="405" t="s">
        <v>273</v>
      </c>
      <c r="F90" s="398">
        <v>0</v>
      </c>
      <c r="G90" s="399">
        <v>0</v>
      </c>
      <c r="H90" s="401">
        <v>4.9406564584124654E-324</v>
      </c>
      <c r="I90" s="398">
        <v>2.4703282292062327E-323</v>
      </c>
      <c r="J90" s="399">
        <v>2.4703282292062327E-323</v>
      </c>
      <c r="K90" s="406" t="s">
        <v>273</v>
      </c>
    </row>
    <row r="91" spans="1:11" ht="14.4" customHeight="1" thickBot="1" x14ac:dyDescent="0.35">
      <c r="A91" s="415" t="s">
        <v>356</v>
      </c>
      <c r="B91" s="393">
        <v>0</v>
      </c>
      <c r="C91" s="393">
        <v>2.4069999999989999</v>
      </c>
      <c r="D91" s="394">
        <v>2.4069999999989999</v>
      </c>
      <c r="E91" s="403" t="s">
        <v>273</v>
      </c>
      <c r="F91" s="393">
        <v>0</v>
      </c>
      <c r="G91" s="394">
        <v>0</v>
      </c>
      <c r="H91" s="396">
        <v>4.9406564584124654E-324</v>
      </c>
      <c r="I91" s="393">
        <v>2.4703282292062327E-323</v>
      </c>
      <c r="J91" s="394">
        <v>2.4703282292062327E-323</v>
      </c>
      <c r="K91" s="404" t="s">
        <v>273</v>
      </c>
    </row>
    <row r="92" spans="1:11" ht="14.4" customHeight="1" thickBot="1" x14ac:dyDescent="0.35">
      <c r="A92" s="413" t="s">
        <v>357</v>
      </c>
      <c r="B92" s="393">
        <v>0</v>
      </c>
      <c r="C92" s="393">
        <v>2.1072500000000001</v>
      </c>
      <c r="D92" s="394">
        <v>2.1072500000000001</v>
      </c>
      <c r="E92" s="403" t="s">
        <v>273</v>
      </c>
      <c r="F92" s="393">
        <v>0</v>
      </c>
      <c r="G92" s="394">
        <v>0</v>
      </c>
      <c r="H92" s="396">
        <v>4.9406564584124654E-324</v>
      </c>
      <c r="I92" s="393">
        <v>2.4703282292062327E-323</v>
      </c>
      <c r="J92" s="394">
        <v>2.4703282292062327E-323</v>
      </c>
      <c r="K92" s="404" t="s">
        <v>273</v>
      </c>
    </row>
    <row r="93" spans="1:11" ht="14.4" customHeight="1" thickBot="1" x14ac:dyDescent="0.35">
      <c r="A93" s="414" t="s">
        <v>358</v>
      </c>
      <c r="B93" s="398">
        <v>0</v>
      </c>
      <c r="C93" s="398">
        <v>2.1072500000000001</v>
      </c>
      <c r="D93" s="399">
        <v>2.1072500000000001</v>
      </c>
      <c r="E93" s="405" t="s">
        <v>273</v>
      </c>
      <c r="F93" s="398">
        <v>0</v>
      </c>
      <c r="G93" s="399">
        <v>0</v>
      </c>
      <c r="H93" s="401">
        <v>4.9406564584124654E-324</v>
      </c>
      <c r="I93" s="398">
        <v>2.4703282292062327E-323</v>
      </c>
      <c r="J93" s="399">
        <v>2.4703282292062327E-323</v>
      </c>
      <c r="K93" s="406" t="s">
        <v>273</v>
      </c>
    </row>
    <row r="94" spans="1:11" ht="14.4" customHeight="1" thickBot="1" x14ac:dyDescent="0.35">
      <c r="A94" s="415" t="s">
        <v>359</v>
      </c>
      <c r="B94" s="393">
        <v>0</v>
      </c>
      <c r="C94" s="393">
        <v>2.1072500000000001</v>
      </c>
      <c r="D94" s="394">
        <v>2.1072500000000001</v>
      </c>
      <c r="E94" s="403" t="s">
        <v>273</v>
      </c>
      <c r="F94" s="393">
        <v>0</v>
      </c>
      <c r="G94" s="394">
        <v>0</v>
      </c>
      <c r="H94" s="396">
        <v>4.9406564584124654E-324</v>
      </c>
      <c r="I94" s="393">
        <v>2.4703282292062327E-323</v>
      </c>
      <c r="J94" s="394">
        <v>2.4703282292062327E-323</v>
      </c>
      <c r="K94" s="404" t="s">
        <v>273</v>
      </c>
    </row>
    <row r="95" spans="1:11" ht="14.4" customHeight="1" thickBot="1" x14ac:dyDescent="0.35">
      <c r="A95" s="412" t="s">
        <v>360</v>
      </c>
      <c r="B95" s="393">
        <v>250.99999999998599</v>
      </c>
      <c r="C95" s="393">
        <v>295.51267999999999</v>
      </c>
      <c r="D95" s="394">
        <v>44.512680000012999</v>
      </c>
      <c r="E95" s="395">
        <v>1.1773413545810001</v>
      </c>
      <c r="F95" s="393">
        <v>288.99459154803202</v>
      </c>
      <c r="G95" s="394">
        <v>120.414413145013</v>
      </c>
      <c r="H95" s="396">
        <v>24.091000000000001</v>
      </c>
      <c r="I95" s="393">
        <v>120.455</v>
      </c>
      <c r="J95" s="394">
        <v>4.0586854986000002E-2</v>
      </c>
      <c r="K95" s="397">
        <v>0.41680710823900002</v>
      </c>
    </row>
    <row r="96" spans="1:11" ht="14.4" customHeight="1" thickBot="1" x14ac:dyDescent="0.35">
      <c r="A96" s="413" t="s">
        <v>361</v>
      </c>
      <c r="B96" s="393">
        <v>250.99999999998599</v>
      </c>
      <c r="C96" s="393">
        <v>268.42599999999999</v>
      </c>
      <c r="D96" s="394">
        <v>17.426000000013001</v>
      </c>
      <c r="E96" s="395">
        <v>1.06942629482</v>
      </c>
      <c r="F96" s="393">
        <v>288.99459154803202</v>
      </c>
      <c r="G96" s="394">
        <v>120.414413145013</v>
      </c>
      <c r="H96" s="396">
        <v>24.091000000000001</v>
      </c>
      <c r="I96" s="393">
        <v>120.455</v>
      </c>
      <c r="J96" s="394">
        <v>4.0586854986000002E-2</v>
      </c>
      <c r="K96" s="397">
        <v>0.41680710823900002</v>
      </c>
    </row>
    <row r="97" spans="1:11" ht="14.4" customHeight="1" thickBot="1" x14ac:dyDescent="0.35">
      <c r="A97" s="414" t="s">
        <v>362</v>
      </c>
      <c r="B97" s="398">
        <v>250.99999999998599</v>
      </c>
      <c r="C97" s="398">
        <v>268.42599999999999</v>
      </c>
      <c r="D97" s="399">
        <v>17.426000000013001</v>
      </c>
      <c r="E97" s="400">
        <v>1.06942629482</v>
      </c>
      <c r="F97" s="398">
        <v>288.99459154803202</v>
      </c>
      <c r="G97" s="399">
        <v>120.414413145013</v>
      </c>
      <c r="H97" s="401">
        <v>24.091000000000001</v>
      </c>
      <c r="I97" s="398">
        <v>120.455</v>
      </c>
      <c r="J97" s="399">
        <v>4.0586854986000002E-2</v>
      </c>
      <c r="K97" s="402">
        <v>0.41680710823900002</v>
      </c>
    </row>
    <row r="98" spans="1:11" ht="14.4" customHeight="1" thickBot="1" x14ac:dyDescent="0.35">
      <c r="A98" s="415" t="s">
        <v>363</v>
      </c>
      <c r="B98" s="393">
        <v>106.999999999994</v>
      </c>
      <c r="C98" s="393">
        <v>118.72499999999999</v>
      </c>
      <c r="D98" s="394">
        <v>11.725000000005</v>
      </c>
      <c r="E98" s="395">
        <v>1.109579439252</v>
      </c>
      <c r="F98" s="393">
        <v>128.99487485858299</v>
      </c>
      <c r="G98" s="394">
        <v>53.747864524409003</v>
      </c>
      <c r="H98" s="396">
        <v>10.757</v>
      </c>
      <c r="I98" s="393">
        <v>53.784999999999997</v>
      </c>
      <c r="J98" s="394">
        <v>3.7135475590000001E-2</v>
      </c>
      <c r="K98" s="397">
        <v>0.41695455000800002</v>
      </c>
    </row>
    <row r="99" spans="1:11" ht="14.4" customHeight="1" thickBot="1" x14ac:dyDescent="0.35">
      <c r="A99" s="415" t="s">
        <v>364</v>
      </c>
      <c r="B99" s="393">
        <v>122.99999999999299</v>
      </c>
      <c r="C99" s="393">
        <v>127.33499999999999</v>
      </c>
      <c r="D99" s="394">
        <v>4.3350000000059996</v>
      </c>
      <c r="E99" s="395">
        <v>1.0352439024390001</v>
      </c>
      <c r="F99" s="393">
        <v>136.99999999999801</v>
      </c>
      <c r="G99" s="394">
        <v>57.083333333332</v>
      </c>
      <c r="H99" s="396">
        <v>11.401</v>
      </c>
      <c r="I99" s="393">
        <v>57.005000000000003</v>
      </c>
      <c r="J99" s="394">
        <v>-7.8333333332000002E-2</v>
      </c>
      <c r="K99" s="397">
        <v>0.41609489050999998</v>
      </c>
    </row>
    <row r="100" spans="1:11" ht="14.4" customHeight="1" thickBot="1" x14ac:dyDescent="0.35">
      <c r="A100" s="415" t="s">
        <v>365</v>
      </c>
      <c r="B100" s="393">
        <v>20.999999999998</v>
      </c>
      <c r="C100" s="393">
        <v>22.366</v>
      </c>
      <c r="D100" s="394">
        <v>1.366000000001</v>
      </c>
      <c r="E100" s="395">
        <v>1.065047619047</v>
      </c>
      <c r="F100" s="393">
        <v>22.999716689450999</v>
      </c>
      <c r="G100" s="394">
        <v>9.5832152872710008</v>
      </c>
      <c r="H100" s="396">
        <v>1.9330000000000001</v>
      </c>
      <c r="I100" s="393">
        <v>9.6649999999999991</v>
      </c>
      <c r="J100" s="394">
        <v>8.1784712728000003E-2</v>
      </c>
      <c r="K100" s="397">
        <v>0.42022256754199999</v>
      </c>
    </row>
    <row r="101" spans="1:11" ht="14.4" customHeight="1" thickBot="1" x14ac:dyDescent="0.35">
      <c r="A101" s="413" t="s">
        <v>366</v>
      </c>
      <c r="B101" s="393">
        <v>0</v>
      </c>
      <c r="C101" s="393">
        <v>27.086680000000001</v>
      </c>
      <c r="D101" s="394">
        <v>27.086680000000001</v>
      </c>
      <c r="E101" s="403" t="s">
        <v>273</v>
      </c>
      <c r="F101" s="393">
        <v>0</v>
      </c>
      <c r="G101" s="394">
        <v>0</v>
      </c>
      <c r="H101" s="396">
        <v>4.9406564584124654E-324</v>
      </c>
      <c r="I101" s="393">
        <v>2.4703282292062327E-323</v>
      </c>
      <c r="J101" s="394">
        <v>2.4703282292062327E-323</v>
      </c>
      <c r="K101" s="404" t="s">
        <v>273</v>
      </c>
    </row>
    <row r="102" spans="1:11" ht="14.4" customHeight="1" thickBot="1" x14ac:dyDescent="0.35">
      <c r="A102" s="414" t="s">
        <v>367</v>
      </c>
      <c r="B102" s="398">
        <v>4.9406564584124654E-324</v>
      </c>
      <c r="C102" s="398">
        <v>7.2889999999999997</v>
      </c>
      <c r="D102" s="399">
        <v>7.2889999999999997</v>
      </c>
      <c r="E102" s="405" t="s">
        <v>296</v>
      </c>
      <c r="F102" s="398">
        <v>0</v>
      </c>
      <c r="G102" s="399">
        <v>0</v>
      </c>
      <c r="H102" s="401">
        <v>4.9406564584124654E-324</v>
      </c>
      <c r="I102" s="398">
        <v>2.4703282292062327E-323</v>
      </c>
      <c r="J102" s="399">
        <v>2.4703282292062327E-323</v>
      </c>
      <c r="K102" s="406" t="s">
        <v>273</v>
      </c>
    </row>
    <row r="103" spans="1:11" ht="14.4" customHeight="1" thickBot="1" x14ac:dyDescent="0.35">
      <c r="A103" s="415" t="s">
        <v>368</v>
      </c>
      <c r="B103" s="393">
        <v>4.9406564584124654E-324</v>
      </c>
      <c r="C103" s="393">
        <v>7.2889999999999997</v>
      </c>
      <c r="D103" s="394">
        <v>7.2889999999999997</v>
      </c>
      <c r="E103" s="403" t="s">
        <v>296</v>
      </c>
      <c r="F103" s="393">
        <v>0</v>
      </c>
      <c r="G103" s="394">
        <v>0</v>
      </c>
      <c r="H103" s="396">
        <v>4.9406564584124654E-324</v>
      </c>
      <c r="I103" s="393">
        <v>2.4703282292062327E-323</v>
      </c>
      <c r="J103" s="394">
        <v>2.4703282292062327E-323</v>
      </c>
      <c r="K103" s="404" t="s">
        <v>273</v>
      </c>
    </row>
    <row r="104" spans="1:11" ht="14.4" customHeight="1" thickBot="1" x14ac:dyDescent="0.35">
      <c r="A104" s="414" t="s">
        <v>369</v>
      </c>
      <c r="B104" s="398">
        <v>4.9406564584124654E-324</v>
      </c>
      <c r="C104" s="398">
        <v>19.79768</v>
      </c>
      <c r="D104" s="399">
        <v>19.79768</v>
      </c>
      <c r="E104" s="405" t="s">
        <v>296</v>
      </c>
      <c r="F104" s="398">
        <v>0</v>
      </c>
      <c r="G104" s="399">
        <v>0</v>
      </c>
      <c r="H104" s="401">
        <v>4.9406564584124654E-324</v>
      </c>
      <c r="I104" s="398">
        <v>2.4703282292062327E-323</v>
      </c>
      <c r="J104" s="399">
        <v>2.4703282292062327E-323</v>
      </c>
      <c r="K104" s="406" t="s">
        <v>273</v>
      </c>
    </row>
    <row r="105" spans="1:11" ht="14.4" customHeight="1" thickBot="1" x14ac:dyDescent="0.35">
      <c r="A105" s="415" t="s">
        <v>370</v>
      </c>
      <c r="B105" s="393">
        <v>4.9406564584124654E-324</v>
      </c>
      <c r="C105" s="393">
        <v>19.79768</v>
      </c>
      <c r="D105" s="394">
        <v>19.79768</v>
      </c>
      <c r="E105" s="403" t="s">
        <v>296</v>
      </c>
      <c r="F105" s="393">
        <v>0</v>
      </c>
      <c r="G105" s="394">
        <v>0</v>
      </c>
      <c r="H105" s="396">
        <v>4.9406564584124654E-324</v>
      </c>
      <c r="I105" s="393">
        <v>2.4703282292062327E-323</v>
      </c>
      <c r="J105" s="394">
        <v>2.4703282292062327E-323</v>
      </c>
      <c r="K105" s="404" t="s">
        <v>273</v>
      </c>
    </row>
    <row r="106" spans="1:11" ht="14.4" customHeight="1" thickBot="1" x14ac:dyDescent="0.35">
      <c r="A106" s="411" t="s">
        <v>371</v>
      </c>
      <c r="B106" s="393">
        <v>7356.8417250791799</v>
      </c>
      <c r="C106" s="393">
        <v>5558.2487600000004</v>
      </c>
      <c r="D106" s="394">
        <v>-1798.59296507918</v>
      </c>
      <c r="E106" s="395">
        <v>0.75552104662599995</v>
      </c>
      <c r="F106" s="393">
        <v>5654.87228960634</v>
      </c>
      <c r="G106" s="394">
        <v>2356.1967873359699</v>
      </c>
      <c r="H106" s="396">
        <v>460.61507</v>
      </c>
      <c r="I106" s="393">
        <v>2529.2930000000001</v>
      </c>
      <c r="J106" s="394">
        <v>173.09621266402499</v>
      </c>
      <c r="K106" s="397">
        <v>0.44727676779699999</v>
      </c>
    </row>
    <row r="107" spans="1:11" ht="14.4" customHeight="1" thickBot="1" x14ac:dyDescent="0.35">
      <c r="A107" s="412" t="s">
        <v>372</v>
      </c>
      <c r="B107" s="393">
        <v>7245.9679655951804</v>
      </c>
      <c r="C107" s="393">
        <v>5433.2995600000004</v>
      </c>
      <c r="D107" s="394">
        <v>-1812.66840559518</v>
      </c>
      <c r="E107" s="395">
        <v>0.74983764568</v>
      </c>
      <c r="F107" s="393">
        <v>5604.8615312176298</v>
      </c>
      <c r="G107" s="394">
        <v>2335.35897134068</v>
      </c>
      <c r="H107" s="396">
        <v>460.61108000000002</v>
      </c>
      <c r="I107" s="393">
        <v>2516.62491</v>
      </c>
      <c r="J107" s="394">
        <v>181.26593865932099</v>
      </c>
      <c r="K107" s="397">
        <v>0.44900750821099999</v>
      </c>
    </row>
    <row r="108" spans="1:11" ht="14.4" customHeight="1" thickBot="1" x14ac:dyDescent="0.35">
      <c r="A108" s="413" t="s">
        <v>373</v>
      </c>
      <c r="B108" s="393">
        <v>7245.9679655951804</v>
      </c>
      <c r="C108" s="393">
        <v>5433.2995600000004</v>
      </c>
      <c r="D108" s="394">
        <v>-1812.66840559518</v>
      </c>
      <c r="E108" s="395">
        <v>0.74983764568</v>
      </c>
      <c r="F108" s="393">
        <v>5604.8615312176298</v>
      </c>
      <c r="G108" s="394">
        <v>2335.35897134068</v>
      </c>
      <c r="H108" s="396">
        <v>460.61108000000002</v>
      </c>
      <c r="I108" s="393">
        <v>2516.62491</v>
      </c>
      <c r="J108" s="394">
        <v>181.26593865932099</v>
      </c>
      <c r="K108" s="397">
        <v>0.44900750821099999</v>
      </c>
    </row>
    <row r="109" spans="1:11" ht="14.4" customHeight="1" thickBot="1" x14ac:dyDescent="0.35">
      <c r="A109" s="414" t="s">
        <v>374</v>
      </c>
      <c r="B109" s="398">
        <v>3687.9670473985202</v>
      </c>
      <c r="C109" s="398">
        <v>3544.61213</v>
      </c>
      <c r="D109" s="399">
        <v>-143.35491739852301</v>
      </c>
      <c r="E109" s="400">
        <v>0.96112901347599999</v>
      </c>
      <c r="F109" s="398">
        <v>3641.8615312176298</v>
      </c>
      <c r="G109" s="399">
        <v>1517.4423046740101</v>
      </c>
      <c r="H109" s="401">
        <v>296.96420000000001</v>
      </c>
      <c r="I109" s="398">
        <v>1630.22552</v>
      </c>
      <c r="J109" s="399">
        <v>112.783215325988</v>
      </c>
      <c r="K109" s="402">
        <v>0.44763522885899998</v>
      </c>
    </row>
    <row r="110" spans="1:11" ht="14.4" customHeight="1" thickBot="1" x14ac:dyDescent="0.35">
      <c r="A110" s="415" t="s">
        <v>375</v>
      </c>
      <c r="B110" s="393">
        <v>1755.30697353904</v>
      </c>
      <c r="C110" s="393">
        <v>2452.4914899999999</v>
      </c>
      <c r="D110" s="394">
        <v>697.18451646096298</v>
      </c>
      <c r="E110" s="395">
        <v>1.397186661348</v>
      </c>
      <c r="F110" s="393">
        <v>2534.8075453193401</v>
      </c>
      <c r="G110" s="394">
        <v>1056.1698105497301</v>
      </c>
      <c r="H110" s="396">
        <v>229.18440000000001</v>
      </c>
      <c r="I110" s="393">
        <v>1246.45012</v>
      </c>
      <c r="J110" s="394">
        <v>190.28030945027399</v>
      </c>
      <c r="K110" s="397">
        <v>0.49173363173099999</v>
      </c>
    </row>
    <row r="111" spans="1:11" ht="14.4" customHeight="1" thickBot="1" x14ac:dyDescent="0.35">
      <c r="A111" s="415" t="s">
        <v>376</v>
      </c>
      <c r="B111" s="393">
        <v>19.204886330409</v>
      </c>
      <c r="C111" s="393">
        <v>58.596699999999998</v>
      </c>
      <c r="D111" s="394">
        <v>39.39181366959</v>
      </c>
      <c r="E111" s="395">
        <v>3.0511349555449998</v>
      </c>
      <c r="F111" s="393">
        <v>60.619384169268002</v>
      </c>
      <c r="G111" s="394">
        <v>25.258076737195001</v>
      </c>
      <c r="H111" s="396">
        <v>0.41639999999999999</v>
      </c>
      <c r="I111" s="393">
        <v>15.654400000000001</v>
      </c>
      <c r="J111" s="394">
        <v>-9.6036767371950003</v>
      </c>
      <c r="K111" s="397">
        <v>0.25824082864699999</v>
      </c>
    </row>
    <row r="112" spans="1:11" ht="14.4" customHeight="1" thickBot="1" x14ac:dyDescent="0.35">
      <c r="A112" s="415" t="s">
        <v>377</v>
      </c>
      <c r="B112" s="393">
        <v>4.9406564584124654E-324</v>
      </c>
      <c r="C112" s="393">
        <v>2.976</v>
      </c>
      <c r="D112" s="394">
        <v>2.976</v>
      </c>
      <c r="E112" s="403" t="s">
        <v>296</v>
      </c>
      <c r="F112" s="393">
        <v>4.9406564584124654E-324</v>
      </c>
      <c r="G112" s="394">
        <v>0</v>
      </c>
      <c r="H112" s="396">
        <v>4.9406564584124654E-324</v>
      </c>
      <c r="I112" s="393">
        <v>2.4703282292062327E-323</v>
      </c>
      <c r="J112" s="394">
        <v>2.4703282292062327E-323</v>
      </c>
      <c r="K112" s="397">
        <v>0</v>
      </c>
    </row>
    <row r="113" spans="1:11" ht="14.4" customHeight="1" thickBot="1" x14ac:dyDescent="0.35">
      <c r="A113" s="415" t="s">
        <v>378</v>
      </c>
      <c r="B113" s="393">
        <v>72.302862832398006</v>
      </c>
      <c r="C113" s="393">
        <v>119.6964</v>
      </c>
      <c r="D113" s="394">
        <v>47.393537167601004</v>
      </c>
      <c r="E113" s="395">
        <v>1.655486315631</v>
      </c>
      <c r="F113" s="393">
        <v>131.09853262869299</v>
      </c>
      <c r="G113" s="394">
        <v>54.624388595288004</v>
      </c>
      <c r="H113" s="396">
        <v>3.5939999999999999</v>
      </c>
      <c r="I113" s="393">
        <v>10.083600000000001</v>
      </c>
      <c r="J113" s="394">
        <v>-44.540788595287999</v>
      </c>
      <c r="K113" s="397">
        <v>7.6916192711999995E-2</v>
      </c>
    </row>
    <row r="114" spans="1:11" ht="14.4" customHeight="1" thickBot="1" x14ac:dyDescent="0.35">
      <c r="A114" s="415" t="s">
        <v>379</v>
      </c>
      <c r="B114" s="393">
        <v>1839.20236491234</v>
      </c>
      <c r="C114" s="393">
        <v>910.85154</v>
      </c>
      <c r="D114" s="394">
        <v>-928.350824912343</v>
      </c>
      <c r="E114" s="395">
        <v>0.49524269725600001</v>
      </c>
      <c r="F114" s="393">
        <v>915.33606910032199</v>
      </c>
      <c r="G114" s="394">
        <v>381.390028791801</v>
      </c>
      <c r="H114" s="396">
        <v>63.769399999999997</v>
      </c>
      <c r="I114" s="393">
        <v>358.03739999999999</v>
      </c>
      <c r="J114" s="394">
        <v>-23.352628791800999</v>
      </c>
      <c r="K114" s="397">
        <v>0.39115403848500002</v>
      </c>
    </row>
    <row r="115" spans="1:11" ht="14.4" customHeight="1" thickBot="1" x14ac:dyDescent="0.35">
      <c r="A115" s="414" t="s">
        <v>380</v>
      </c>
      <c r="B115" s="398">
        <v>4.9406564584124654E-324</v>
      </c>
      <c r="C115" s="398">
        <v>4.9406564584124654E-324</v>
      </c>
      <c r="D115" s="399">
        <v>0</v>
      </c>
      <c r="E115" s="400">
        <v>1</v>
      </c>
      <c r="F115" s="398">
        <v>4.9406564584124654E-324</v>
      </c>
      <c r="G115" s="399">
        <v>0</v>
      </c>
      <c r="H115" s="401">
        <v>0.19259999999999999</v>
      </c>
      <c r="I115" s="398">
        <v>1.0331999999999999</v>
      </c>
      <c r="J115" s="399">
        <v>1.0331999999999999</v>
      </c>
      <c r="K115" s="406" t="s">
        <v>296</v>
      </c>
    </row>
    <row r="116" spans="1:11" ht="14.4" customHeight="1" thickBot="1" x14ac:dyDescent="0.35">
      <c r="A116" s="415" t="s">
        <v>381</v>
      </c>
      <c r="B116" s="393">
        <v>4.9406564584124654E-324</v>
      </c>
      <c r="C116" s="393">
        <v>4.9406564584124654E-324</v>
      </c>
      <c r="D116" s="394">
        <v>0</v>
      </c>
      <c r="E116" s="395">
        <v>1</v>
      </c>
      <c r="F116" s="393">
        <v>4.9406564584124654E-324</v>
      </c>
      <c r="G116" s="394">
        <v>0</v>
      </c>
      <c r="H116" s="396">
        <v>0.19259999999999999</v>
      </c>
      <c r="I116" s="393">
        <v>1.0331999999999999</v>
      </c>
      <c r="J116" s="394">
        <v>1.0331999999999999</v>
      </c>
      <c r="K116" s="404" t="s">
        <v>296</v>
      </c>
    </row>
    <row r="117" spans="1:11" ht="14.4" customHeight="1" thickBot="1" x14ac:dyDescent="0.35">
      <c r="A117" s="414" t="s">
        <v>382</v>
      </c>
      <c r="B117" s="398">
        <v>4.9406564584124654E-324</v>
      </c>
      <c r="C117" s="398">
        <v>-0.11545999999999999</v>
      </c>
      <c r="D117" s="399">
        <v>-0.11545999999999999</v>
      </c>
      <c r="E117" s="405" t="s">
        <v>296</v>
      </c>
      <c r="F117" s="398">
        <v>0</v>
      </c>
      <c r="G117" s="399">
        <v>0</v>
      </c>
      <c r="H117" s="401">
        <v>4.9406564584124654E-324</v>
      </c>
      <c r="I117" s="398">
        <v>2.4703282292062327E-323</v>
      </c>
      <c r="J117" s="399">
        <v>2.4703282292062327E-323</v>
      </c>
      <c r="K117" s="406" t="s">
        <v>273</v>
      </c>
    </row>
    <row r="118" spans="1:11" ht="14.4" customHeight="1" thickBot="1" x14ac:dyDescent="0.35">
      <c r="A118" s="415" t="s">
        <v>383</v>
      </c>
      <c r="B118" s="393">
        <v>4.9406564584124654E-324</v>
      </c>
      <c r="C118" s="393">
        <v>-0.11545999999999999</v>
      </c>
      <c r="D118" s="394">
        <v>-0.11545999999999999</v>
      </c>
      <c r="E118" s="403" t="s">
        <v>296</v>
      </c>
      <c r="F118" s="393">
        <v>0</v>
      </c>
      <c r="G118" s="394">
        <v>0</v>
      </c>
      <c r="H118" s="396">
        <v>4.9406564584124654E-324</v>
      </c>
      <c r="I118" s="393">
        <v>2.4703282292062327E-323</v>
      </c>
      <c r="J118" s="394">
        <v>2.4703282292062327E-323</v>
      </c>
      <c r="K118" s="404" t="s">
        <v>273</v>
      </c>
    </row>
    <row r="119" spans="1:11" ht="14.4" customHeight="1" thickBot="1" x14ac:dyDescent="0.35">
      <c r="A119" s="414" t="s">
        <v>384</v>
      </c>
      <c r="B119" s="398">
        <v>3558.0009181966602</v>
      </c>
      <c r="C119" s="398">
        <v>1609.6329900000001</v>
      </c>
      <c r="D119" s="399">
        <v>-1948.3679281966599</v>
      </c>
      <c r="E119" s="400">
        <v>0.45239813788900002</v>
      </c>
      <c r="F119" s="398">
        <v>1963</v>
      </c>
      <c r="G119" s="399">
        <v>817.91666666666697</v>
      </c>
      <c r="H119" s="401">
        <v>163.45428000000001</v>
      </c>
      <c r="I119" s="398">
        <v>854.21505999999999</v>
      </c>
      <c r="J119" s="399">
        <v>36.298393333332001</v>
      </c>
      <c r="K119" s="402">
        <v>0.43515795211399999</v>
      </c>
    </row>
    <row r="120" spans="1:11" ht="14.4" customHeight="1" thickBot="1" x14ac:dyDescent="0.35">
      <c r="A120" s="415" t="s">
        <v>385</v>
      </c>
      <c r="B120" s="393">
        <v>1104.00029721393</v>
      </c>
      <c r="C120" s="393">
        <v>550.78216999999995</v>
      </c>
      <c r="D120" s="394">
        <v>-553.21812721393405</v>
      </c>
      <c r="E120" s="395">
        <v>0.49889675880500001</v>
      </c>
      <c r="F120" s="393">
        <v>718</v>
      </c>
      <c r="G120" s="394">
        <v>299.16666666666703</v>
      </c>
      <c r="H120" s="396">
        <v>60.259720000000002</v>
      </c>
      <c r="I120" s="393">
        <v>338.56031999999999</v>
      </c>
      <c r="J120" s="394">
        <v>39.393653333332999</v>
      </c>
      <c r="K120" s="397">
        <v>0.471532479108</v>
      </c>
    </row>
    <row r="121" spans="1:11" ht="14.4" customHeight="1" thickBot="1" x14ac:dyDescent="0.35">
      <c r="A121" s="415" t="s">
        <v>386</v>
      </c>
      <c r="B121" s="393">
        <v>2454.0006209827302</v>
      </c>
      <c r="C121" s="393">
        <v>1058.8508200000001</v>
      </c>
      <c r="D121" s="394">
        <v>-1395.1498009827301</v>
      </c>
      <c r="E121" s="395">
        <v>0.43147944256600002</v>
      </c>
      <c r="F121" s="393">
        <v>1245</v>
      </c>
      <c r="G121" s="394">
        <v>518.75</v>
      </c>
      <c r="H121" s="396">
        <v>103.19456</v>
      </c>
      <c r="I121" s="393">
        <v>515.65473999999995</v>
      </c>
      <c r="J121" s="394">
        <v>-3.0952600000000001</v>
      </c>
      <c r="K121" s="397">
        <v>0.41418051405599998</v>
      </c>
    </row>
    <row r="122" spans="1:11" ht="14.4" customHeight="1" thickBot="1" x14ac:dyDescent="0.35">
      <c r="A122" s="414" t="s">
        <v>387</v>
      </c>
      <c r="B122" s="398">
        <v>0</v>
      </c>
      <c r="C122" s="398">
        <v>279.16989999999998</v>
      </c>
      <c r="D122" s="399">
        <v>279.16989999999998</v>
      </c>
      <c r="E122" s="405" t="s">
        <v>273</v>
      </c>
      <c r="F122" s="398">
        <v>0</v>
      </c>
      <c r="G122" s="399">
        <v>0</v>
      </c>
      <c r="H122" s="401">
        <v>4.9406564584124654E-324</v>
      </c>
      <c r="I122" s="398">
        <v>31.151129999999998</v>
      </c>
      <c r="J122" s="399">
        <v>31.151129999999998</v>
      </c>
      <c r="K122" s="406" t="s">
        <v>273</v>
      </c>
    </row>
    <row r="123" spans="1:11" ht="14.4" customHeight="1" thickBot="1" x14ac:dyDescent="0.35">
      <c r="A123" s="415" t="s">
        <v>388</v>
      </c>
      <c r="B123" s="393">
        <v>4.9406564584124654E-324</v>
      </c>
      <c r="C123" s="393">
        <v>162.93956</v>
      </c>
      <c r="D123" s="394">
        <v>162.93956</v>
      </c>
      <c r="E123" s="403" t="s">
        <v>296</v>
      </c>
      <c r="F123" s="393">
        <v>0</v>
      </c>
      <c r="G123" s="394">
        <v>0</v>
      </c>
      <c r="H123" s="396">
        <v>4.9406564584124654E-324</v>
      </c>
      <c r="I123" s="393">
        <v>13.21515</v>
      </c>
      <c r="J123" s="394">
        <v>13.21515</v>
      </c>
      <c r="K123" s="404" t="s">
        <v>273</v>
      </c>
    </row>
    <row r="124" spans="1:11" ht="14.4" customHeight="1" thickBot="1" x14ac:dyDescent="0.35">
      <c r="A124" s="415" t="s">
        <v>389</v>
      </c>
      <c r="B124" s="393">
        <v>0</v>
      </c>
      <c r="C124" s="393">
        <v>116.23034</v>
      </c>
      <c r="D124" s="394">
        <v>116.23034</v>
      </c>
      <c r="E124" s="403" t="s">
        <v>273</v>
      </c>
      <c r="F124" s="393">
        <v>0</v>
      </c>
      <c r="G124" s="394">
        <v>0</v>
      </c>
      <c r="H124" s="396">
        <v>4.9406564584124654E-324</v>
      </c>
      <c r="I124" s="393">
        <v>17.935980000000001</v>
      </c>
      <c r="J124" s="394">
        <v>17.935980000000001</v>
      </c>
      <c r="K124" s="404" t="s">
        <v>273</v>
      </c>
    </row>
    <row r="125" spans="1:11" ht="14.4" customHeight="1" thickBot="1" x14ac:dyDescent="0.35">
      <c r="A125" s="412" t="s">
        <v>390</v>
      </c>
      <c r="B125" s="393">
        <v>110.873759483993</v>
      </c>
      <c r="C125" s="393">
        <v>124.9492</v>
      </c>
      <c r="D125" s="394">
        <v>14.075440516006999</v>
      </c>
      <c r="E125" s="395">
        <v>1.126950151068</v>
      </c>
      <c r="F125" s="393">
        <v>50.010758388710002</v>
      </c>
      <c r="G125" s="394">
        <v>20.837815995296001</v>
      </c>
      <c r="H125" s="396">
        <v>3.9899999999999996E-3</v>
      </c>
      <c r="I125" s="393">
        <v>12.668089999999999</v>
      </c>
      <c r="J125" s="394">
        <v>-8.169725995296</v>
      </c>
      <c r="K125" s="397">
        <v>0.25330729643200001</v>
      </c>
    </row>
    <row r="126" spans="1:11" ht="14.4" customHeight="1" thickBot="1" x14ac:dyDescent="0.35">
      <c r="A126" s="413" t="s">
        <v>391</v>
      </c>
      <c r="B126" s="393">
        <v>68.999590497309001</v>
      </c>
      <c r="C126" s="393">
        <v>34.09892</v>
      </c>
      <c r="D126" s="394">
        <v>-34.900670497309001</v>
      </c>
      <c r="E126" s="395">
        <v>0.49419017930699999</v>
      </c>
      <c r="F126" s="393">
        <v>0</v>
      </c>
      <c r="G126" s="394">
        <v>0</v>
      </c>
      <c r="H126" s="396">
        <v>4.9406564584124654E-324</v>
      </c>
      <c r="I126" s="393">
        <v>2.4703282292062327E-323</v>
      </c>
      <c r="J126" s="394">
        <v>2.4703282292062327E-323</v>
      </c>
      <c r="K126" s="404" t="s">
        <v>273</v>
      </c>
    </row>
    <row r="127" spans="1:11" ht="14.4" customHeight="1" thickBot="1" x14ac:dyDescent="0.35">
      <c r="A127" s="414" t="s">
        <v>392</v>
      </c>
      <c r="B127" s="398">
        <v>68.999590497309001</v>
      </c>
      <c r="C127" s="398">
        <v>34.09892</v>
      </c>
      <c r="D127" s="399">
        <v>-34.900670497309001</v>
      </c>
      <c r="E127" s="400">
        <v>0.49419017930699999</v>
      </c>
      <c r="F127" s="398">
        <v>0</v>
      </c>
      <c r="G127" s="399">
        <v>0</v>
      </c>
      <c r="H127" s="401">
        <v>4.9406564584124654E-324</v>
      </c>
      <c r="I127" s="398">
        <v>2.4703282292062327E-323</v>
      </c>
      <c r="J127" s="399">
        <v>2.4703282292062327E-323</v>
      </c>
      <c r="K127" s="406" t="s">
        <v>273</v>
      </c>
    </row>
    <row r="128" spans="1:11" ht="14.4" customHeight="1" thickBot="1" x14ac:dyDescent="0.35">
      <c r="A128" s="415" t="s">
        <v>393</v>
      </c>
      <c r="B128" s="393">
        <v>0</v>
      </c>
      <c r="C128" s="393">
        <v>1.27776</v>
      </c>
      <c r="D128" s="394">
        <v>1.27776</v>
      </c>
      <c r="E128" s="403" t="s">
        <v>273</v>
      </c>
      <c r="F128" s="393">
        <v>0</v>
      </c>
      <c r="G128" s="394">
        <v>0</v>
      </c>
      <c r="H128" s="396">
        <v>4.9406564584124654E-324</v>
      </c>
      <c r="I128" s="393">
        <v>2.4703282292062327E-323</v>
      </c>
      <c r="J128" s="394">
        <v>2.4703282292062327E-323</v>
      </c>
      <c r="K128" s="404" t="s">
        <v>273</v>
      </c>
    </row>
    <row r="129" spans="1:11" ht="14.4" customHeight="1" thickBot="1" x14ac:dyDescent="0.35">
      <c r="A129" s="415" t="s">
        <v>394</v>
      </c>
      <c r="B129" s="393">
        <v>0</v>
      </c>
      <c r="C129" s="393">
        <v>2.399</v>
      </c>
      <c r="D129" s="394">
        <v>2.399</v>
      </c>
      <c r="E129" s="403" t="s">
        <v>273</v>
      </c>
      <c r="F129" s="393">
        <v>0</v>
      </c>
      <c r="G129" s="394">
        <v>0</v>
      </c>
      <c r="H129" s="396">
        <v>4.9406564584124654E-324</v>
      </c>
      <c r="I129" s="393">
        <v>2.4703282292062327E-323</v>
      </c>
      <c r="J129" s="394">
        <v>2.4703282292062327E-323</v>
      </c>
      <c r="K129" s="404" t="s">
        <v>273</v>
      </c>
    </row>
    <row r="130" spans="1:11" ht="14.4" customHeight="1" thickBot="1" x14ac:dyDescent="0.35">
      <c r="A130" s="415" t="s">
        <v>395</v>
      </c>
      <c r="B130" s="393">
        <v>0</v>
      </c>
      <c r="C130" s="393">
        <v>19.46593</v>
      </c>
      <c r="D130" s="394">
        <v>19.46593</v>
      </c>
      <c r="E130" s="403" t="s">
        <v>273</v>
      </c>
      <c r="F130" s="393">
        <v>0</v>
      </c>
      <c r="G130" s="394">
        <v>0</v>
      </c>
      <c r="H130" s="396">
        <v>4.9406564584124654E-324</v>
      </c>
      <c r="I130" s="393">
        <v>2.4703282292062327E-323</v>
      </c>
      <c r="J130" s="394">
        <v>2.4703282292062327E-323</v>
      </c>
      <c r="K130" s="404" t="s">
        <v>273</v>
      </c>
    </row>
    <row r="131" spans="1:11" ht="14.4" customHeight="1" thickBot="1" x14ac:dyDescent="0.35">
      <c r="A131" s="415" t="s">
        <v>396</v>
      </c>
      <c r="B131" s="393">
        <v>0</v>
      </c>
      <c r="C131" s="393">
        <v>10.95623</v>
      </c>
      <c r="D131" s="394">
        <v>10.95623</v>
      </c>
      <c r="E131" s="403" t="s">
        <v>273</v>
      </c>
      <c r="F131" s="393">
        <v>0</v>
      </c>
      <c r="G131" s="394">
        <v>0</v>
      </c>
      <c r="H131" s="396">
        <v>4.9406564584124654E-324</v>
      </c>
      <c r="I131" s="393">
        <v>2.4703282292062327E-323</v>
      </c>
      <c r="J131" s="394">
        <v>2.4703282292062327E-323</v>
      </c>
      <c r="K131" s="404" t="s">
        <v>273</v>
      </c>
    </row>
    <row r="132" spans="1:11" ht="14.4" customHeight="1" thickBot="1" x14ac:dyDescent="0.35">
      <c r="A132" s="418" t="s">
        <v>397</v>
      </c>
      <c r="B132" s="398">
        <v>41.874168986683003</v>
      </c>
      <c r="C132" s="398">
        <v>90.850279999999998</v>
      </c>
      <c r="D132" s="399">
        <v>48.976111013316</v>
      </c>
      <c r="E132" s="400">
        <v>2.1696019813279999</v>
      </c>
      <c r="F132" s="398">
        <v>50.010758388710002</v>
      </c>
      <c r="G132" s="399">
        <v>20.837815995296001</v>
      </c>
      <c r="H132" s="401">
        <v>3.9899999999999996E-3</v>
      </c>
      <c r="I132" s="398">
        <v>12.668089999999999</v>
      </c>
      <c r="J132" s="399">
        <v>-8.169725995296</v>
      </c>
      <c r="K132" s="402">
        <v>0.25330729643200001</v>
      </c>
    </row>
    <row r="133" spans="1:11" ht="14.4" customHeight="1" thickBot="1" x14ac:dyDescent="0.35">
      <c r="A133" s="414" t="s">
        <v>398</v>
      </c>
      <c r="B133" s="398">
        <v>0</v>
      </c>
      <c r="C133" s="398">
        <v>-3.3020000000000001E-2</v>
      </c>
      <c r="D133" s="399">
        <v>-3.3020000000000001E-2</v>
      </c>
      <c r="E133" s="405" t="s">
        <v>273</v>
      </c>
      <c r="F133" s="398">
        <v>0</v>
      </c>
      <c r="G133" s="399">
        <v>0</v>
      </c>
      <c r="H133" s="401">
        <v>-8.0099999999999998E-3</v>
      </c>
      <c r="I133" s="398">
        <v>-2.0910000000000002E-2</v>
      </c>
      <c r="J133" s="399">
        <v>-2.0910000000000002E-2</v>
      </c>
      <c r="K133" s="406" t="s">
        <v>273</v>
      </c>
    </row>
    <row r="134" spans="1:11" ht="14.4" customHeight="1" thickBot="1" x14ac:dyDescent="0.35">
      <c r="A134" s="415" t="s">
        <v>399</v>
      </c>
      <c r="B134" s="393">
        <v>0</v>
      </c>
      <c r="C134" s="393">
        <v>-3.3020000000000001E-2</v>
      </c>
      <c r="D134" s="394">
        <v>-3.3020000000000001E-2</v>
      </c>
      <c r="E134" s="403" t="s">
        <v>273</v>
      </c>
      <c r="F134" s="393">
        <v>0</v>
      </c>
      <c r="G134" s="394">
        <v>0</v>
      </c>
      <c r="H134" s="396">
        <v>-8.0099999999999998E-3</v>
      </c>
      <c r="I134" s="393">
        <v>-2.0910000000000002E-2</v>
      </c>
      <c r="J134" s="394">
        <v>-2.0910000000000002E-2</v>
      </c>
      <c r="K134" s="404" t="s">
        <v>273</v>
      </c>
    </row>
    <row r="135" spans="1:11" ht="14.4" customHeight="1" thickBot="1" x14ac:dyDescent="0.35">
      <c r="A135" s="414" t="s">
        <v>400</v>
      </c>
      <c r="B135" s="398">
        <v>41.874168986683003</v>
      </c>
      <c r="C135" s="398">
        <v>90.883300000000006</v>
      </c>
      <c r="D135" s="399">
        <v>49.009131013316001</v>
      </c>
      <c r="E135" s="400">
        <v>2.1703905342910002</v>
      </c>
      <c r="F135" s="398">
        <v>50.010758388710002</v>
      </c>
      <c r="G135" s="399">
        <v>20.837815995296001</v>
      </c>
      <c r="H135" s="401">
        <v>1.2E-2</v>
      </c>
      <c r="I135" s="398">
        <v>12.689</v>
      </c>
      <c r="J135" s="399">
        <v>-8.1488159952959993</v>
      </c>
      <c r="K135" s="402">
        <v>0.25372540646899999</v>
      </c>
    </row>
    <row r="136" spans="1:11" ht="14.4" customHeight="1" thickBot="1" x14ac:dyDescent="0.35">
      <c r="A136" s="415" t="s">
        <v>401</v>
      </c>
      <c r="B136" s="393">
        <v>0</v>
      </c>
      <c r="C136" s="393">
        <v>0.13700000000000001</v>
      </c>
      <c r="D136" s="394">
        <v>0.13700000000000001</v>
      </c>
      <c r="E136" s="403" t="s">
        <v>273</v>
      </c>
      <c r="F136" s="393">
        <v>0</v>
      </c>
      <c r="G136" s="394">
        <v>0</v>
      </c>
      <c r="H136" s="396">
        <v>1.2E-2</v>
      </c>
      <c r="I136" s="393">
        <v>3.9E-2</v>
      </c>
      <c r="J136" s="394">
        <v>3.9E-2</v>
      </c>
      <c r="K136" s="404" t="s">
        <v>273</v>
      </c>
    </row>
    <row r="137" spans="1:11" ht="14.4" customHeight="1" thickBot="1" x14ac:dyDescent="0.35">
      <c r="A137" s="415" t="s">
        <v>402</v>
      </c>
      <c r="B137" s="393">
        <v>40.682947010132999</v>
      </c>
      <c r="C137" s="393">
        <v>89.3</v>
      </c>
      <c r="D137" s="394">
        <v>48.617052989866004</v>
      </c>
      <c r="E137" s="395">
        <v>2.1950228919680002</v>
      </c>
      <c r="F137" s="393">
        <v>48.819536412159998</v>
      </c>
      <c r="G137" s="394">
        <v>20.341473505065998</v>
      </c>
      <c r="H137" s="396">
        <v>4.9406564584124654E-324</v>
      </c>
      <c r="I137" s="393">
        <v>12.65</v>
      </c>
      <c r="J137" s="394">
        <v>-7.6914735050659999</v>
      </c>
      <c r="K137" s="397">
        <v>0.25911757729899998</v>
      </c>
    </row>
    <row r="138" spans="1:11" ht="14.4" customHeight="1" thickBot="1" x14ac:dyDescent="0.35">
      <c r="A138" s="415" t="s">
        <v>403</v>
      </c>
      <c r="B138" s="393">
        <v>1.1912219765500001</v>
      </c>
      <c r="C138" s="393">
        <v>1.4462999999999999</v>
      </c>
      <c r="D138" s="394">
        <v>0.25507802344899999</v>
      </c>
      <c r="E138" s="395">
        <v>1.214131394879</v>
      </c>
      <c r="F138" s="393">
        <v>1.1912219765500001</v>
      </c>
      <c r="G138" s="394">
        <v>0.49634249022900001</v>
      </c>
      <c r="H138" s="396">
        <v>4.9406564584124654E-324</v>
      </c>
      <c r="I138" s="393">
        <v>2.4703282292062327E-323</v>
      </c>
      <c r="J138" s="394">
        <v>-0.49634249022900001</v>
      </c>
      <c r="K138" s="397">
        <v>1.9762625833649862E-323</v>
      </c>
    </row>
    <row r="139" spans="1:11" ht="14.4" customHeight="1" thickBot="1" x14ac:dyDescent="0.35">
      <c r="A139" s="411" t="s">
        <v>404</v>
      </c>
      <c r="B139" s="393">
        <v>1252.2140167810501</v>
      </c>
      <c r="C139" s="393">
        <v>1128.3203599999999</v>
      </c>
      <c r="D139" s="394">
        <v>-123.89365678105401</v>
      </c>
      <c r="E139" s="395">
        <v>0.901060317868</v>
      </c>
      <c r="F139" s="393">
        <v>1321.0015593989201</v>
      </c>
      <c r="G139" s="394">
        <v>550.417316416218</v>
      </c>
      <c r="H139" s="396">
        <v>99.011399999999995</v>
      </c>
      <c r="I139" s="393">
        <v>477.64159999999998</v>
      </c>
      <c r="J139" s="394">
        <v>-72.775716416216994</v>
      </c>
      <c r="K139" s="397">
        <v>0.36157534909900002</v>
      </c>
    </row>
    <row r="140" spans="1:11" ht="14.4" customHeight="1" thickBot="1" x14ac:dyDescent="0.35">
      <c r="A140" s="416" t="s">
        <v>405</v>
      </c>
      <c r="B140" s="398">
        <v>1252.2140167810501</v>
      </c>
      <c r="C140" s="398">
        <v>1128.3203599999999</v>
      </c>
      <c r="D140" s="399">
        <v>-123.89365678105401</v>
      </c>
      <c r="E140" s="400">
        <v>0.901060317868</v>
      </c>
      <c r="F140" s="398">
        <v>1321.0015593989201</v>
      </c>
      <c r="G140" s="399">
        <v>550.417316416218</v>
      </c>
      <c r="H140" s="401">
        <v>99.011399999999995</v>
      </c>
      <c r="I140" s="398">
        <v>477.64159999999998</v>
      </c>
      <c r="J140" s="399">
        <v>-72.775716416216994</v>
      </c>
      <c r="K140" s="402">
        <v>0.36157534909900002</v>
      </c>
    </row>
    <row r="141" spans="1:11" ht="14.4" customHeight="1" thickBot="1" x14ac:dyDescent="0.35">
      <c r="A141" s="418" t="s">
        <v>54</v>
      </c>
      <c r="B141" s="398">
        <v>1252.2140167810501</v>
      </c>
      <c r="C141" s="398">
        <v>1128.3203599999999</v>
      </c>
      <c r="D141" s="399">
        <v>-123.89365678105401</v>
      </c>
      <c r="E141" s="400">
        <v>0.901060317868</v>
      </c>
      <c r="F141" s="398">
        <v>1321.0015593989201</v>
      </c>
      <c r="G141" s="399">
        <v>550.417316416218</v>
      </c>
      <c r="H141" s="401">
        <v>99.011399999999995</v>
      </c>
      <c r="I141" s="398">
        <v>477.64159999999998</v>
      </c>
      <c r="J141" s="399">
        <v>-72.775716416216994</v>
      </c>
      <c r="K141" s="402">
        <v>0.36157534909900002</v>
      </c>
    </row>
    <row r="142" spans="1:11" ht="14.4" customHeight="1" thickBot="1" x14ac:dyDescent="0.35">
      <c r="A142" s="414" t="s">
        <v>406</v>
      </c>
      <c r="B142" s="398">
        <v>17.999999999999002</v>
      </c>
      <c r="C142" s="398">
        <v>26.977499999999999</v>
      </c>
      <c r="D142" s="399">
        <v>8.9774999999999991</v>
      </c>
      <c r="E142" s="400">
        <v>1.49875</v>
      </c>
      <c r="F142" s="398">
        <v>17</v>
      </c>
      <c r="G142" s="399">
        <v>7.083333333333</v>
      </c>
      <c r="H142" s="401">
        <v>2.145</v>
      </c>
      <c r="I142" s="398">
        <v>10.725</v>
      </c>
      <c r="J142" s="399">
        <v>3.641666666666</v>
      </c>
      <c r="K142" s="402">
        <v>0.63088235294100004</v>
      </c>
    </row>
    <row r="143" spans="1:11" ht="14.4" customHeight="1" thickBot="1" x14ac:dyDescent="0.35">
      <c r="A143" s="415" t="s">
        <v>407</v>
      </c>
      <c r="B143" s="393">
        <v>17.999999999999002</v>
      </c>
      <c r="C143" s="393">
        <v>26.977499999999999</v>
      </c>
      <c r="D143" s="394">
        <v>8.9774999999999991</v>
      </c>
      <c r="E143" s="395">
        <v>1.49875</v>
      </c>
      <c r="F143" s="393">
        <v>17</v>
      </c>
      <c r="G143" s="394">
        <v>7.083333333333</v>
      </c>
      <c r="H143" s="396">
        <v>2.145</v>
      </c>
      <c r="I143" s="393">
        <v>10.725</v>
      </c>
      <c r="J143" s="394">
        <v>3.641666666666</v>
      </c>
      <c r="K143" s="397">
        <v>0.63088235294100004</v>
      </c>
    </row>
    <row r="144" spans="1:11" ht="14.4" customHeight="1" thickBot="1" x14ac:dyDescent="0.35">
      <c r="A144" s="414" t="s">
        <v>408</v>
      </c>
      <c r="B144" s="398">
        <v>7.6872032858579997</v>
      </c>
      <c r="C144" s="398">
        <v>9.15</v>
      </c>
      <c r="D144" s="399">
        <v>1.4627967141410001</v>
      </c>
      <c r="E144" s="400">
        <v>1.19028984401</v>
      </c>
      <c r="F144" s="398">
        <v>11.001559398922</v>
      </c>
      <c r="G144" s="399">
        <v>4.583983082884</v>
      </c>
      <c r="H144" s="401">
        <v>0.64</v>
      </c>
      <c r="I144" s="398">
        <v>3.8849999999999998</v>
      </c>
      <c r="J144" s="399">
        <v>-0.69898308288400002</v>
      </c>
      <c r="K144" s="402">
        <v>0.35313175697400001</v>
      </c>
    </row>
    <row r="145" spans="1:11" ht="14.4" customHeight="1" thickBot="1" x14ac:dyDescent="0.35">
      <c r="A145" s="415" t="s">
        <v>409</v>
      </c>
      <c r="B145" s="393">
        <v>7.6872032858579997</v>
      </c>
      <c r="C145" s="393">
        <v>9.15</v>
      </c>
      <c r="D145" s="394">
        <v>1.4627967141410001</v>
      </c>
      <c r="E145" s="395">
        <v>1.19028984401</v>
      </c>
      <c r="F145" s="393">
        <v>11.001559398922</v>
      </c>
      <c r="G145" s="394">
        <v>4.583983082884</v>
      </c>
      <c r="H145" s="396">
        <v>0.64</v>
      </c>
      <c r="I145" s="393">
        <v>3.8849999999999998</v>
      </c>
      <c r="J145" s="394">
        <v>-0.69898308288400002</v>
      </c>
      <c r="K145" s="397">
        <v>0.35313175697400001</v>
      </c>
    </row>
    <row r="146" spans="1:11" ht="14.4" customHeight="1" thickBot="1" x14ac:dyDescent="0.35">
      <c r="A146" s="414" t="s">
        <v>410</v>
      </c>
      <c r="B146" s="398">
        <v>34.52681349521</v>
      </c>
      <c r="C146" s="398">
        <v>35.698300000000003</v>
      </c>
      <c r="D146" s="399">
        <v>1.171486504789</v>
      </c>
      <c r="E146" s="400">
        <v>1.0339297602699999</v>
      </c>
      <c r="F146" s="398">
        <v>39</v>
      </c>
      <c r="G146" s="399">
        <v>16.25</v>
      </c>
      <c r="H146" s="401">
        <v>2.3791000000000002</v>
      </c>
      <c r="I146" s="398">
        <v>12.770300000000001</v>
      </c>
      <c r="J146" s="399">
        <v>-3.4796999999999998</v>
      </c>
      <c r="K146" s="402">
        <v>0.32744358974299997</v>
      </c>
    </row>
    <row r="147" spans="1:11" ht="14.4" customHeight="1" thickBot="1" x14ac:dyDescent="0.35">
      <c r="A147" s="415" t="s">
        <v>411</v>
      </c>
      <c r="B147" s="393">
        <v>34.52681349521</v>
      </c>
      <c r="C147" s="393">
        <v>35.698300000000003</v>
      </c>
      <c r="D147" s="394">
        <v>1.171486504789</v>
      </c>
      <c r="E147" s="395">
        <v>1.0339297602699999</v>
      </c>
      <c r="F147" s="393">
        <v>39</v>
      </c>
      <c r="G147" s="394">
        <v>16.25</v>
      </c>
      <c r="H147" s="396">
        <v>2.3791000000000002</v>
      </c>
      <c r="I147" s="393">
        <v>12.770300000000001</v>
      </c>
      <c r="J147" s="394">
        <v>-3.4796999999999998</v>
      </c>
      <c r="K147" s="397">
        <v>0.32744358974299997</v>
      </c>
    </row>
    <row r="148" spans="1:11" ht="14.4" customHeight="1" thickBot="1" x14ac:dyDescent="0.35">
      <c r="A148" s="414" t="s">
        <v>412</v>
      </c>
      <c r="B148" s="398">
        <v>0</v>
      </c>
      <c r="C148" s="398">
        <v>2.4780000000000002</v>
      </c>
      <c r="D148" s="399">
        <v>2.4780000000000002</v>
      </c>
      <c r="E148" s="405" t="s">
        <v>273</v>
      </c>
      <c r="F148" s="398">
        <v>4.9406564584124654E-324</v>
      </c>
      <c r="G148" s="399">
        <v>0</v>
      </c>
      <c r="H148" s="401">
        <v>0.05</v>
      </c>
      <c r="I148" s="398">
        <v>0.53200000000000003</v>
      </c>
      <c r="J148" s="399">
        <v>0.53200000000000003</v>
      </c>
      <c r="K148" s="406" t="s">
        <v>296</v>
      </c>
    </row>
    <row r="149" spans="1:11" ht="14.4" customHeight="1" thickBot="1" x14ac:dyDescent="0.35">
      <c r="A149" s="415" t="s">
        <v>413</v>
      </c>
      <c r="B149" s="393">
        <v>0</v>
      </c>
      <c r="C149" s="393">
        <v>2.4780000000000002</v>
      </c>
      <c r="D149" s="394">
        <v>2.4780000000000002</v>
      </c>
      <c r="E149" s="403" t="s">
        <v>273</v>
      </c>
      <c r="F149" s="393">
        <v>4.9406564584124654E-324</v>
      </c>
      <c r="G149" s="394">
        <v>0</v>
      </c>
      <c r="H149" s="396">
        <v>0.05</v>
      </c>
      <c r="I149" s="393">
        <v>0.53200000000000003</v>
      </c>
      <c r="J149" s="394">
        <v>0.53200000000000003</v>
      </c>
      <c r="K149" s="404" t="s">
        <v>296</v>
      </c>
    </row>
    <row r="150" spans="1:11" ht="14.4" customHeight="1" thickBot="1" x14ac:dyDescent="0.35">
      <c r="A150" s="414" t="s">
        <v>414</v>
      </c>
      <c r="B150" s="398">
        <v>366.999999999995</v>
      </c>
      <c r="C150" s="398">
        <v>348.14350999999999</v>
      </c>
      <c r="D150" s="399">
        <v>-18.856489999994999</v>
      </c>
      <c r="E150" s="400">
        <v>0.94861991825600001</v>
      </c>
      <c r="F150" s="398">
        <v>489</v>
      </c>
      <c r="G150" s="399">
        <v>203.75</v>
      </c>
      <c r="H150" s="401">
        <v>32.548369999999998</v>
      </c>
      <c r="I150" s="398">
        <v>145.34229999999999</v>
      </c>
      <c r="J150" s="399">
        <v>-58.407699999999998</v>
      </c>
      <c r="K150" s="402">
        <v>0.29722351738199998</v>
      </c>
    </row>
    <row r="151" spans="1:11" ht="14.4" customHeight="1" thickBot="1" x14ac:dyDescent="0.35">
      <c r="A151" s="415" t="s">
        <v>415</v>
      </c>
      <c r="B151" s="393">
        <v>366.999999999995</v>
      </c>
      <c r="C151" s="393">
        <v>348.03755000000001</v>
      </c>
      <c r="D151" s="394">
        <v>-18.962449999994998</v>
      </c>
      <c r="E151" s="395">
        <v>0.94833119890999995</v>
      </c>
      <c r="F151" s="393">
        <v>483</v>
      </c>
      <c r="G151" s="394">
        <v>201.25</v>
      </c>
      <c r="H151" s="396">
        <v>32.065089999999998</v>
      </c>
      <c r="I151" s="393">
        <v>142.92587</v>
      </c>
      <c r="J151" s="394">
        <v>-58.324129999999997</v>
      </c>
      <c r="K151" s="397">
        <v>0.29591277432700003</v>
      </c>
    </row>
    <row r="152" spans="1:11" ht="14.4" customHeight="1" thickBot="1" x14ac:dyDescent="0.35">
      <c r="A152" s="415" t="s">
        <v>416</v>
      </c>
      <c r="B152" s="393">
        <v>0</v>
      </c>
      <c r="C152" s="393">
        <v>0.10596</v>
      </c>
      <c r="D152" s="394">
        <v>0.10596</v>
      </c>
      <c r="E152" s="403" t="s">
        <v>273</v>
      </c>
      <c r="F152" s="393">
        <v>6</v>
      </c>
      <c r="G152" s="394">
        <v>2.5</v>
      </c>
      <c r="H152" s="396">
        <v>0.48327999999999999</v>
      </c>
      <c r="I152" s="393">
        <v>2.4164300000000001</v>
      </c>
      <c r="J152" s="394">
        <v>-8.3569999999E-2</v>
      </c>
      <c r="K152" s="397">
        <v>0.40273833333300002</v>
      </c>
    </row>
    <row r="153" spans="1:11" ht="14.4" customHeight="1" thickBot="1" x14ac:dyDescent="0.35">
      <c r="A153" s="414" t="s">
        <v>417</v>
      </c>
      <c r="B153" s="398">
        <v>824.99999999998897</v>
      </c>
      <c r="C153" s="398">
        <v>705.87305000000003</v>
      </c>
      <c r="D153" s="399">
        <v>-119.12694999998899</v>
      </c>
      <c r="E153" s="400">
        <v>0.85560369696899996</v>
      </c>
      <c r="F153" s="398">
        <v>765</v>
      </c>
      <c r="G153" s="399">
        <v>318.75</v>
      </c>
      <c r="H153" s="401">
        <v>61.248930000000001</v>
      </c>
      <c r="I153" s="398">
        <v>304.387</v>
      </c>
      <c r="J153" s="399">
        <v>-14.362999999998999</v>
      </c>
      <c r="K153" s="402">
        <v>0.39789150326700001</v>
      </c>
    </row>
    <row r="154" spans="1:11" ht="14.4" customHeight="1" thickBot="1" x14ac:dyDescent="0.35">
      <c r="A154" s="415" t="s">
        <v>418</v>
      </c>
      <c r="B154" s="393">
        <v>824.99999999998897</v>
      </c>
      <c r="C154" s="393">
        <v>705.87305000000003</v>
      </c>
      <c r="D154" s="394">
        <v>-119.12694999998899</v>
      </c>
      <c r="E154" s="395">
        <v>0.85560369696899996</v>
      </c>
      <c r="F154" s="393">
        <v>765</v>
      </c>
      <c r="G154" s="394">
        <v>318.75</v>
      </c>
      <c r="H154" s="396">
        <v>61.248930000000001</v>
      </c>
      <c r="I154" s="393">
        <v>304.387</v>
      </c>
      <c r="J154" s="394">
        <v>-14.362999999998999</v>
      </c>
      <c r="K154" s="397">
        <v>0.39789150326700001</v>
      </c>
    </row>
    <row r="155" spans="1:11" ht="14.4" customHeight="1" thickBot="1" x14ac:dyDescent="0.35">
      <c r="A155" s="419" t="s">
        <v>419</v>
      </c>
      <c r="B155" s="398">
        <v>0</v>
      </c>
      <c r="C155" s="398">
        <v>6.1399999999999996E-3</v>
      </c>
      <c r="D155" s="399">
        <v>6.1399999999999996E-3</v>
      </c>
      <c r="E155" s="405" t="s">
        <v>273</v>
      </c>
      <c r="F155" s="398">
        <v>4.9406564584124654E-324</v>
      </c>
      <c r="G155" s="399">
        <v>0</v>
      </c>
      <c r="H155" s="401">
        <v>4.9406564584124654E-324</v>
      </c>
      <c r="I155" s="398">
        <v>0.46333000000000002</v>
      </c>
      <c r="J155" s="399">
        <v>0.46333000000000002</v>
      </c>
      <c r="K155" s="406" t="s">
        <v>296</v>
      </c>
    </row>
    <row r="156" spans="1:11" ht="14.4" customHeight="1" thickBot="1" x14ac:dyDescent="0.35">
      <c r="A156" s="416" t="s">
        <v>420</v>
      </c>
      <c r="B156" s="398">
        <v>0</v>
      </c>
      <c r="C156" s="398">
        <v>6.1399999999999996E-3</v>
      </c>
      <c r="D156" s="399">
        <v>6.1399999999999996E-3</v>
      </c>
      <c r="E156" s="405" t="s">
        <v>273</v>
      </c>
      <c r="F156" s="398">
        <v>4.9406564584124654E-324</v>
      </c>
      <c r="G156" s="399">
        <v>0</v>
      </c>
      <c r="H156" s="401">
        <v>4.9406564584124654E-324</v>
      </c>
      <c r="I156" s="398">
        <v>0.46333000000000002</v>
      </c>
      <c r="J156" s="399">
        <v>0.46333000000000002</v>
      </c>
      <c r="K156" s="406" t="s">
        <v>296</v>
      </c>
    </row>
    <row r="157" spans="1:11" ht="14.4" customHeight="1" thickBot="1" x14ac:dyDescent="0.35">
      <c r="A157" s="418" t="s">
        <v>421</v>
      </c>
      <c r="B157" s="398">
        <v>0</v>
      </c>
      <c r="C157" s="398">
        <v>6.1399999999999996E-3</v>
      </c>
      <c r="D157" s="399">
        <v>6.1399999999999996E-3</v>
      </c>
      <c r="E157" s="405" t="s">
        <v>273</v>
      </c>
      <c r="F157" s="398">
        <v>4.9406564584124654E-324</v>
      </c>
      <c r="G157" s="399">
        <v>0</v>
      </c>
      <c r="H157" s="401">
        <v>4.9406564584124654E-324</v>
      </c>
      <c r="I157" s="398">
        <v>0.46333000000000002</v>
      </c>
      <c r="J157" s="399">
        <v>0.46333000000000002</v>
      </c>
      <c r="K157" s="406" t="s">
        <v>296</v>
      </c>
    </row>
    <row r="158" spans="1:11" ht="14.4" customHeight="1" thickBot="1" x14ac:dyDescent="0.35">
      <c r="A158" s="414" t="s">
        <v>422</v>
      </c>
      <c r="B158" s="398">
        <v>4.9406564584124654E-324</v>
      </c>
      <c r="C158" s="398">
        <v>6.1399999999999996E-3</v>
      </c>
      <c r="D158" s="399">
        <v>6.1399999999999996E-3</v>
      </c>
      <c r="E158" s="405" t="s">
        <v>296</v>
      </c>
      <c r="F158" s="398">
        <v>4.9406564584124654E-324</v>
      </c>
      <c r="G158" s="399">
        <v>0</v>
      </c>
      <c r="H158" s="401">
        <v>4.9406564584124654E-324</v>
      </c>
      <c r="I158" s="398">
        <v>0.46333000000000002</v>
      </c>
      <c r="J158" s="399">
        <v>0.46333000000000002</v>
      </c>
      <c r="K158" s="406" t="s">
        <v>296</v>
      </c>
    </row>
    <row r="159" spans="1:11" ht="14.4" customHeight="1" thickBot="1" x14ac:dyDescent="0.35">
      <c r="A159" s="415" t="s">
        <v>423</v>
      </c>
      <c r="B159" s="393">
        <v>4.9406564584124654E-324</v>
      </c>
      <c r="C159" s="393">
        <v>4.9406564584124654E-324</v>
      </c>
      <c r="D159" s="394">
        <v>0</v>
      </c>
      <c r="E159" s="395">
        <v>1</v>
      </c>
      <c r="F159" s="393">
        <v>4.9406564584124654E-324</v>
      </c>
      <c r="G159" s="394">
        <v>0</v>
      </c>
      <c r="H159" s="396">
        <v>4.9406564584124654E-324</v>
      </c>
      <c r="I159" s="393">
        <v>0.40200000000000002</v>
      </c>
      <c r="J159" s="394">
        <v>0.40200000000000002</v>
      </c>
      <c r="K159" s="404" t="s">
        <v>296</v>
      </c>
    </row>
    <row r="160" spans="1:11" ht="14.4" customHeight="1" thickBot="1" x14ac:dyDescent="0.35">
      <c r="A160" s="415" t="s">
        <v>424</v>
      </c>
      <c r="B160" s="393">
        <v>4.9406564584124654E-324</v>
      </c>
      <c r="C160" s="393">
        <v>6.1399999999999996E-3</v>
      </c>
      <c r="D160" s="394">
        <v>6.1399999999999996E-3</v>
      </c>
      <c r="E160" s="403" t="s">
        <v>296</v>
      </c>
      <c r="F160" s="393">
        <v>4.9406564584124654E-324</v>
      </c>
      <c r="G160" s="394">
        <v>0</v>
      </c>
      <c r="H160" s="396">
        <v>4.9406564584124654E-324</v>
      </c>
      <c r="I160" s="393">
        <v>6.1330000000000003E-2</v>
      </c>
      <c r="J160" s="394">
        <v>6.1330000000000003E-2</v>
      </c>
      <c r="K160" s="404" t="s">
        <v>296</v>
      </c>
    </row>
    <row r="161" spans="1:11" ht="14.4" customHeight="1" thickBot="1" x14ac:dyDescent="0.35">
      <c r="A161" s="420"/>
      <c r="B161" s="393">
        <v>-2951.1539475695499</v>
      </c>
      <c r="C161" s="393">
        <v>-4827.5262700000003</v>
      </c>
      <c r="D161" s="394">
        <v>-1876.3723224304499</v>
      </c>
      <c r="E161" s="395">
        <v>1.635809705547</v>
      </c>
      <c r="F161" s="393">
        <v>-5177.1374471791396</v>
      </c>
      <c r="G161" s="394">
        <v>-2157.1406029913101</v>
      </c>
      <c r="H161" s="396">
        <v>-354.14582000000001</v>
      </c>
      <c r="I161" s="393">
        <v>-1664.1530700000001</v>
      </c>
      <c r="J161" s="394">
        <v>492.98753299130402</v>
      </c>
      <c r="K161" s="397">
        <v>0.32144270593099999</v>
      </c>
    </row>
    <row r="162" spans="1:11" ht="14.4" customHeight="1" thickBot="1" x14ac:dyDescent="0.35">
      <c r="A162" s="421" t="s">
        <v>66</v>
      </c>
      <c r="B162" s="407">
        <v>-2951.1539475695499</v>
      </c>
      <c r="C162" s="407">
        <v>-4827.5262700000003</v>
      </c>
      <c r="D162" s="408">
        <v>-1876.3723224304499</v>
      </c>
      <c r="E162" s="409" t="s">
        <v>273</v>
      </c>
      <c r="F162" s="407">
        <v>-5177.1374471791396</v>
      </c>
      <c r="G162" s="408">
        <v>-2157.1406029913101</v>
      </c>
      <c r="H162" s="407">
        <v>-354.14582000000001</v>
      </c>
      <c r="I162" s="407">
        <v>-1664.1530700000001</v>
      </c>
      <c r="J162" s="408">
        <v>492.987532991303</v>
      </c>
      <c r="K162" s="410">
        <v>0.32144270593099999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3" customWidth="1"/>
    <col min="2" max="2" width="61.109375" style="213" customWidth="1"/>
    <col min="3" max="3" width="9.5546875" style="133" customWidth="1"/>
    <col min="4" max="4" width="9.5546875" style="214" customWidth="1"/>
    <col min="5" max="5" width="2.21875" style="214" customWidth="1"/>
    <col min="6" max="6" width="9.5546875" style="215" customWidth="1"/>
    <col min="7" max="7" width="9.5546875" style="212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39" t="s">
        <v>143</v>
      </c>
      <c r="B1" s="340"/>
      <c r="C1" s="340"/>
      <c r="D1" s="340"/>
      <c r="E1" s="340"/>
      <c r="F1" s="340"/>
      <c r="G1" s="311"/>
      <c r="H1" s="341"/>
      <c r="I1" s="341"/>
    </row>
    <row r="2" spans="1:10" ht="14.4" customHeight="1" thickBot="1" x14ac:dyDescent="0.35">
      <c r="A2" s="240" t="s">
        <v>272</v>
      </c>
      <c r="B2" s="211"/>
      <c r="C2" s="211"/>
      <c r="D2" s="211"/>
      <c r="E2" s="211"/>
      <c r="F2" s="211"/>
    </row>
    <row r="3" spans="1:10" ht="14.4" customHeight="1" thickBot="1" x14ac:dyDescent="0.35">
      <c r="A3" s="240"/>
      <c r="B3" s="211"/>
      <c r="C3" s="298">
        <v>2012</v>
      </c>
      <c r="D3" s="299">
        <v>2013</v>
      </c>
      <c r="E3" s="7"/>
      <c r="F3" s="334">
        <v>2014</v>
      </c>
      <c r="G3" s="335"/>
      <c r="H3" s="335"/>
      <c r="I3" s="336"/>
    </row>
    <row r="4" spans="1:10" ht="14.4" customHeight="1" thickBot="1" x14ac:dyDescent="0.35">
      <c r="A4" s="303" t="s">
        <v>0</v>
      </c>
      <c r="B4" s="304" t="s">
        <v>271</v>
      </c>
      <c r="C4" s="337" t="s">
        <v>73</v>
      </c>
      <c r="D4" s="338"/>
      <c r="E4" s="305"/>
      <c r="F4" s="300" t="s">
        <v>73</v>
      </c>
      <c r="G4" s="301" t="s">
        <v>74</v>
      </c>
      <c r="H4" s="301" t="s">
        <v>68</v>
      </c>
      <c r="I4" s="302" t="s">
        <v>75</v>
      </c>
    </row>
    <row r="5" spans="1:10" ht="14.4" customHeight="1" x14ac:dyDescent="0.3">
      <c r="A5" s="422" t="s">
        <v>425</v>
      </c>
      <c r="B5" s="423" t="s">
        <v>426</v>
      </c>
      <c r="C5" s="424" t="s">
        <v>427</v>
      </c>
      <c r="D5" s="424" t="s">
        <v>427</v>
      </c>
      <c r="E5" s="424"/>
      <c r="F5" s="424" t="s">
        <v>427</v>
      </c>
      <c r="G5" s="424" t="s">
        <v>427</v>
      </c>
      <c r="H5" s="424" t="s">
        <v>427</v>
      </c>
      <c r="I5" s="425" t="s">
        <v>427</v>
      </c>
      <c r="J5" s="426" t="s">
        <v>69</v>
      </c>
    </row>
    <row r="6" spans="1:10" ht="14.4" customHeight="1" x14ac:dyDescent="0.3">
      <c r="A6" s="422" t="s">
        <v>425</v>
      </c>
      <c r="B6" s="423" t="s">
        <v>279</v>
      </c>
      <c r="C6" s="424">
        <v>112.14247</v>
      </c>
      <c r="D6" s="424">
        <v>290.998899999998</v>
      </c>
      <c r="E6" s="424"/>
      <c r="F6" s="424">
        <v>246.69029</v>
      </c>
      <c r="G6" s="424">
        <v>332.91760995591665</v>
      </c>
      <c r="H6" s="424">
        <v>-86.227319955916641</v>
      </c>
      <c r="I6" s="425">
        <v>0.74099501685316538</v>
      </c>
      <c r="J6" s="426" t="s">
        <v>1</v>
      </c>
    </row>
    <row r="7" spans="1:10" ht="14.4" customHeight="1" x14ac:dyDescent="0.3">
      <c r="A7" s="422" t="s">
        <v>425</v>
      </c>
      <c r="B7" s="423" t="s">
        <v>280</v>
      </c>
      <c r="C7" s="424">
        <v>0.59785999999999995</v>
      </c>
      <c r="D7" s="424">
        <v>3.7470000000000003E-2</v>
      </c>
      <c r="E7" s="424"/>
      <c r="F7" s="424">
        <v>0</v>
      </c>
      <c r="G7" s="424">
        <v>1.5802323866666666E-2</v>
      </c>
      <c r="H7" s="424">
        <v>-1.5802323866666666E-2</v>
      </c>
      <c r="I7" s="425">
        <v>0</v>
      </c>
      <c r="J7" s="426" t="s">
        <v>1</v>
      </c>
    </row>
    <row r="8" spans="1:10" ht="14.4" customHeight="1" x14ac:dyDescent="0.3">
      <c r="A8" s="422" t="s">
        <v>425</v>
      </c>
      <c r="B8" s="423" t="s">
        <v>428</v>
      </c>
      <c r="C8" s="424">
        <v>0.94847999999999999</v>
      </c>
      <c r="D8" s="424">
        <v>0</v>
      </c>
      <c r="E8" s="424"/>
      <c r="F8" s="424" t="s">
        <v>427</v>
      </c>
      <c r="G8" s="424" t="s">
        <v>427</v>
      </c>
      <c r="H8" s="424" t="s">
        <v>427</v>
      </c>
      <c r="I8" s="425" t="s">
        <v>427</v>
      </c>
      <c r="J8" s="426" t="s">
        <v>1</v>
      </c>
    </row>
    <row r="9" spans="1:10" ht="14.4" customHeight="1" x14ac:dyDescent="0.3">
      <c r="A9" s="422" t="s">
        <v>425</v>
      </c>
      <c r="B9" s="423" t="s">
        <v>429</v>
      </c>
      <c r="C9" s="424">
        <v>113.68881</v>
      </c>
      <c r="D9" s="424">
        <v>291.03636999999799</v>
      </c>
      <c r="E9" s="424"/>
      <c r="F9" s="424">
        <v>246.69029</v>
      </c>
      <c r="G9" s="424">
        <v>332.93341227978334</v>
      </c>
      <c r="H9" s="424">
        <v>-86.243122279783336</v>
      </c>
      <c r="I9" s="425">
        <v>0.74095984632714418</v>
      </c>
      <c r="J9" s="426" t="s">
        <v>430</v>
      </c>
    </row>
    <row r="11" spans="1:10" ht="14.4" customHeight="1" x14ac:dyDescent="0.3">
      <c r="A11" s="422" t="s">
        <v>425</v>
      </c>
      <c r="B11" s="423" t="s">
        <v>426</v>
      </c>
      <c r="C11" s="424" t="s">
        <v>427</v>
      </c>
      <c r="D11" s="424" t="s">
        <v>427</v>
      </c>
      <c r="E11" s="424"/>
      <c r="F11" s="424" t="s">
        <v>427</v>
      </c>
      <c r="G11" s="424" t="s">
        <v>427</v>
      </c>
      <c r="H11" s="424" t="s">
        <v>427</v>
      </c>
      <c r="I11" s="425" t="s">
        <v>427</v>
      </c>
      <c r="J11" s="426" t="s">
        <v>69</v>
      </c>
    </row>
    <row r="12" spans="1:10" ht="14.4" customHeight="1" x14ac:dyDescent="0.3">
      <c r="A12" s="422" t="s">
        <v>431</v>
      </c>
      <c r="B12" s="423" t="s">
        <v>432</v>
      </c>
      <c r="C12" s="424" t="s">
        <v>427</v>
      </c>
      <c r="D12" s="424" t="s">
        <v>427</v>
      </c>
      <c r="E12" s="424"/>
      <c r="F12" s="424" t="s">
        <v>427</v>
      </c>
      <c r="G12" s="424" t="s">
        <v>427</v>
      </c>
      <c r="H12" s="424" t="s">
        <v>427</v>
      </c>
      <c r="I12" s="425" t="s">
        <v>427</v>
      </c>
      <c r="J12" s="426" t="s">
        <v>0</v>
      </c>
    </row>
    <row r="13" spans="1:10" ht="14.4" customHeight="1" x14ac:dyDescent="0.3">
      <c r="A13" s="422" t="s">
        <v>431</v>
      </c>
      <c r="B13" s="423" t="s">
        <v>279</v>
      </c>
      <c r="C13" s="424">
        <v>75.411259999999999</v>
      </c>
      <c r="D13" s="424" t="s">
        <v>427</v>
      </c>
      <c r="E13" s="424"/>
      <c r="F13" s="424" t="s">
        <v>427</v>
      </c>
      <c r="G13" s="424" t="s">
        <v>427</v>
      </c>
      <c r="H13" s="424" t="s">
        <v>427</v>
      </c>
      <c r="I13" s="425" t="s">
        <v>427</v>
      </c>
      <c r="J13" s="426" t="s">
        <v>1</v>
      </c>
    </row>
    <row r="14" spans="1:10" ht="14.4" customHeight="1" x14ac:dyDescent="0.3">
      <c r="A14" s="422" t="s">
        <v>431</v>
      </c>
      <c r="B14" s="423" t="s">
        <v>280</v>
      </c>
      <c r="C14" s="424">
        <v>0.57099</v>
      </c>
      <c r="D14" s="424" t="s">
        <v>427</v>
      </c>
      <c r="E14" s="424"/>
      <c r="F14" s="424" t="s">
        <v>427</v>
      </c>
      <c r="G14" s="424" t="s">
        <v>427</v>
      </c>
      <c r="H14" s="424" t="s">
        <v>427</v>
      </c>
      <c r="I14" s="425" t="s">
        <v>427</v>
      </c>
      <c r="J14" s="426" t="s">
        <v>1</v>
      </c>
    </row>
    <row r="15" spans="1:10" ht="14.4" customHeight="1" x14ac:dyDescent="0.3">
      <c r="A15" s="422" t="s">
        <v>431</v>
      </c>
      <c r="B15" s="423" t="s">
        <v>428</v>
      </c>
      <c r="C15" s="424">
        <v>0</v>
      </c>
      <c r="D15" s="424" t="s">
        <v>427</v>
      </c>
      <c r="E15" s="424"/>
      <c r="F15" s="424" t="s">
        <v>427</v>
      </c>
      <c r="G15" s="424" t="s">
        <v>427</v>
      </c>
      <c r="H15" s="424" t="s">
        <v>427</v>
      </c>
      <c r="I15" s="425" t="s">
        <v>427</v>
      </c>
      <c r="J15" s="426" t="s">
        <v>1</v>
      </c>
    </row>
    <row r="16" spans="1:10" ht="14.4" customHeight="1" x14ac:dyDescent="0.3">
      <c r="A16" s="422" t="s">
        <v>431</v>
      </c>
      <c r="B16" s="423" t="s">
        <v>433</v>
      </c>
      <c r="C16" s="424">
        <v>75.982249999999993</v>
      </c>
      <c r="D16" s="424" t="s">
        <v>427</v>
      </c>
      <c r="E16" s="424"/>
      <c r="F16" s="424" t="s">
        <v>427</v>
      </c>
      <c r="G16" s="424" t="s">
        <v>427</v>
      </c>
      <c r="H16" s="424" t="s">
        <v>427</v>
      </c>
      <c r="I16" s="425" t="s">
        <v>427</v>
      </c>
      <c r="J16" s="426" t="s">
        <v>434</v>
      </c>
    </row>
    <row r="17" spans="1:10" ht="14.4" customHeight="1" x14ac:dyDescent="0.3">
      <c r="A17" s="422" t="s">
        <v>427</v>
      </c>
      <c r="B17" s="423" t="s">
        <v>427</v>
      </c>
      <c r="C17" s="424" t="s">
        <v>427</v>
      </c>
      <c r="D17" s="424" t="s">
        <v>427</v>
      </c>
      <c r="E17" s="424"/>
      <c r="F17" s="424" t="s">
        <v>427</v>
      </c>
      <c r="G17" s="424" t="s">
        <v>427</v>
      </c>
      <c r="H17" s="424" t="s">
        <v>427</v>
      </c>
      <c r="I17" s="425" t="s">
        <v>427</v>
      </c>
      <c r="J17" s="426" t="s">
        <v>435</v>
      </c>
    </row>
    <row r="18" spans="1:10" ht="14.4" customHeight="1" x14ac:dyDescent="0.3">
      <c r="A18" s="422" t="s">
        <v>436</v>
      </c>
      <c r="B18" s="423" t="s">
        <v>437</v>
      </c>
      <c r="C18" s="424" t="s">
        <v>427</v>
      </c>
      <c r="D18" s="424" t="s">
        <v>427</v>
      </c>
      <c r="E18" s="424"/>
      <c r="F18" s="424" t="s">
        <v>427</v>
      </c>
      <c r="G18" s="424" t="s">
        <v>427</v>
      </c>
      <c r="H18" s="424" t="s">
        <v>427</v>
      </c>
      <c r="I18" s="425" t="s">
        <v>427</v>
      </c>
      <c r="J18" s="426" t="s">
        <v>0</v>
      </c>
    </row>
    <row r="19" spans="1:10" ht="14.4" customHeight="1" x14ac:dyDescent="0.3">
      <c r="A19" s="422" t="s">
        <v>436</v>
      </c>
      <c r="B19" s="423" t="s">
        <v>279</v>
      </c>
      <c r="C19" s="424">
        <v>36.731209999999997</v>
      </c>
      <c r="D19" s="424">
        <v>71.664249999999001</v>
      </c>
      <c r="E19" s="424"/>
      <c r="F19" s="424">
        <v>49.855149999999995</v>
      </c>
      <c r="G19" s="424">
        <v>62.083506532540831</v>
      </c>
      <c r="H19" s="424">
        <v>-12.228356532540836</v>
      </c>
      <c r="I19" s="425">
        <v>0.80303373286218316</v>
      </c>
      <c r="J19" s="426" t="s">
        <v>1</v>
      </c>
    </row>
    <row r="20" spans="1:10" ht="14.4" customHeight="1" x14ac:dyDescent="0.3">
      <c r="A20" s="422" t="s">
        <v>436</v>
      </c>
      <c r="B20" s="423" t="s">
        <v>280</v>
      </c>
      <c r="C20" s="424">
        <v>2.6870000000000002E-2</v>
      </c>
      <c r="D20" s="424">
        <v>3.7470000000000003E-2</v>
      </c>
      <c r="E20" s="424"/>
      <c r="F20" s="424">
        <v>0</v>
      </c>
      <c r="G20" s="424">
        <v>1.5802323866666666E-2</v>
      </c>
      <c r="H20" s="424">
        <v>-1.5802323866666666E-2</v>
      </c>
      <c r="I20" s="425">
        <v>0</v>
      </c>
      <c r="J20" s="426" t="s">
        <v>1</v>
      </c>
    </row>
    <row r="21" spans="1:10" ht="14.4" customHeight="1" x14ac:dyDescent="0.3">
      <c r="A21" s="422" t="s">
        <v>436</v>
      </c>
      <c r="B21" s="423" t="s">
        <v>428</v>
      </c>
      <c r="C21" s="424">
        <v>0.94847999999999999</v>
      </c>
      <c r="D21" s="424">
        <v>0</v>
      </c>
      <c r="E21" s="424"/>
      <c r="F21" s="424" t="s">
        <v>427</v>
      </c>
      <c r="G21" s="424" t="s">
        <v>427</v>
      </c>
      <c r="H21" s="424" t="s">
        <v>427</v>
      </c>
      <c r="I21" s="425" t="s">
        <v>427</v>
      </c>
      <c r="J21" s="426" t="s">
        <v>1</v>
      </c>
    </row>
    <row r="22" spans="1:10" ht="14.4" customHeight="1" x14ac:dyDescent="0.3">
      <c r="A22" s="422" t="s">
        <v>436</v>
      </c>
      <c r="B22" s="423" t="s">
        <v>438</v>
      </c>
      <c r="C22" s="424">
        <v>37.706559999999996</v>
      </c>
      <c r="D22" s="424">
        <v>71.701719999999</v>
      </c>
      <c r="E22" s="424"/>
      <c r="F22" s="424">
        <v>49.855149999999995</v>
      </c>
      <c r="G22" s="424">
        <v>62.099308856407497</v>
      </c>
      <c r="H22" s="424">
        <v>-12.244158856407502</v>
      </c>
      <c r="I22" s="425">
        <v>0.80282938599655396</v>
      </c>
      <c r="J22" s="426" t="s">
        <v>434</v>
      </c>
    </row>
    <row r="23" spans="1:10" ht="14.4" customHeight="1" x14ac:dyDescent="0.3">
      <c r="A23" s="422" t="s">
        <v>427</v>
      </c>
      <c r="B23" s="423" t="s">
        <v>427</v>
      </c>
      <c r="C23" s="424" t="s">
        <v>427</v>
      </c>
      <c r="D23" s="424" t="s">
        <v>427</v>
      </c>
      <c r="E23" s="424"/>
      <c r="F23" s="424" t="s">
        <v>427</v>
      </c>
      <c r="G23" s="424" t="s">
        <v>427</v>
      </c>
      <c r="H23" s="424" t="s">
        <v>427</v>
      </c>
      <c r="I23" s="425" t="s">
        <v>427</v>
      </c>
      <c r="J23" s="426" t="s">
        <v>435</v>
      </c>
    </row>
    <row r="24" spans="1:10" ht="14.4" customHeight="1" x14ac:dyDescent="0.3">
      <c r="A24" s="422" t="s">
        <v>439</v>
      </c>
      <c r="B24" s="423" t="s">
        <v>440</v>
      </c>
      <c r="C24" s="424" t="s">
        <v>427</v>
      </c>
      <c r="D24" s="424" t="s">
        <v>427</v>
      </c>
      <c r="E24" s="424"/>
      <c r="F24" s="424" t="s">
        <v>427</v>
      </c>
      <c r="G24" s="424" t="s">
        <v>427</v>
      </c>
      <c r="H24" s="424" t="s">
        <v>427</v>
      </c>
      <c r="I24" s="425" t="s">
        <v>427</v>
      </c>
      <c r="J24" s="426" t="s">
        <v>0</v>
      </c>
    </row>
    <row r="25" spans="1:10" ht="14.4" customHeight="1" x14ac:dyDescent="0.3">
      <c r="A25" s="422" t="s">
        <v>439</v>
      </c>
      <c r="B25" s="423" t="s">
        <v>279</v>
      </c>
      <c r="C25" s="424">
        <v>0</v>
      </c>
      <c r="D25" s="424">
        <v>219.33464999999899</v>
      </c>
      <c r="E25" s="424"/>
      <c r="F25" s="424">
        <v>196.83514</v>
      </c>
      <c r="G25" s="424">
        <v>270.83410342337584</v>
      </c>
      <c r="H25" s="424">
        <v>-73.998963423375841</v>
      </c>
      <c r="I25" s="425">
        <v>0.72677383502291626</v>
      </c>
      <c r="J25" s="426" t="s">
        <v>1</v>
      </c>
    </row>
    <row r="26" spans="1:10" ht="14.4" customHeight="1" x14ac:dyDescent="0.3">
      <c r="A26" s="422" t="s">
        <v>439</v>
      </c>
      <c r="B26" s="423" t="s">
        <v>441</v>
      </c>
      <c r="C26" s="424">
        <v>0</v>
      </c>
      <c r="D26" s="424">
        <v>219.33464999999899</v>
      </c>
      <c r="E26" s="424"/>
      <c r="F26" s="424">
        <v>196.83514</v>
      </c>
      <c r="G26" s="424">
        <v>270.83410342337584</v>
      </c>
      <c r="H26" s="424">
        <v>-73.998963423375841</v>
      </c>
      <c r="I26" s="425">
        <v>0.72677383502291626</v>
      </c>
      <c r="J26" s="426" t="s">
        <v>434</v>
      </c>
    </row>
    <row r="27" spans="1:10" ht="14.4" customHeight="1" x14ac:dyDescent="0.3">
      <c r="A27" s="422" t="s">
        <v>427</v>
      </c>
      <c r="B27" s="423" t="s">
        <v>427</v>
      </c>
      <c r="C27" s="424" t="s">
        <v>427</v>
      </c>
      <c r="D27" s="424" t="s">
        <v>427</v>
      </c>
      <c r="E27" s="424"/>
      <c r="F27" s="424" t="s">
        <v>427</v>
      </c>
      <c r="G27" s="424" t="s">
        <v>427</v>
      </c>
      <c r="H27" s="424" t="s">
        <v>427</v>
      </c>
      <c r="I27" s="425" t="s">
        <v>427</v>
      </c>
      <c r="J27" s="426" t="s">
        <v>435</v>
      </c>
    </row>
    <row r="28" spans="1:10" ht="14.4" customHeight="1" x14ac:dyDescent="0.3">
      <c r="A28" s="422" t="s">
        <v>425</v>
      </c>
      <c r="B28" s="423" t="s">
        <v>429</v>
      </c>
      <c r="C28" s="424">
        <v>113.68881</v>
      </c>
      <c r="D28" s="424">
        <v>291.03636999999799</v>
      </c>
      <c r="E28" s="424"/>
      <c r="F28" s="424">
        <v>246.69029</v>
      </c>
      <c r="G28" s="424">
        <v>332.93341227978334</v>
      </c>
      <c r="H28" s="424">
        <v>-86.243122279783336</v>
      </c>
      <c r="I28" s="425">
        <v>0.74095984632714418</v>
      </c>
      <c r="J28" s="426" t="s">
        <v>430</v>
      </c>
    </row>
  </sheetData>
  <mergeCells count="3">
    <mergeCell ref="F3:I3"/>
    <mergeCell ref="C4:D4"/>
    <mergeCell ref="A1:I1"/>
  </mergeCells>
  <conditionalFormatting sqref="F10 F29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8">
    <cfRule type="expression" dxfId="43" priority="5">
      <formula>$H11&gt;0</formula>
    </cfRule>
  </conditionalFormatting>
  <conditionalFormatting sqref="A11:A28">
    <cfRule type="expression" dxfId="42" priority="2">
      <formula>AND($J11&lt;&gt;"mezeraKL",$J11&lt;&gt;"")</formula>
    </cfRule>
  </conditionalFormatting>
  <conditionalFormatting sqref="I11:I28">
    <cfRule type="expression" dxfId="41" priority="6">
      <formula>$I11&gt;1</formula>
    </cfRule>
  </conditionalFormatting>
  <conditionalFormatting sqref="B11:B28">
    <cfRule type="expression" dxfId="40" priority="1">
      <formula>OR($J11="NS",$J11="SumaNS",$J11="Účet")</formula>
    </cfRule>
  </conditionalFormatting>
  <conditionalFormatting sqref="A11:D28 F11:I28">
    <cfRule type="expression" dxfId="39" priority="8">
      <formula>AND($J11&lt;&gt;"",$J11&lt;&gt;"mezeraKL")</formula>
    </cfRule>
  </conditionalFormatting>
  <conditionalFormatting sqref="B11:D28 F11:I28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8 F11:I28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4" bestFit="1" customWidth="1" collapsed="1"/>
    <col min="4" max="4" width="18.77734375" style="218" customWidth="1"/>
    <col min="5" max="5" width="9" style="214" bestFit="1" customWidth="1"/>
    <col min="6" max="6" width="18.77734375" style="218" customWidth="1"/>
    <col min="7" max="7" width="5" style="214" customWidth="1"/>
    <col min="8" max="8" width="12.44140625" style="214" hidden="1" customWidth="1" outlineLevel="1"/>
    <col min="9" max="9" width="8.5546875" style="214" hidden="1" customWidth="1" outlineLevel="1"/>
    <col min="10" max="10" width="25.77734375" style="214" customWidth="1" collapsed="1"/>
    <col min="11" max="11" width="8.77734375" style="214" customWidth="1"/>
    <col min="12" max="13" width="7.77734375" style="212" customWidth="1"/>
    <col min="14" max="14" width="11.109375" style="212" customWidth="1"/>
    <col min="15" max="16384" width="8.88671875" style="133"/>
  </cols>
  <sheetData>
    <row r="1" spans="1:14" ht="18.600000000000001" customHeight="1" thickBot="1" x14ac:dyDescent="0.4">
      <c r="A1" s="346" t="s">
        <v>171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4" ht="14.4" customHeight="1" thickBot="1" x14ac:dyDescent="0.35">
      <c r="A2" s="240" t="s">
        <v>272</v>
      </c>
      <c r="B2" s="62"/>
      <c r="C2" s="216"/>
      <c r="D2" s="216"/>
      <c r="E2" s="216"/>
      <c r="F2" s="216"/>
      <c r="G2" s="216"/>
      <c r="H2" s="216"/>
      <c r="I2" s="216"/>
      <c r="J2" s="216"/>
      <c r="K2" s="216"/>
      <c r="L2" s="217"/>
      <c r="M2" s="217"/>
      <c r="N2" s="217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133</v>
      </c>
      <c r="K3" s="345"/>
      <c r="L3" s="99">
        <f>IF(M3&lt;&gt;0,N3/M3,0)</f>
        <v>307.21081606374321</v>
      </c>
      <c r="M3" s="99">
        <f>SUBTOTAL(9,M5:M1048576)</f>
        <v>803</v>
      </c>
      <c r="N3" s="100">
        <f>SUBTOTAL(9,N5:N1048576)</f>
        <v>246690.28529918578</v>
      </c>
    </row>
    <row r="4" spans="1:14" s="213" customFormat="1" ht="14.4" customHeight="1" thickBot="1" x14ac:dyDescent="0.35">
      <c r="A4" s="427" t="s">
        <v>4</v>
      </c>
      <c r="B4" s="428" t="s">
        <v>5</v>
      </c>
      <c r="C4" s="428" t="s">
        <v>0</v>
      </c>
      <c r="D4" s="428" t="s">
        <v>6</v>
      </c>
      <c r="E4" s="428" t="s">
        <v>7</v>
      </c>
      <c r="F4" s="428" t="s">
        <v>1</v>
      </c>
      <c r="G4" s="428" t="s">
        <v>8</v>
      </c>
      <c r="H4" s="428" t="s">
        <v>9</v>
      </c>
      <c r="I4" s="428" t="s">
        <v>10</v>
      </c>
      <c r="J4" s="429" t="s">
        <v>11</v>
      </c>
      <c r="K4" s="429" t="s">
        <v>12</v>
      </c>
      <c r="L4" s="430" t="s">
        <v>148</v>
      </c>
      <c r="M4" s="430" t="s">
        <v>13</v>
      </c>
      <c r="N4" s="431" t="s">
        <v>165</v>
      </c>
    </row>
    <row r="5" spans="1:14" ht="14.4" customHeight="1" x14ac:dyDescent="0.3">
      <c r="A5" s="434" t="s">
        <v>425</v>
      </c>
      <c r="B5" s="435" t="s">
        <v>426</v>
      </c>
      <c r="C5" s="436" t="s">
        <v>436</v>
      </c>
      <c r="D5" s="437" t="s">
        <v>550</v>
      </c>
      <c r="E5" s="436" t="s">
        <v>442</v>
      </c>
      <c r="F5" s="437" t="s">
        <v>552</v>
      </c>
      <c r="G5" s="436" t="s">
        <v>443</v>
      </c>
      <c r="H5" s="436" t="s">
        <v>444</v>
      </c>
      <c r="I5" s="436" t="s">
        <v>444</v>
      </c>
      <c r="J5" s="436" t="s">
        <v>445</v>
      </c>
      <c r="K5" s="436" t="s">
        <v>446</v>
      </c>
      <c r="L5" s="438">
        <v>179.39990161328205</v>
      </c>
      <c r="M5" s="438">
        <v>56</v>
      </c>
      <c r="N5" s="439">
        <v>10046.394490343795</v>
      </c>
    </row>
    <row r="6" spans="1:14" ht="14.4" customHeight="1" x14ac:dyDescent="0.3">
      <c r="A6" s="440" t="s">
        <v>425</v>
      </c>
      <c r="B6" s="441" t="s">
        <v>426</v>
      </c>
      <c r="C6" s="442" t="s">
        <v>436</v>
      </c>
      <c r="D6" s="443" t="s">
        <v>550</v>
      </c>
      <c r="E6" s="442" t="s">
        <v>442</v>
      </c>
      <c r="F6" s="443" t="s">
        <v>552</v>
      </c>
      <c r="G6" s="442" t="s">
        <v>443</v>
      </c>
      <c r="H6" s="442" t="s">
        <v>447</v>
      </c>
      <c r="I6" s="442" t="s">
        <v>447</v>
      </c>
      <c r="J6" s="442" t="s">
        <v>445</v>
      </c>
      <c r="K6" s="442" t="s">
        <v>448</v>
      </c>
      <c r="L6" s="444">
        <v>97.18</v>
      </c>
      <c r="M6" s="444">
        <v>2</v>
      </c>
      <c r="N6" s="445">
        <v>194.36</v>
      </c>
    </row>
    <row r="7" spans="1:14" ht="14.4" customHeight="1" x14ac:dyDescent="0.3">
      <c r="A7" s="440" t="s">
        <v>425</v>
      </c>
      <c r="B7" s="441" t="s">
        <v>426</v>
      </c>
      <c r="C7" s="442" t="s">
        <v>436</v>
      </c>
      <c r="D7" s="443" t="s">
        <v>550</v>
      </c>
      <c r="E7" s="442" t="s">
        <v>442</v>
      </c>
      <c r="F7" s="443" t="s">
        <v>552</v>
      </c>
      <c r="G7" s="442" t="s">
        <v>443</v>
      </c>
      <c r="H7" s="442" t="s">
        <v>449</v>
      </c>
      <c r="I7" s="442" t="s">
        <v>450</v>
      </c>
      <c r="J7" s="442" t="s">
        <v>451</v>
      </c>
      <c r="K7" s="442" t="s">
        <v>452</v>
      </c>
      <c r="L7" s="444">
        <v>84.57</v>
      </c>
      <c r="M7" s="444">
        <v>1</v>
      </c>
      <c r="N7" s="445">
        <v>84.57</v>
      </c>
    </row>
    <row r="8" spans="1:14" ht="14.4" customHeight="1" x14ac:dyDescent="0.3">
      <c r="A8" s="440" t="s">
        <v>425</v>
      </c>
      <c r="B8" s="441" t="s">
        <v>426</v>
      </c>
      <c r="C8" s="442" t="s">
        <v>436</v>
      </c>
      <c r="D8" s="443" t="s">
        <v>550</v>
      </c>
      <c r="E8" s="442" t="s">
        <v>442</v>
      </c>
      <c r="F8" s="443" t="s">
        <v>552</v>
      </c>
      <c r="G8" s="442" t="s">
        <v>443</v>
      </c>
      <c r="H8" s="442" t="s">
        <v>453</v>
      </c>
      <c r="I8" s="442" t="s">
        <v>454</v>
      </c>
      <c r="J8" s="442" t="s">
        <v>455</v>
      </c>
      <c r="K8" s="442" t="s">
        <v>456</v>
      </c>
      <c r="L8" s="444">
        <v>99.362809242617587</v>
      </c>
      <c r="M8" s="444">
        <v>240</v>
      </c>
      <c r="N8" s="445">
        <v>23847.074218228219</v>
      </c>
    </row>
    <row r="9" spans="1:14" ht="14.4" customHeight="1" x14ac:dyDescent="0.3">
      <c r="A9" s="440" t="s">
        <v>425</v>
      </c>
      <c r="B9" s="441" t="s">
        <v>426</v>
      </c>
      <c r="C9" s="442" t="s">
        <v>436</v>
      </c>
      <c r="D9" s="443" t="s">
        <v>550</v>
      </c>
      <c r="E9" s="442" t="s">
        <v>442</v>
      </c>
      <c r="F9" s="443" t="s">
        <v>552</v>
      </c>
      <c r="G9" s="442" t="s">
        <v>443</v>
      </c>
      <c r="H9" s="442" t="s">
        <v>457</v>
      </c>
      <c r="I9" s="442" t="s">
        <v>458</v>
      </c>
      <c r="J9" s="442" t="s">
        <v>459</v>
      </c>
      <c r="K9" s="442" t="s">
        <v>460</v>
      </c>
      <c r="L9" s="444">
        <v>60.350129269810559</v>
      </c>
      <c r="M9" s="444">
        <v>18</v>
      </c>
      <c r="N9" s="445">
        <v>1086.3023268565901</v>
      </c>
    </row>
    <row r="10" spans="1:14" ht="14.4" customHeight="1" x14ac:dyDescent="0.3">
      <c r="A10" s="440" t="s">
        <v>425</v>
      </c>
      <c r="B10" s="441" t="s">
        <v>426</v>
      </c>
      <c r="C10" s="442" t="s">
        <v>436</v>
      </c>
      <c r="D10" s="443" t="s">
        <v>550</v>
      </c>
      <c r="E10" s="442" t="s">
        <v>442</v>
      </c>
      <c r="F10" s="443" t="s">
        <v>552</v>
      </c>
      <c r="G10" s="442" t="s">
        <v>443</v>
      </c>
      <c r="H10" s="442" t="s">
        <v>461</v>
      </c>
      <c r="I10" s="442" t="s">
        <v>461</v>
      </c>
      <c r="J10" s="442" t="s">
        <v>462</v>
      </c>
      <c r="K10" s="442" t="s">
        <v>463</v>
      </c>
      <c r="L10" s="444">
        <v>38.18999921615795</v>
      </c>
      <c r="M10" s="444">
        <v>4</v>
      </c>
      <c r="N10" s="445">
        <v>152.7599968646318</v>
      </c>
    </row>
    <row r="11" spans="1:14" ht="14.4" customHeight="1" x14ac:dyDescent="0.3">
      <c r="A11" s="440" t="s">
        <v>425</v>
      </c>
      <c r="B11" s="441" t="s">
        <v>426</v>
      </c>
      <c r="C11" s="442" t="s">
        <v>436</v>
      </c>
      <c r="D11" s="443" t="s">
        <v>550</v>
      </c>
      <c r="E11" s="442" t="s">
        <v>442</v>
      </c>
      <c r="F11" s="443" t="s">
        <v>552</v>
      </c>
      <c r="G11" s="442" t="s">
        <v>443</v>
      </c>
      <c r="H11" s="442" t="s">
        <v>464</v>
      </c>
      <c r="I11" s="442" t="s">
        <v>465</v>
      </c>
      <c r="J11" s="442" t="s">
        <v>466</v>
      </c>
      <c r="K11" s="442"/>
      <c r="L11" s="444">
        <v>103.49818826309574</v>
      </c>
      <c r="M11" s="444">
        <v>1</v>
      </c>
      <c r="N11" s="445">
        <v>103.49818826309574</v>
      </c>
    </row>
    <row r="12" spans="1:14" ht="14.4" customHeight="1" x14ac:dyDescent="0.3">
      <c r="A12" s="440" t="s">
        <v>425</v>
      </c>
      <c r="B12" s="441" t="s">
        <v>426</v>
      </c>
      <c r="C12" s="442" t="s">
        <v>436</v>
      </c>
      <c r="D12" s="443" t="s">
        <v>550</v>
      </c>
      <c r="E12" s="442" t="s">
        <v>442</v>
      </c>
      <c r="F12" s="443" t="s">
        <v>552</v>
      </c>
      <c r="G12" s="442" t="s">
        <v>443</v>
      </c>
      <c r="H12" s="442" t="s">
        <v>467</v>
      </c>
      <c r="I12" s="442" t="s">
        <v>468</v>
      </c>
      <c r="J12" s="442" t="s">
        <v>469</v>
      </c>
      <c r="K12" s="442"/>
      <c r="L12" s="444">
        <v>199.08629568759909</v>
      </c>
      <c r="M12" s="444">
        <v>9</v>
      </c>
      <c r="N12" s="445">
        <v>1791.7766611883917</v>
      </c>
    </row>
    <row r="13" spans="1:14" ht="14.4" customHeight="1" x14ac:dyDescent="0.3">
      <c r="A13" s="440" t="s">
        <v>425</v>
      </c>
      <c r="B13" s="441" t="s">
        <v>426</v>
      </c>
      <c r="C13" s="442" t="s">
        <v>436</v>
      </c>
      <c r="D13" s="443" t="s">
        <v>550</v>
      </c>
      <c r="E13" s="442" t="s">
        <v>442</v>
      </c>
      <c r="F13" s="443" t="s">
        <v>552</v>
      </c>
      <c r="G13" s="442" t="s">
        <v>443</v>
      </c>
      <c r="H13" s="442" t="s">
        <v>470</v>
      </c>
      <c r="I13" s="442" t="s">
        <v>471</v>
      </c>
      <c r="J13" s="442" t="s">
        <v>472</v>
      </c>
      <c r="K13" s="442" t="s">
        <v>473</v>
      </c>
      <c r="L13" s="444">
        <v>55.032940646967511</v>
      </c>
      <c r="M13" s="444">
        <v>180</v>
      </c>
      <c r="N13" s="445">
        <v>9905.9293164541523</v>
      </c>
    </row>
    <row r="14" spans="1:14" ht="14.4" customHeight="1" x14ac:dyDescent="0.3">
      <c r="A14" s="440" t="s">
        <v>425</v>
      </c>
      <c r="B14" s="441" t="s">
        <v>426</v>
      </c>
      <c r="C14" s="442" t="s">
        <v>436</v>
      </c>
      <c r="D14" s="443" t="s">
        <v>550</v>
      </c>
      <c r="E14" s="442" t="s">
        <v>442</v>
      </c>
      <c r="F14" s="443" t="s">
        <v>552</v>
      </c>
      <c r="G14" s="442" t="s">
        <v>443</v>
      </c>
      <c r="H14" s="442" t="s">
        <v>474</v>
      </c>
      <c r="I14" s="442" t="s">
        <v>196</v>
      </c>
      <c r="J14" s="442" t="s">
        <v>475</v>
      </c>
      <c r="K14" s="442"/>
      <c r="L14" s="444">
        <v>97.320298536641687</v>
      </c>
      <c r="M14" s="444">
        <v>3</v>
      </c>
      <c r="N14" s="445">
        <v>291.96089560992505</v>
      </c>
    </row>
    <row r="15" spans="1:14" ht="14.4" customHeight="1" x14ac:dyDescent="0.3">
      <c r="A15" s="440" t="s">
        <v>425</v>
      </c>
      <c r="B15" s="441" t="s">
        <v>426</v>
      </c>
      <c r="C15" s="442" t="s">
        <v>436</v>
      </c>
      <c r="D15" s="443" t="s">
        <v>550</v>
      </c>
      <c r="E15" s="442" t="s">
        <v>442</v>
      </c>
      <c r="F15" s="443" t="s">
        <v>552</v>
      </c>
      <c r="G15" s="442" t="s">
        <v>443</v>
      </c>
      <c r="H15" s="442" t="s">
        <v>476</v>
      </c>
      <c r="I15" s="442" t="s">
        <v>477</v>
      </c>
      <c r="J15" s="442" t="s">
        <v>478</v>
      </c>
      <c r="K15" s="442" t="s">
        <v>479</v>
      </c>
      <c r="L15" s="444">
        <v>37.56</v>
      </c>
      <c r="M15" s="444">
        <v>1</v>
      </c>
      <c r="N15" s="445">
        <v>37.56</v>
      </c>
    </row>
    <row r="16" spans="1:14" ht="14.4" customHeight="1" x14ac:dyDescent="0.3">
      <c r="A16" s="440" t="s">
        <v>425</v>
      </c>
      <c r="B16" s="441" t="s">
        <v>426</v>
      </c>
      <c r="C16" s="442" t="s">
        <v>436</v>
      </c>
      <c r="D16" s="443" t="s">
        <v>550</v>
      </c>
      <c r="E16" s="442" t="s">
        <v>442</v>
      </c>
      <c r="F16" s="443" t="s">
        <v>552</v>
      </c>
      <c r="G16" s="442" t="s">
        <v>443</v>
      </c>
      <c r="H16" s="442" t="s">
        <v>480</v>
      </c>
      <c r="I16" s="442" t="s">
        <v>481</v>
      </c>
      <c r="J16" s="442" t="s">
        <v>482</v>
      </c>
      <c r="K16" s="442" t="s">
        <v>483</v>
      </c>
      <c r="L16" s="444">
        <v>74.232500000000002</v>
      </c>
      <c r="M16" s="444">
        <v>1</v>
      </c>
      <c r="N16" s="445">
        <v>74.232500000000002</v>
      </c>
    </row>
    <row r="17" spans="1:14" ht="14.4" customHeight="1" x14ac:dyDescent="0.3">
      <c r="A17" s="440" t="s">
        <v>425</v>
      </c>
      <c r="B17" s="441" t="s">
        <v>426</v>
      </c>
      <c r="C17" s="442" t="s">
        <v>436</v>
      </c>
      <c r="D17" s="443" t="s">
        <v>550</v>
      </c>
      <c r="E17" s="442" t="s">
        <v>442</v>
      </c>
      <c r="F17" s="443" t="s">
        <v>552</v>
      </c>
      <c r="G17" s="442" t="s">
        <v>443</v>
      </c>
      <c r="H17" s="442" t="s">
        <v>484</v>
      </c>
      <c r="I17" s="442" t="s">
        <v>196</v>
      </c>
      <c r="J17" s="442" t="s">
        <v>485</v>
      </c>
      <c r="K17" s="442"/>
      <c r="L17" s="444">
        <v>217.97595112822694</v>
      </c>
      <c r="M17" s="444">
        <v>3</v>
      </c>
      <c r="N17" s="445">
        <v>653.92785338468082</v>
      </c>
    </row>
    <row r="18" spans="1:14" ht="14.4" customHeight="1" x14ac:dyDescent="0.3">
      <c r="A18" s="440" t="s">
        <v>425</v>
      </c>
      <c r="B18" s="441" t="s">
        <v>426</v>
      </c>
      <c r="C18" s="442" t="s">
        <v>436</v>
      </c>
      <c r="D18" s="443" t="s">
        <v>550</v>
      </c>
      <c r="E18" s="442" t="s">
        <v>442</v>
      </c>
      <c r="F18" s="443" t="s">
        <v>552</v>
      </c>
      <c r="G18" s="442" t="s">
        <v>443</v>
      </c>
      <c r="H18" s="442" t="s">
        <v>486</v>
      </c>
      <c r="I18" s="442" t="s">
        <v>487</v>
      </c>
      <c r="J18" s="442" t="s">
        <v>488</v>
      </c>
      <c r="K18" s="442" t="s">
        <v>489</v>
      </c>
      <c r="L18" s="444">
        <v>34.630043652964972</v>
      </c>
      <c r="M18" s="444">
        <v>1</v>
      </c>
      <c r="N18" s="445">
        <v>34.630043652964972</v>
      </c>
    </row>
    <row r="19" spans="1:14" ht="14.4" customHeight="1" x14ac:dyDescent="0.3">
      <c r="A19" s="440" t="s">
        <v>425</v>
      </c>
      <c r="B19" s="441" t="s">
        <v>426</v>
      </c>
      <c r="C19" s="442" t="s">
        <v>436</v>
      </c>
      <c r="D19" s="443" t="s">
        <v>550</v>
      </c>
      <c r="E19" s="442" t="s">
        <v>442</v>
      </c>
      <c r="F19" s="443" t="s">
        <v>552</v>
      </c>
      <c r="G19" s="442" t="s">
        <v>443</v>
      </c>
      <c r="H19" s="442" t="s">
        <v>490</v>
      </c>
      <c r="I19" s="442" t="s">
        <v>196</v>
      </c>
      <c r="J19" s="442" t="s">
        <v>491</v>
      </c>
      <c r="K19" s="442"/>
      <c r="L19" s="444">
        <v>54.114946161901756</v>
      </c>
      <c r="M19" s="444">
        <v>9</v>
      </c>
      <c r="N19" s="445">
        <v>487.03451545711579</v>
      </c>
    </row>
    <row r="20" spans="1:14" ht="14.4" customHeight="1" x14ac:dyDescent="0.3">
      <c r="A20" s="440" t="s">
        <v>425</v>
      </c>
      <c r="B20" s="441" t="s">
        <v>426</v>
      </c>
      <c r="C20" s="442" t="s">
        <v>436</v>
      </c>
      <c r="D20" s="443" t="s">
        <v>550</v>
      </c>
      <c r="E20" s="442" t="s">
        <v>442</v>
      </c>
      <c r="F20" s="443" t="s">
        <v>552</v>
      </c>
      <c r="G20" s="442" t="s">
        <v>443</v>
      </c>
      <c r="H20" s="442" t="s">
        <v>492</v>
      </c>
      <c r="I20" s="442" t="s">
        <v>196</v>
      </c>
      <c r="J20" s="442" t="s">
        <v>493</v>
      </c>
      <c r="K20" s="442"/>
      <c r="L20" s="444">
        <v>47.33</v>
      </c>
      <c r="M20" s="444">
        <v>1</v>
      </c>
      <c r="N20" s="445">
        <v>47.33</v>
      </c>
    </row>
    <row r="21" spans="1:14" ht="14.4" customHeight="1" x14ac:dyDescent="0.3">
      <c r="A21" s="440" t="s">
        <v>425</v>
      </c>
      <c r="B21" s="441" t="s">
        <v>426</v>
      </c>
      <c r="C21" s="442" t="s">
        <v>436</v>
      </c>
      <c r="D21" s="443" t="s">
        <v>550</v>
      </c>
      <c r="E21" s="442" t="s">
        <v>442</v>
      </c>
      <c r="F21" s="443" t="s">
        <v>552</v>
      </c>
      <c r="G21" s="442" t="s">
        <v>443</v>
      </c>
      <c r="H21" s="442" t="s">
        <v>494</v>
      </c>
      <c r="I21" s="442" t="s">
        <v>196</v>
      </c>
      <c r="J21" s="442" t="s">
        <v>495</v>
      </c>
      <c r="K21" s="442"/>
      <c r="L21" s="444">
        <v>204.61031338265582</v>
      </c>
      <c r="M21" s="444">
        <v>4</v>
      </c>
      <c r="N21" s="445">
        <v>818.44125353062327</v>
      </c>
    </row>
    <row r="22" spans="1:14" ht="14.4" customHeight="1" x14ac:dyDescent="0.3">
      <c r="A22" s="440" t="s">
        <v>425</v>
      </c>
      <c r="B22" s="441" t="s">
        <v>426</v>
      </c>
      <c r="C22" s="442" t="s">
        <v>436</v>
      </c>
      <c r="D22" s="443" t="s">
        <v>550</v>
      </c>
      <c r="E22" s="442" t="s">
        <v>442</v>
      </c>
      <c r="F22" s="443" t="s">
        <v>552</v>
      </c>
      <c r="G22" s="442" t="s">
        <v>443</v>
      </c>
      <c r="H22" s="442" t="s">
        <v>496</v>
      </c>
      <c r="I22" s="442" t="s">
        <v>497</v>
      </c>
      <c r="J22" s="442" t="s">
        <v>498</v>
      </c>
      <c r="K22" s="442" t="s">
        <v>499</v>
      </c>
      <c r="L22" s="444">
        <v>38.94</v>
      </c>
      <c r="M22" s="444">
        <v>1</v>
      </c>
      <c r="N22" s="445">
        <v>38.94</v>
      </c>
    </row>
    <row r="23" spans="1:14" ht="14.4" customHeight="1" x14ac:dyDescent="0.3">
      <c r="A23" s="440" t="s">
        <v>425</v>
      </c>
      <c r="B23" s="441" t="s">
        <v>426</v>
      </c>
      <c r="C23" s="442" t="s">
        <v>436</v>
      </c>
      <c r="D23" s="443" t="s">
        <v>550</v>
      </c>
      <c r="E23" s="442" t="s">
        <v>442</v>
      </c>
      <c r="F23" s="443" t="s">
        <v>552</v>
      </c>
      <c r="G23" s="442" t="s">
        <v>500</v>
      </c>
      <c r="H23" s="442" t="s">
        <v>501</v>
      </c>
      <c r="I23" s="442" t="s">
        <v>502</v>
      </c>
      <c r="J23" s="442" t="s">
        <v>503</v>
      </c>
      <c r="K23" s="442" t="s">
        <v>504</v>
      </c>
      <c r="L23" s="444">
        <v>52.809999999999995</v>
      </c>
      <c r="M23" s="444">
        <v>3</v>
      </c>
      <c r="N23" s="445">
        <v>158.42999999999998</v>
      </c>
    </row>
    <row r="24" spans="1:14" ht="14.4" customHeight="1" x14ac:dyDescent="0.3">
      <c r="A24" s="440" t="s">
        <v>425</v>
      </c>
      <c r="B24" s="441" t="s">
        <v>426</v>
      </c>
      <c r="C24" s="442" t="s">
        <v>439</v>
      </c>
      <c r="D24" s="443" t="s">
        <v>551</v>
      </c>
      <c r="E24" s="442" t="s">
        <v>442</v>
      </c>
      <c r="F24" s="443" t="s">
        <v>552</v>
      </c>
      <c r="G24" s="442" t="s">
        <v>443</v>
      </c>
      <c r="H24" s="442" t="s">
        <v>505</v>
      </c>
      <c r="I24" s="442" t="s">
        <v>506</v>
      </c>
      <c r="J24" s="442" t="s">
        <v>507</v>
      </c>
      <c r="K24" s="442" t="s">
        <v>508</v>
      </c>
      <c r="L24" s="444">
        <v>1231.5624253975493</v>
      </c>
      <c r="M24" s="444">
        <v>42</v>
      </c>
      <c r="N24" s="445">
        <v>51725.621866697067</v>
      </c>
    </row>
    <row r="25" spans="1:14" ht="14.4" customHeight="1" x14ac:dyDescent="0.3">
      <c r="A25" s="440" t="s">
        <v>425</v>
      </c>
      <c r="B25" s="441" t="s">
        <v>426</v>
      </c>
      <c r="C25" s="442" t="s">
        <v>439</v>
      </c>
      <c r="D25" s="443" t="s">
        <v>551</v>
      </c>
      <c r="E25" s="442" t="s">
        <v>442</v>
      </c>
      <c r="F25" s="443" t="s">
        <v>552</v>
      </c>
      <c r="G25" s="442" t="s">
        <v>443</v>
      </c>
      <c r="H25" s="442" t="s">
        <v>509</v>
      </c>
      <c r="I25" s="442" t="s">
        <v>196</v>
      </c>
      <c r="J25" s="442" t="s">
        <v>510</v>
      </c>
      <c r="K25" s="442" t="s">
        <v>511</v>
      </c>
      <c r="L25" s="444">
        <v>718.97979797142648</v>
      </c>
      <c r="M25" s="444">
        <v>10</v>
      </c>
      <c r="N25" s="445">
        <v>7189.7979797142643</v>
      </c>
    </row>
    <row r="26" spans="1:14" ht="14.4" customHeight="1" x14ac:dyDescent="0.3">
      <c r="A26" s="440" t="s">
        <v>425</v>
      </c>
      <c r="B26" s="441" t="s">
        <v>426</v>
      </c>
      <c r="C26" s="442" t="s">
        <v>439</v>
      </c>
      <c r="D26" s="443" t="s">
        <v>551</v>
      </c>
      <c r="E26" s="442" t="s">
        <v>442</v>
      </c>
      <c r="F26" s="443" t="s">
        <v>552</v>
      </c>
      <c r="G26" s="442" t="s">
        <v>443</v>
      </c>
      <c r="H26" s="442" t="s">
        <v>512</v>
      </c>
      <c r="I26" s="442" t="s">
        <v>513</v>
      </c>
      <c r="J26" s="442" t="s">
        <v>514</v>
      </c>
      <c r="K26" s="442" t="s">
        <v>515</v>
      </c>
      <c r="L26" s="444">
        <v>651.28210044604452</v>
      </c>
      <c r="M26" s="444">
        <v>70</v>
      </c>
      <c r="N26" s="445">
        <v>45589.747031223116</v>
      </c>
    </row>
    <row r="27" spans="1:14" ht="14.4" customHeight="1" x14ac:dyDescent="0.3">
      <c r="A27" s="440" t="s">
        <v>425</v>
      </c>
      <c r="B27" s="441" t="s">
        <v>426</v>
      </c>
      <c r="C27" s="442" t="s">
        <v>439</v>
      </c>
      <c r="D27" s="443" t="s">
        <v>551</v>
      </c>
      <c r="E27" s="442" t="s">
        <v>442</v>
      </c>
      <c r="F27" s="443" t="s">
        <v>552</v>
      </c>
      <c r="G27" s="442" t="s">
        <v>443</v>
      </c>
      <c r="H27" s="442" t="s">
        <v>516</v>
      </c>
      <c r="I27" s="442" t="s">
        <v>517</v>
      </c>
      <c r="J27" s="442" t="s">
        <v>518</v>
      </c>
      <c r="K27" s="442" t="s">
        <v>519</v>
      </c>
      <c r="L27" s="444">
        <v>949.43244646234348</v>
      </c>
      <c r="M27" s="444">
        <v>40</v>
      </c>
      <c r="N27" s="445">
        <v>37977.297858493737</v>
      </c>
    </row>
    <row r="28" spans="1:14" ht="14.4" customHeight="1" x14ac:dyDescent="0.3">
      <c r="A28" s="440" t="s">
        <v>425</v>
      </c>
      <c r="B28" s="441" t="s">
        <v>426</v>
      </c>
      <c r="C28" s="442" t="s">
        <v>439</v>
      </c>
      <c r="D28" s="443" t="s">
        <v>551</v>
      </c>
      <c r="E28" s="442" t="s">
        <v>442</v>
      </c>
      <c r="F28" s="443" t="s">
        <v>552</v>
      </c>
      <c r="G28" s="442" t="s">
        <v>443</v>
      </c>
      <c r="H28" s="442" t="s">
        <v>520</v>
      </c>
      <c r="I28" s="442" t="s">
        <v>521</v>
      </c>
      <c r="J28" s="442" t="s">
        <v>522</v>
      </c>
      <c r="K28" s="442" t="s">
        <v>523</v>
      </c>
      <c r="L28" s="444">
        <v>459.9430261272505</v>
      </c>
      <c r="M28" s="444">
        <v>39</v>
      </c>
      <c r="N28" s="445">
        <v>17937.77801896277</v>
      </c>
    </row>
    <row r="29" spans="1:14" ht="14.4" customHeight="1" x14ac:dyDescent="0.3">
      <c r="A29" s="440" t="s">
        <v>425</v>
      </c>
      <c r="B29" s="441" t="s">
        <v>426</v>
      </c>
      <c r="C29" s="442" t="s">
        <v>439</v>
      </c>
      <c r="D29" s="443" t="s">
        <v>551</v>
      </c>
      <c r="E29" s="442" t="s">
        <v>442</v>
      </c>
      <c r="F29" s="443" t="s">
        <v>552</v>
      </c>
      <c r="G29" s="442" t="s">
        <v>443</v>
      </c>
      <c r="H29" s="442" t="s">
        <v>524</v>
      </c>
      <c r="I29" s="442" t="s">
        <v>525</v>
      </c>
      <c r="J29" s="442" t="s">
        <v>526</v>
      </c>
      <c r="K29" s="442" t="s">
        <v>527</v>
      </c>
      <c r="L29" s="444">
        <v>283.73909921841249</v>
      </c>
      <c r="M29" s="444">
        <v>29</v>
      </c>
      <c r="N29" s="445">
        <v>8228.4338773339623</v>
      </c>
    </row>
    <row r="30" spans="1:14" ht="14.4" customHeight="1" x14ac:dyDescent="0.3">
      <c r="A30" s="440" t="s">
        <v>425</v>
      </c>
      <c r="B30" s="441" t="s">
        <v>426</v>
      </c>
      <c r="C30" s="442" t="s">
        <v>439</v>
      </c>
      <c r="D30" s="443" t="s">
        <v>551</v>
      </c>
      <c r="E30" s="442" t="s">
        <v>442</v>
      </c>
      <c r="F30" s="443" t="s">
        <v>552</v>
      </c>
      <c r="G30" s="442" t="s">
        <v>443</v>
      </c>
      <c r="H30" s="442" t="s">
        <v>528</v>
      </c>
      <c r="I30" s="442" t="s">
        <v>529</v>
      </c>
      <c r="J30" s="442" t="s">
        <v>530</v>
      </c>
      <c r="K30" s="442" t="s">
        <v>531</v>
      </c>
      <c r="L30" s="444">
        <v>1191.1114977612679</v>
      </c>
      <c r="M30" s="444">
        <v>9</v>
      </c>
      <c r="N30" s="445">
        <v>10720.00347985141</v>
      </c>
    </row>
    <row r="31" spans="1:14" ht="14.4" customHeight="1" x14ac:dyDescent="0.3">
      <c r="A31" s="440" t="s">
        <v>425</v>
      </c>
      <c r="B31" s="441" t="s">
        <v>426</v>
      </c>
      <c r="C31" s="442" t="s">
        <v>439</v>
      </c>
      <c r="D31" s="443" t="s">
        <v>551</v>
      </c>
      <c r="E31" s="442" t="s">
        <v>442</v>
      </c>
      <c r="F31" s="443" t="s">
        <v>552</v>
      </c>
      <c r="G31" s="442" t="s">
        <v>443</v>
      </c>
      <c r="H31" s="442" t="s">
        <v>532</v>
      </c>
      <c r="I31" s="442" t="s">
        <v>533</v>
      </c>
      <c r="J31" s="442" t="s">
        <v>534</v>
      </c>
      <c r="K31" s="442" t="s">
        <v>535</v>
      </c>
      <c r="L31" s="444">
        <v>771.71</v>
      </c>
      <c r="M31" s="444">
        <v>1</v>
      </c>
      <c r="N31" s="445">
        <v>771.71</v>
      </c>
    </row>
    <row r="32" spans="1:14" ht="14.4" customHeight="1" x14ac:dyDescent="0.3">
      <c r="A32" s="440" t="s">
        <v>425</v>
      </c>
      <c r="B32" s="441" t="s">
        <v>426</v>
      </c>
      <c r="C32" s="442" t="s">
        <v>439</v>
      </c>
      <c r="D32" s="443" t="s">
        <v>551</v>
      </c>
      <c r="E32" s="442" t="s">
        <v>442</v>
      </c>
      <c r="F32" s="443" t="s">
        <v>552</v>
      </c>
      <c r="G32" s="442" t="s">
        <v>443</v>
      </c>
      <c r="H32" s="442" t="s">
        <v>536</v>
      </c>
      <c r="I32" s="442" t="s">
        <v>537</v>
      </c>
      <c r="J32" s="442" t="s">
        <v>538</v>
      </c>
      <c r="K32" s="442" t="s">
        <v>539</v>
      </c>
      <c r="L32" s="444">
        <v>594.96596473791772</v>
      </c>
      <c r="M32" s="444">
        <v>15</v>
      </c>
      <c r="N32" s="445">
        <v>8924.4894710687659</v>
      </c>
    </row>
    <row r="33" spans="1:14" ht="14.4" customHeight="1" x14ac:dyDescent="0.3">
      <c r="A33" s="440" t="s">
        <v>425</v>
      </c>
      <c r="B33" s="441" t="s">
        <v>426</v>
      </c>
      <c r="C33" s="442" t="s">
        <v>439</v>
      </c>
      <c r="D33" s="443" t="s">
        <v>551</v>
      </c>
      <c r="E33" s="442" t="s">
        <v>442</v>
      </c>
      <c r="F33" s="443" t="s">
        <v>552</v>
      </c>
      <c r="G33" s="442" t="s">
        <v>443</v>
      </c>
      <c r="H33" s="442" t="s">
        <v>540</v>
      </c>
      <c r="I33" s="442" t="s">
        <v>541</v>
      </c>
      <c r="J33" s="442" t="s">
        <v>542</v>
      </c>
      <c r="K33" s="442" t="s">
        <v>543</v>
      </c>
      <c r="L33" s="444">
        <v>585.97049371520939</v>
      </c>
      <c r="M33" s="444">
        <v>7</v>
      </c>
      <c r="N33" s="445">
        <v>4101.7934560064659</v>
      </c>
    </row>
    <row r="34" spans="1:14" ht="14.4" customHeight="1" x14ac:dyDescent="0.3">
      <c r="A34" s="440" t="s">
        <v>425</v>
      </c>
      <c r="B34" s="441" t="s">
        <v>426</v>
      </c>
      <c r="C34" s="442" t="s">
        <v>439</v>
      </c>
      <c r="D34" s="443" t="s">
        <v>551</v>
      </c>
      <c r="E34" s="442" t="s">
        <v>442</v>
      </c>
      <c r="F34" s="443" t="s">
        <v>552</v>
      </c>
      <c r="G34" s="442" t="s">
        <v>443</v>
      </c>
      <c r="H34" s="442" t="s">
        <v>544</v>
      </c>
      <c r="I34" s="442" t="s">
        <v>544</v>
      </c>
      <c r="J34" s="442" t="s">
        <v>545</v>
      </c>
      <c r="K34" s="442" t="s">
        <v>546</v>
      </c>
      <c r="L34" s="444">
        <v>1320.52</v>
      </c>
      <c r="M34" s="444">
        <v>1</v>
      </c>
      <c r="N34" s="445">
        <v>1320.52</v>
      </c>
    </row>
    <row r="35" spans="1:14" ht="14.4" customHeight="1" thickBot="1" x14ac:dyDescent="0.35">
      <c r="A35" s="446" t="s">
        <v>425</v>
      </c>
      <c r="B35" s="447" t="s">
        <v>426</v>
      </c>
      <c r="C35" s="448" t="s">
        <v>439</v>
      </c>
      <c r="D35" s="449" t="s">
        <v>551</v>
      </c>
      <c r="E35" s="448" t="s">
        <v>442</v>
      </c>
      <c r="F35" s="449" t="s">
        <v>552</v>
      </c>
      <c r="G35" s="448" t="s">
        <v>443</v>
      </c>
      <c r="H35" s="448" t="s">
        <v>547</v>
      </c>
      <c r="I35" s="448" t="s">
        <v>547</v>
      </c>
      <c r="J35" s="448" t="s">
        <v>548</v>
      </c>
      <c r="K35" s="448" t="s">
        <v>549</v>
      </c>
      <c r="L35" s="450">
        <v>1173.97</v>
      </c>
      <c r="M35" s="450">
        <v>2</v>
      </c>
      <c r="N35" s="451">
        <v>2347.94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2" customWidth="1"/>
    <col min="3" max="3" width="5.5546875" style="215" customWidth="1"/>
    <col min="4" max="4" width="10" style="212" customWidth="1"/>
    <col min="5" max="5" width="5.5546875" style="215" customWidth="1"/>
    <col min="6" max="6" width="10" style="212" customWidth="1"/>
    <col min="7" max="16384" width="8.88671875" style="133"/>
  </cols>
  <sheetData>
    <row r="1" spans="1:6" ht="37.200000000000003" customHeight="1" thickBot="1" x14ac:dyDescent="0.4">
      <c r="A1" s="347" t="s">
        <v>172</v>
      </c>
      <c r="B1" s="348"/>
      <c r="C1" s="348"/>
      <c r="D1" s="348"/>
      <c r="E1" s="348"/>
      <c r="F1" s="348"/>
    </row>
    <row r="2" spans="1:6" ht="14.4" customHeight="1" thickBot="1" x14ac:dyDescent="0.35">
      <c r="A2" s="240" t="s">
        <v>272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49" t="s">
        <v>135</v>
      </c>
      <c r="C3" s="350"/>
      <c r="D3" s="351" t="s">
        <v>134</v>
      </c>
      <c r="E3" s="350"/>
      <c r="F3" s="80" t="s">
        <v>3</v>
      </c>
    </row>
    <row r="4" spans="1:6" ht="14.4" customHeight="1" thickBot="1" x14ac:dyDescent="0.35">
      <c r="A4" s="452" t="s">
        <v>149</v>
      </c>
      <c r="B4" s="453" t="s">
        <v>14</v>
      </c>
      <c r="C4" s="454" t="s">
        <v>2</v>
      </c>
      <c r="D4" s="453" t="s">
        <v>14</v>
      </c>
      <c r="E4" s="454" t="s">
        <v>2</v>
      </c>
      <c r="F4" s="455" t="s">
        <v>14</v>
      </c>
    </row>
    <row r="5" spans="1:6" ht="14.4" customHeight="1" thickBot="1" x14ac:dyDescent="0.35">
      <c r="A5" s="467" t="s">
        <v>553</v>
      </c>
      <c r="B5" s="432"/>
      <c r="C5" s="456">
        <v>0</v>
      </c>
      <c r="D5" s="432">
        <v>158.42999999999998</v>
      </c>
      <c r="E5" s="456">
        <v>1</v>
      </c>
      <c r="F5" s="433">
        <v>158.42999999999998</v>
      </c>
    </row>
    <row r="6" spans="1:6" ht="14.4" customHeight="1" thickBot="1" x14ac:dyDescent="0.35">
      <c r="A6" s="463" t="s">
        <v>3</v>
      </c>
      <c r="B6" s="464"/>
      <c r="C6" s="465">
        <v>0</v>
      </c>
      <c r="D6" s="464">
        <v>158.42999999999998</v>
      </c>
      <c r="E6" s="465">
        <v>1</v>
      </c>
      <c r="F6" s="466">
        <v>158.42999999999998</v>
      </c>
    </row>
    <row r="7" spans="1:6" ht="14.4" customHeight="1" thickBot="1" x14ac:dyDescent="0.35"/>
    <row r="8" spans="1:6" ht="14.4" customHeight="1" thickBot="1" x14ac:dyDescent="0.35">
      <c r="A8" s="467" t="s">
        <v>554</v>
      </c>
      <c r="B8" s="432"/>
      <c r="C8" s="456">
        <v>0</v>
      </c>
      <c r="D8" s="432">
        <v>158.42999999999998</v>
      </c>
      <c r="E8" s="456">
        <v>1</v>
      </c>
      <c r="F8" s="433">
        <v>158.42999999999998</v>
      </c>
    </row>
    <row r="9" spans="1:6" ht="14.4" customHeight="1" thickBot="1" x14ac:dyDescent="0.35">
      <c r="A9" s="463" t="s">
        <v>3</v>
      </c>
      <c r="B9" s="464"/>
      <c r="C9" s="465">
        <v>0</v>
      </c>
      <c r="D9" s="464">
        <v>158.42999999999998</v>
      </c>
      <c r="E9" s="465">
        <v>1</v>
      </c>
      <c r="F9" s="466">
        <v>158.42999999999998</v>
      </c>
    </row>
  </sheetData>
  <mergeCells count="3">
    <mergeCell ref="A1:F1"/>
    <mergeCell ref="B3:C3"/>
    <mergeCell ref="D3:E3"/>
  </mergeCells>
  <conditionalFormatting sqref="C5:C1048576">
    <cfRule type="cellIs" dxfId="3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3" bestFit="1" customWidth="1"/>
    <col min="2" max="2" width="8.88671875" style="133" bestFit="1" customWidth="1"/>
    <col min="3" max="3" width="7" style="133" bestFit="1" customWidth="1"/>
    <col min="4" max="4" width="53.44140625" style="133" bestFit="1" customWidth="1"/>
    <col min="5" max="5" width="28.44140625" style="133" bestFit="1" customWidth="1"/>
    <col min="6" max="6" width="6.6640625" style="212" customWidth="1"/>
    <col min="7" max="7" width="10" style="212" customWidth="1"/>
    <col min="8" max="8" width="6.77734375" style="215" bestFit="1" customWidth="1"/>
    <col min="9" max="9" width="6.6640625" style="212" customWidth="1"/>
    <col min="10" max="10" width="10" style="212" customWidth="1"/>
    <col min="11" max="11" width="6.77734375" style="215" bestFit="1" customWidth="1"/>
    <col min="12" max="12" width="6.6640625" style="212" customWidth="1"/>
    <col min="13" max="13" width="10" style="212" customWidth="1"/>
    <col min="14" max="16384" width="8.88671875" style="133"/>
  </cols>
  <sheetData>
    <row r="1" spans="1:13" ht="18.600000000000001" customHeight="1" thickBot="1" x14ac:dyDescent="0.4">
      <c r="A1" s="348" t="s">
        <v>557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10"/>
      <c r="M1" s="310"/>
    </row>
    <row r="2" spans="1:13" ht="14.4" customHeight="1" thickBot="1" x14ac:dyDescent="0.35">
      <c r="A2" s="240" t="s">
        <v>272</v>
      </c>
      <c r="B2" s="211"/>
      <c r="C2" s="211"/>
      <c r="D2" s="211"/>
      <c r="E2" s="211"/>
      <c r="F2" s="219"/>
      <c r="G2" s="219"/>
      <c r="H2" s="220"/>
      <c r="I2" s="219"/>
      <c r="J2" s="219"/>
      <c r="K2" s="220"/>
      <c r="L2" s="219"/>
    </row>
    <row r="3" spans="1:13" ht="14.4" customHeight="1" thickBot="1" x14ac:dyDescent="0.35">
      <c r="E3" s="79" t="s">
        <v>133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158.42999999999998</v>
      </c>
      <c r="K3" s="44">
        <f>IF(M3=0,0,J3/M3)</f>
        <v>1</v>
      </c>
      <c r="L3" s="43">
        <f>SUBTOTAL(9,L6:L1048576)</f>
        <v>3</v>
      </c>
      <c r="M3" s="45">
        <f>SUBTOTAL(9,M6:M1048576)</f>
        <v>158.42999999999998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135</v>
      </c>
      <c r="G4" s="353"/>
      <c r="H4" s="354"/>
      <c r="I4" s="355" t="s">
        <v>134</v>
      </c>
      <c r="J4" s="353"/>
      <c r="K4" s="354"/>
      <c r="L4" s="356" t="s">
        <v>3</v>
      </c>
      <c r="M4" s="357"/>
    </row>
    <row r="5" spans="1:13" ht="14.4" customHeight="1" thickBot="1" x14ac:dyDescent="0.35">
      <c r="A5" s="452" t="s">
        <v>136</v>
      </c>
      <c r="B5" s="469" t="s">
        <v>137</v>
      </c>
      <c r="C5" s="469" t="s">
        <v>71</v>
      </c>
      <c r="D5" s="469" t="s">
        <v>138</v>
      </c>
      <c r="E5" s="469" t="s">
        <v>139</v>
      </c>
      <c r="F5" s="470" t="s">
        <v>28</v>
      </c>
      <c r="G5" s="470" t="s">
        <v>14</v>
      </c>
      <c r="H5" s="454" t="s">
        <v>140</v>
      </c>
      <c r="I5" s="453" t="s">
        <v>28</v>
      </c>
      <c r="J5" s="470" t="s">
        <v>14</v>
      </c>
      <c r="K5" s="454" t="s">
        <v>140</v>
      </c>
      <c r="L5" s="453" t="s">
        <v>28</v>
      </c>
      <c r="M5" s="471" t="s">
        <v>14</v>
      </c>
    </row>
    <row r="6" spans="1:13" ht="14.4" customHeight="1" thickBot="1" x14ac:dyDescent="0.35">
      <c r="A6" s="459" t="s">
        <v>436</v>
      </c>
      <c r="B6" s="473" t="s">
        <v>555</v>
      </c>
      <c r="C6" s="473" t="s">
        <v>502</v>
      </c>
      <c r="D6" s="473" t="s">
        <v>503</v>
      </c>
      <c r="E6" s="473" t="s">
        <v>556</v>
      </c>
      <c r="F6" s="460"/>
      <c r="G6" s="460"/>
      <c r="H6" s="461">
        <v>0</v>
      </c>
      <c r="I6" s="460">
        <v>3</v>
      </c>
      <c r="J6" s="460">
        <v>158.42999999999998</v>
      </c>
      <c r="K6" s="461">
        <v>1</v>
      </c>
      <c r="L6" s="460">
        <v>3</v>
      </c>
      <c r="M6" s="462">
        <v>158.42999999999998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48" t="s">
        <v>144</v>
      </c>
      <c r="B1" s="348"/>
      <c r="C1" s="348"/>
      <c r="D1" s="348"/>
      <c r="E1" s="348"/>
      <c r="F1" s="348"/>
      <c r="G1" s="348"/>
      <c r="H1" s="348"/>
      <c r="I1" s="311"/>
      <c r="J1" s="311"/>
      <c r="K1" s="311"/>
      <c r="L1" s="311"/>
    </row>
    <row r="2" spans="1:14" ht="14.4" customHeight="1" thickBot="1" x14ac:dyDescent="0.35">
      <c r="A2" s="240" t="s">
        <v>272</v>
      </c>
      <c r="B2" s="211"/>
      <c r="C2" s="211"/>
      <c r="D2" s="211"/>
      <c r="E2" s="211"/>
      <c r="F2" s="211"/>
      <c r="G2" s="211"/>
      <c r="H2" s="211"/>
    </row>
    <row r="3" spans="1:14" ht="14.4" customHeight="1" thickBot="1" x14ac:dyDescent="0.35">
      <c r="A3" s="147"/>
      <c r="B3" s="147"/>
      <c r="C3" s="359" t="s">
        <v>15</v>
      </c>
      <c r="D3" s="358"/>
      <c r="E3" s="358" t="s">
        <v>16</v>
      </c>
      <c r="F3" s="358"/>
      <c r="G3" s="358"/>
      <c r="H3" s="358"/>
      <c r="I3" s="358" t="s">
        <v>154</v>
      </c>
      <c r="J3" s="358"/>
      <c r="K3" s="358"/>
      <c r="L3" s="360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22">
        <v>19</v>
      </c>
      <c r="B5" s="423" t="s">
        <v>426</v>
      </c>
      <c r="C5" s="426">
        <v>22617.409999999989</v>
      </c>
      <c r="D5" s="426">
        <v>192</v>
      </c>
      <c r="E5" s="426">
        <v>14238.579999999989</v>
      </c>
      <c r="F5" s="474">
        <v>0.62954069453575789</v>
      </c>
      <c r="G5" s="426">
        <v>145</v>
      </c>
      <c r="H5" s="474">
        <v>0.75520833333333337</v>
      </c>
      <c r="I5" s="426">
        <v>8378.8299999999981</v>
      </c>
      <c r="J5" s="474">
        <v>0.37045930546424205</v>
      </c>
      <c r="K5" s="426">
        <v>47</v>
      </c>
      <c r="L5" s="474">
        <v>0.24479166666666666</v>
      </c>
      <c r="M5" s="426" t="s">
        <v>69</v>
      </c>
      <c r="N5" s="154"/>
    </row>
    <row r="6" spans="1:14" ht="14.4" customHeight="1" x14ac:dyDescent="0.3">
      <c r="A6" s="422">
        <v>19</v>
      </c>
      <c r="B6" s="423" t="s">
        <v>558</v>
      </c>
      <c r="C6" s="426">
        <v>22617.409999999989</v>
      </c>
      <c r="D6" s="426">
        <v>192</v>
      </c>
      <c r="E6" s="426">
        <v>14238.579999999989</v>
      </c>
      <c r="F6" s="474">
        <v>0.62954069453575789</v>
      </c>
      <c r="G6" s="426">
        <v>145</v>
      </c>
      <c r="H6" s="474">
        <v>0.75520833333333337</v>
      </c>
      <c r="I6" s="426">
        <v>8378.8299999999981</v>
      </c>
      <c r="J6" s="474">
        <v>0.37045930546424205</v>
      </c>
      <c r="K6" s="426">
        <v>47</v>
      </c>
      <c r="L6" s="474">
        <v>0.24479166666666666</v>
      </c>
      <c r="M6" s="426" t="s">
        <v>1</v>
      </c>
      <c r="N6" s="154"/>
    </row>
    <row r="7" spans="1:14" ht="14.4" customHeight="1" x14ac:dyDescent="0.3">
      <c r="A7" s="422" t="s">
        <v>425</v>
      </c>
      <c r="B7" s="423" t="s">
        <v>3</v>
      </c>
      <c r="C7" s="426">
        <v>22617.409999999989</v>
      </c>
      <c r="D7" s="426">
        <v>192</v>
      </c>
      <c r="E7" s="426">
        <v>14238.579999999989</v>
      </c>
      <c r="F7" s="474">
        <v>0.62954069453575789</v>
      </c>
      <c r="G7" s="426">
        <v>145</v>
      </c>
      <c r="H7" s="474">
        <v>0.75520833333333337</v>
      </c>
      <c r="I7" s="426">
        <v>8378.8299999999981</v>
      </c>
      <c r="J7" s="474">
        <v>0.37045930546424205</v>
      </c>
      <c r="K7" s="426">
        <v>47</v>
      </c>
      <c r="L7" s="474">
        <v>0.24479166666666666</v>
      </c>
      <c r="M7" s="426" t="s">
        <v>430</v>
      </c>
      <c r="N7" s="154"/>
    </row>
    <row r="9" spans="1:14" ht="14.4" customHeight="1" x14ac:dyDescent="0.3">
      <c r="A9" s="422">
        <v>19</v>
      </c>
      <c r="B9" s="423" t="s">
        <v>426</v>
      </c>
      <c r="C9" s="426" t="s">
        <v>427</v>
      </c>
      <c r="D9" s="426" t="s">
        <v>427</v>
      </c>
      <c r="E9" s="426" t="s">
        <v>427</v>
      </c>
      <c r="F9" s="474" t="s">
        <v>427</v>
      </c>
      <c r="G9" s="426" t="s">
        <v>427</v>
      </c>
      <c r="H9" s="474" t="s">
        <v>427</v>
      </c>
      <c r="I9" s="426" t="s">
        <v>427</v>
      </c>
      <c r="J9" s="474" t="s">
        <v>427</v>
      </c>
      <c r="K9" s="426" t="s">
        <v>427</v>
      </c>
      <c r="L9" s="474" t="s">
        <v>427</v>
      </c>
      <c r="M9" s="426" t="s">
        <v>69</v>
      </c>
      <c r="N9" s="154"/>
    </row>
    <row r="10" spans="1:14" ht="14.4" customHeight="1" x14ac:dyDescent="0.3">
      <c r="A10" s="422">
        <v>89301192</v>
      </c>
      <c r="B10" s="423" t="s">
        <v>558</v>
      </c>
      <c r="C10" s="426">
        <v>22617.409999999989</v>
      </c>
      <c r="D10" s="426">
        <v>192</v>
      </c>
      <c r="E10" s="426">
        <v>14238.579999999989</v>
      </c>
      <c r="F10" s="474">
        <v>0.62954069453575789</v>
      </c>
      <c r="G10" s="426">
        <v>145</v>
      </c>
      <c r="H10" s="474">
        <v>0.75520833333333337</v>
      </c>
      <c r="I10" s="426">
        <v>8378.8299999999981</v>
      </c>
      <c r="J10" s="474">
        <v>0.37045930546424205</v>
      </c>
      <c r="K10" s="426">
        <v>47</v>
      </c>
      <c r="L10" s="474">
        <v>0.24479166666666666</v>
      </c>
      <c r="M10" s="426" t="s">
        <v>1</v>
      </c>
      <c r="N10" s="154"/>
    </row>
    <row r="11" spans="1:14" ht="14.4" customHeight="1" x14ac:dyDescent="0.3">
      <c r="A11" s="422" t="s">
        <v>559</v>
      </c>
      <c r="B11" s="423" t="s">
        <v>560</v>
      </c>
      <c r="C11" s="426">
        <v>22617.409999999989</v>
      </c>
      <c r="D11" s="426">
        <v>192</v>
      </c>
      <c r="E11" s="426">
        <v>14238.579999999989</v>
      </c>
      <c r="F11" s="474">
        <v>0.62954069453575789</v>
      </c>
      <c r="G11" s="426">
        <v>145</v>
      </c>
      <c r="H11" s="474">
        <v>0.75520833333333337</v>
      </c>
      <c r="I11" s="426">
        <v>8378.8299999999981</v>
      </c>
      <c r="J11" s="474">
        <v>0.37045930546424205</v>
      </c>
      <c r="K11" s="426">
        <v>47</v>
      </c>
      <c r="L11" s="474">
        <v>0.24479166666666666</v>
      </c>
      <c r="M11" s="426" t="s">
        <v>434</v>
      </c>
      <c r="N11" s="154"/>
    </row>
    <row r="12" spans="1:14" ht="14.4" customHeight="1" x14ac:dyDescent="0.3">
      <c r="A12" s="422" t="s">
        <v>427</v>
      </c>
      <c r="B12" s="423" t="s">
        <v>427</v>
      </c>
      <c r="C12" s="426" t="s">
        <v>427</v>
      </c>
      <c r="D12" s="426" t="s">
        <v>427</v>
      </c>
      <c r="E12" s="426" t="s">
        <v>427</v>
      </c>
      <c r="F12" s="474" t="s">
        <v>427</v>
      </c>
      <c r="G12" s="426" t="s">
        <v>427</v>
      </c>
      <c r="H12" s="474" t="s">
        <v>427</v>
      </c>
      <c r="I12" s="426" t="s">
        <v>427</v>
      </c>
      <c r="J12" s="474" t="s">
        <v>427</v>
      </c>
      <c r="K12" s="426" t="s">
        <v>427</v>
      </c>
      <c r="L12" s="474" t="s">
        <v>427</v>
      </c>
      <c r="M12" s="426" t="s">
        <v>435</v>
      </c>
      <c r="N12" s="154"/>
    </row>
    <row r="13" spans="1:14" ht="14.4" customHeight="1" x14ac:dyDescent="0.3">
      <c r="A13" s="422" t="s">
        <v>425</v>
      </c>
      <c r="B13" s="423" t="s">
        <v>429</v>
      </c>
      <c r="C13" s="426">
        <v>22617.409999999989</v>
      </c>
      <c r="D13" s="426">
        <v>192</v>
      </c>
      <c r="E13" s="426">
        <v>14238.579999999989</v>
      </c>
      <c r="F13" s="474">
        <v>0.62954069453575789</v>
      </c>
      <c r="G13" s="426">
        <v>145</v>
      </c>
      <c r="H13" s="474">
        <v>0.75520833333333337</v>
      </c>
      <c r="I13" s="426">
        <v>8378.8299999999981</v>
      </c>
      <c r="J13" s="474">
        <v>0.37045930546424205</v>
      </c>
      <c r="K13" s="426">
        <v>47</v>
      </c>
      <c r="L13" s="474">
        <v>0.24479166666666666</v>
      </c>
      <c r="M13" s="426" t="s">
        <v>430</v>
      </c>
      <c r="N13" s="154"/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2" bestFit="1" customWidth="1"/>
    <col min="3" max="3" width="11.109375" style="133" hidden="1" customWidth="1"/>
    <col min="4" max="4" width="7.33203125" style="212" bestFit="1" customWidth="1"/>
    <col min="5" max="5" width="7.33203125" style="133" hidden="1" customWidth="1"/>
    <col min="6" max="6" width="11.109375" style="212" bestFit="1" customWidth="1"/>
    <col min="7" max="7" width="5.33203125" style="215" customWidth="1"/>
    <col min="8" max="8" width="7.33203125" style="212" bestFit="1" customWidth="1"/>
    <col min="9" max="9" width="5.33203125" style="215" customWidth="1"/>
    <col min="10" max="10" width="11.109375" style="212" customWidth="1"/>
    <col min="11" max="11" width="5.33203125" style="215" customWidth="1"/>
    <col min="12" max="12" width="7.33203125" style="212" customWidth="1"/>
    <col min="13" max="13" width="5.33203125" style="215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48" t="s">
        <v>155</v>
      </c>
      <c r="B1" s="348"/>
      <c r="C1" s="348"/>
      <c r="D1" s="348"/>
      <c r="E1" s="348"/>
      <c r="F1" s="348"/>
      <c r="G1" s="348"/>
      <c r="H1" s="348"/>
      <c r="I1" s="348"/>
      <c r="J1" s="311"/>
      <c r="K1" s="311"/>
      <c r="L1" s="311"/>
      <c r="M1" s="311"/>
    </row>
    <row r="2" spans="1:13" ht="14.4" customHeight="1" thickBot="1" x14ac:dyDescent="0.35">
      <c r="A2" s="240" t="s">
        <v>272</v>
      </c>
      <c r="B2" s="219"/>
      <c r="C2" s="211"/>
      <c r="D2" s="219"/>
      <c r="E2" s="211"/>
      <c r="F2" s="219"/>
      <c r="G2" s="220"/>
      <c r="H2" s="219"/>
      <c r="I2" s="220"/>
    </row>
    <row r="3" spans="1:13" ht="14.4" customHeight="1" thickBot="1" x14ac:dyDescent="0.35">
      <c r="A3" s="147"/>
      <c r="B3" s="359" t="s">
        <v>15</v>
      </c>
      <c r="C3" s="361"/>
      <c r="D3" s="358"/>
      <c r="E3" s="146"/>
      <c r="F3" s="358" t="s">
        <v>16</v>
      </c>
      <c r="G3" s="358"/>
      <c r="H3" s="358"/>
      <c r="I3" s="358"/>
      <c r="J3" s="358" t="s">
        <v>154</v>
      </c>
      <c r="K3" s="358"/>
      <c r="L3" s="358"/>
      <c r="M3" s="360"/>
    </row>
    <row r="4" spans="1:13" ht="14.4" customHeight="1" thickBot="1" x14ac:dyDescent="0.35">
      <c r="A4" s="475" t="s">
        <v>141</v>
      </c>
      <c r="B4" s="479" t="s">
        <v>19</v>
      </c>
      <c r="C4" s="480"/>
      <c r="D4" s="479" t="s">
        <v>20</v>
      </c>
      <c r="E4" s="480"/>
      <c r="F4" s="479" t="s">
        <v>19</v>
      </c>
      <c r="G4" s="486" t="s">
        <v>2</v>
      </c>
      <c r="H4" s="479" t="s">
        <v>20</v>
      </c>
      <c r="I4" s="486" t="s">
        <v>2</v>
      </c>
      <c r="J4" s="479" t="s">
        <v>19</v>
      </c>
      <c r="K4" s="486" t="s">
        <v>2</v>
      </c>
      <c r="L4" s="479" t="s">
        <v>20</v>
      </c>
      <c r="M4" s="487" t="s">
        <v>2</v>
      </c>
    </row>
    <row r="5" spans="1:13" ht="14.4" customHeight="1" x14ac:dyDescent="0.3">
      <c r="A5" s="476" t="s">
        <v>561</v>
      </c>
      <c r="B5" s="120">
        <v>11773.989999999993</v>
      </c>
      <c r="C5" s="435">
        <v>1</v>
      </c>
      <c r="D5" s="483">
        <v>136</v>
      </c>
      <c r="E5" s="472" t="s">
        <v>561</v>
      </c>
      <c r="F5" s="120">
        <v>8267.7199999999921</v>
      </c>
      <c r="G5" s="457">
        <v>0.70220205724652363</v>
      </c>
      <c r="H5" s="438">
        <v>108</v>
      </c>
      <c r="I5" s="488">
        <v>0.79411764705882348</v>
      </c>
      <c r="J5" s="494">
        <v>3506.2700000000004</v>
      </c>
      <c r="K5" s="457">
        <v>0.29779794275347632</v>
      </c>
      <c r="L5" s="438">
        <v>28</v>
      </c>
      <c r="M5" s="488">
        <v>0.20588235294117646</v>
      </c>
    </row>
    <row r="6" spans="1:13" ht="14.4" customHeight="1" x14ac:dyDescent="0.3">
      <c r="A6" s="477" t="s">
        <v>562</v>
      </c>
      <c r="B6" s="481">
        <v>453.06</v>
      </c>
      <c r="C6" s="441">
        <v>1</v>
      </c>
      <c r="D6" s="484">
        <v>1</v>
      </c>
      <c r="E6" s="492" t="s">
        <v>562</v>
      </c>
      <c r="F6" s="481">
        <v>453.06</v>
      </c>
      <c r="G6" s="489">
        <v>1</v>
      </c>
      <c r="H6" s="444">
        <v>1</v>
      </c>
      <c r="I6" s="490">
        <v>1</v>
      </c>
      <c r="J6" s="495"/>
      <c r="K6" s="489">
        <v>0</v>
      </c>
      <c r="L6" s="444"/>
      <c r="M6" s="490">
        <v>0</v>
      </c>
    </row>
    <row r="7" spans="1:13" ht="14.4" customHeight="1" x14ac:dyDescent="0.3">
      <c r="A7" s="477" t="s">
        <v>563</v>
      </c>
      <c r="B7" s="481">
        <v>3086.8900000000003</v>
      </c>
      <c r="C7" s="441">
        <v>1</v>
      </c>
      <c r="D7" s="484">
        <v>17</v>
      </c>
      <c r="E7" s="492" t="s">
        <v>563</v>
      </c>
      <c r="F7" s="481">
        <v>1522.3</v>
      </c>
      <c r="G7" s="489">
        <v>0.49315006365630126</v>
      </c>
      <c r="H7" s="444">
        <v>8</v>
      </c>
      <c r="I7" s="490">
        <v>0.47058823529411764</v>
      </c>
      <c r="J7" s="495">
        <v>1564.5900000000001</v>
      </c>
      <c r="K7" s="489">
        <v>0.50684993634369868</v>
      </c>
      <c r="L7" s="444">
        <v>9</v>
      </c>
      <c r="M7" s="490">
        <v>0.52941176470588236</v>
      </c>
    </row>
    <row r="8" spans="1:13" ht="14.4" customHeight="1" x14ac:dyDescent="0.3">
      <c r="A8" s="477" t="s">
        <v>564</v>
      </c>
      <c r="B8" s="481">
        <v>1450.6599999999999</v>
      </c>
      <c r="C8" s="441">
        <v>1</v>
      </c>
      <c r="D8" s="484">
        <v>9</v>
      </c>
      <c r="E8" s="492" t="s">
        <v>564</v>
      </c>
      <c r="F8" s="481">
        <v>1450.6599999999999</v>
      </c>
      <c r="G8" s="489">
        <v>1</v>
      </c>
      <c r="H8" s="444">
        <v>7</v>
      </c>
      <c r="I8" s="490">
        <v>0.77777777777777779</v>
      </c>
      <c r="J8" s="495">
        <v>0</v>
      </c>
      <c r="K8" s="489">
        <v>0</v>
      </c>
      <c r="L8" s="444">
        <v>2</v>
      </c>
      <c r="M8" s="490">
        <v>0.22222222222222221</v>
      </c>
    </row>
    <row r="9" spans="1:13" ht="14.4" customHeight="1" x14ac:dyDescent="0.3">
      <c r="A9" s="477" t="s">
        <v>565</v>
      </c>
      <c r="B9" s="481">
        <v>3664.7599999999998</v>
      </c>
      <c r="C9" s="441">
        <v>1</v>
      </c>
      <c r="D9" s="484">
        <v>10</v>
      </c>
      <c r="E9" s="492" t="s">
        <v>565</v>
      </c>
      <c r="F9" s="481">
        <v>440.45</v>
      </c>
      <c r="G9" s="489">
        <v>0.12018522358899356</v>
      </c>
      <c r="H9" s="444">
        <v>4</v>
      </c>
      <c r="I9" s="490">
        <v>0.4</v>
      </c>
      <c r="J9" s="495">
        <v>3224.31</v>
      </c>
      <c r="K9" s="489">
        <v>0.87981477641100647</v>
      </c>
      <c r="L9" s="444">
        <v>6</v>
      </c>
      <c r="M9" s="490">
        <v>0.6</v>
      </c>
    </row>
    <row r="10" spans="1:13" ht="14.4" customHeight="1" thickBot="1" x14ac:dyDescent="0.35">
      <c r="A10" s="478" t="s">
        <v>566</v>
      </c>
      <c r="B10" s="482">
        <v>2188.0500000000002</v>
      </c>
      <c r="C10" s="447">
        <v>1</v>
      </c>
      <c r="D10" s="485">
        <v>19</v>
      </c>
      <c r="E10" s="493" t="s">
        <v>566</v>
      </c>
      <c r="F10" s="482">
        <v>2104.3900000000003</v>
      </c>
      <c r="G10" s="458">
        <v>0.96176504193231427</v>
      </c>
      <c r="H10" s="450">
        <v>17</v>
      </c>
      <c r="I10" s="491">
        <v>0.89473684210526316</v>
      </c>
      <c r="J10" s="496">
        <v>83.66</v>
      </c>
      <c r="K10" s="458">
        <v>3.8234958067685836E-2</v>
      </c>
      <c r="L10" s="450">
        <v>2</v>
      </c>
      <c r="M10" s="491">
        <v>0.10526315789473684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3" customWidth="1"/>
    <col min="5" max="5" width="13.5546875" style="213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4" customWidth="1"/>
    <col min="13" max="13" width="11.109375" style="214" customWidth="1"/>
    <col min="14" max="14" width="7.77734375" style="133" customWidth="1"/>
    <col min="15" max="15" width="7.77734375" style="224" customWidth="1"/>
    <col min="16" max="16" width="11.109375" style="214" customWidth="1"/>
    <col min="17" max="17" width="5.44140625" style="215" bestFit="1" customWidth="1"/>
    <col min="18" max="18" width="7.77734375" style="133" customWidth="1"/>
    <col min="19" max="19" width="5.44140625" style="215" bestFit="1" customWidth="1"/>
    <col min="20" max="20" width="7.77734375" style="224" customWidth="1"/>
    <col min="21" max="21" width="5.44140625" style="215" bestFit="1" customWidth="1"/>
    <col min="22" max="16384" width="8.88671875" style="133"/>
  </cols>
  <sheetData>
    <row r="1" spans="1:21" ht="18.600000000000001" customHeight="1" thickBot="1" x14ac:dyDescent="0.4">
      <c r="A1" s="339" t="s">
        <v>772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</row>
    <row r="2" spans="1:21" ht="14.4" customHeight="1" thickBot="1" x14ac:dyDescent="0.35">
      <c r="A2" s="240" t="s">
        <v>272</v>
      </c>
      <c r="B2" s="221"/>
      <c r="C2" s="211"/>
      <c r="D2" s="211"/>
      <c r="E2" s="222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</row>
    <row r="3" spans="1:21" ht="14.4" customHeight="1" thickBot="1" x14ac:dyDescent="0.35">
      <c r="A3" s="365"/>
      <c r="B3" s="366"/>
      <c r="C3" s="366"/>
      <c r="D3" s="366"/>
      <c r="E3" s="366"/>
      <c r="F3" s="366"/>
      <c r="G3" s="366"/>
      <c r="H3" s="366"/>
      <c r="I3" s="366"/>
      <c r="J3" s="366"/>
      <c r="K3" s="367" t="s">
        <v>133</v>
      </c>
      <c r="L3" s="368"/>
      <c r="M3" s="66">
        <f>SUBTOTAL(9,M7:M1048576)</f>
        <v>22617.409999999996</v>
      </c>
      <c r="N3" s="66">
        <f>SUBTOTAL(9,N7:N1048576)</f>
        <v>394</v>
      </c>
      <c r="O3" s="66">
        <f>SUBTOTAL(9,O7:O1048576)</f>
        <v>192</v>
      </c>
      <c r="P3" s="66">
        <f>SUBTOTAL(9,P7:P1048576)</f>
        <v>14238.579999999991</v>
      </c>
      <c r="Q3" s="67">
        <f>IF(M3=0,0,P3/M3)</f>
        <v>0.62954069453575778</v>
      </c>
      <c r="R3" s="66">
        <f>SUBTOTAL(9,R7:R1048576)</f>
        <v>292</v>
      </c>
      <c r="S3" s="67">
        <f>IF(N3=0,0,R3/N3)</f>
        <v>0.74111675126903553</v>
      </c>
      <c r="T3" s="66">
        <f>SUBTOTAL(9,T7:T1048576)</f>
        <v>145</v>
      </c>
      <c r="U3" s="68">
        <f>IF(O3=0,0,T3/O3)</f>
        <v>0.75520833333333337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69" t="s">
        <v>15</v>
      </c>
      <c r="N4" s="370"/>
      <c r="O4" s="370"/>
      <c r="P4" s="371" t="s">
        <v>21</v>
      </c>
      <c r="Q4" s="370"/>
      <c r="R4" s="370"/>
      <c r="S4" s="370"/>
      <c r="T4" s="370"/>
      <c r="U4" s="372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62" t="s">
        <v>22</v>
      </c>
      <c r="Q5" s="363"/>
      <c r="R5" s="362" t="s">
        <v>13</v>
      </c>
      <c r="S5" s="363"/>
      <c r="T5" s="362" t="s">
        <v>20</v>
      </c>
      <c r="U5" s="364"/>
    </row>
    <row r="6" spans="1:21" s="213" customFormat="1" ht="14.4" customHeight="1" thickBot="1" x14ac:dyDescent="0.35">
      <c r="A6" s="497" t="s">
        <v>23</v>
      </c>
      <c r="B6" s="498" t="s">
        <v>5</v>
      </c>
      <c r="C6" s="497" t="s">
        <v>24</v>
      </c>
      <c r="D6" s="498" t="s">
        <v>6</v>
      </c>
      <c r="E6" s="498" t="s">
        <v>157</v>
      </c>
      <c r="F6" s="498" t="s">
        <v>25</v>
      </c>
      <c r="G6" s="498" t="s">
        <v>26</v>
      </c>
      <c r="H6" s="498" t="s">
        <v>8</v>
      </c>
      <c r="I6" s="498" t="s">
        <v>10</v>
      </c>
      <c r="J6" s="498" t="s">
        <v>11</v>
      </c>
      <c r="K6" s="498" t="s">
        <v>12</v>
      </c>
      <c r="L6" s="498" t="s">
        <v>27</v>
      </c>
      <c r="M6" s="499" t="s">
        <v>14</v>
      </c>
      <c r="N6" s="500" t="s">
        <v>28</v>
      </c>
      <c r="O6" s="500" t="s">
        <v>28</v>
      </c>
      <c r="P6" s="500" t="s">
        <v>14</v>
      </c>
      <c r="Q6" s="500" t="s">
        <v>2</v>
      </c>
      <c r="R6" s="500" t="s">
        <v>28</v>
      </c>
      <c r="S6" s="500" t="s">
        <v>2</v>
      </c>
      <c r="T6" s="500" t="s">
        <v>28</v>
      </c>
      <c r="U6" s="501" t="s">
        <v>2</v>
      </c>
    </row>
    <row r="7" spans="1:21" ht="14.4" customHeight="1" x14ac:dyDescent="0.3">
      <c r="A7" s="434">
        <v>19</v>
      </c>
      <c r="B7" s="435" t="s">
        <v>426</v>
      </c>
      <c r="C7" s="435">
        <v>89301192</v>
      </c>
      <c r="D7" s="502" t="s">
        <v>771</v>
      </c>
      <c r="E7" s="503" t="s">
        <v>561</v>
      </c>
      <c r="F7" s="435" t="s">
        <v>558</v>
      </c>
      <c r="G7" s="435" t="s">
        <v>567</v>
      </c>
      <c r="H7" s="435" t="s">
        <v>427</v>
      </c>
      <c r="I7" s="435" t="s">
        <v>568</v>
      </c>
      <c r="J7" s="435" t="s">
        <v>569</v>
      </c>
      <c r="K7" s="435" t="s">
        <v>570</v>
      </c>
      <c r="L7" s="436">
        <v>483.76</v>
      </c>
      <c r="M7" s="436">
        <v>967.52</v>
      </c>
      <c r="N7" s="435">
        <v>2</v>
      </c>
      <c r="O7" s="504">
        <v>1</v>
      </c>
      <c r="P7" s="436"/>
      <c r="Q7" s="457">
        <v>0</v>
      </c>
      <c r="R7" s="435"/>
      <c r="S7" s="457">
        <v>0</v>
      </c>
      <c r="T7" s="504"/>
      <c r="U7" s="488">
        <v>0</v>
      </c>
    </row>
    <row r="8" spans="1:21" ht="14.4" customHeight="1" x14ac:dyDescent="0.3">
      <c r="A8" s="505">
        <v>19</v>
      </c>
      <c r="B8" s="506" t="s">
        <v>426</v>
      </c>
      <c r="C8" s="506">
        <v>89301192</v>
      </c>
      <c r="D8" s="507" t="s">
        <v>771</v>
      </c>
      <c r="E8" s="508" t="s">
        <v>561</v>
      </c>
      <c r="F8" s="506" t="s">
        <v>558</v>
      </c>
      <c r="G8" s="506" t="s">
        <v>571</v>
      </c>
      <c r="H8" s="506" t="s">
        <v>427</v>
      </c>
      <c r="I8" s="506" t="s">
        <v>572</v>
      </c>
      <c r="J8" s="506" t="s">
        <v>573</v>
      </c>
      <c r="K8" s="506" t="s">
        <v>574</v>
      </c>
      <c r="L8" s="509">
        <v>22.59</v>
      </c>
      <c r="M8" s="509">
        <v>22.59</v>
      </c>
      <c r="N8" s="506">
        <v>1</v>
      </c>
      <c r="O8" s="510">
        <v>1</v>
      </c>
      <c r="P8" s="509"/>
      <c r="Q8" s="511">
        <v>0</v>
      </c>
      <c r="R8" s="506"/>
      <c r="S8" s="511">
        <v>0</v>
      </c>
      <c r="T8" s="510"/>
      <c r="U8" s="512">
        <v>0</v>
      </c>
    </row>
    <row r="9" spans="1:21" ht="14.4" customHeight="1" x14ac:dyDescent="0.3">
      <c r="A9" s="505">
        <v>19</v>
      </c>
      <c r="B9" s="506" t="s">
        <v>426</v>
      </c>
      <c r="C9" s="506">
        <v>89301192</v>
      </c>
      <c r="D9" s="507" t="s">
        <v>771</v>
      </c>
      <c r="E9" s="508" t="s">
        <v>561</v>
      </c>
      <c r="F9" s="506" t="s">
        <v>558</v>
      </c>
      <c r="G9" s="506" t="s">
        <v>575</v>
      </c>
      <c r="H9" s="506" t="s">
        <v>427</v>
      </c>
      <c r="I9" s="506" t="s">
        <v>576</v>
      </c>
      <c r="J9" s="506" t="s">
        <v>577</v>
      </c>
      <c r="K9" s="506" t="s">
        <v>578</v>
      </c>
      <c r="L9" s="509">
        <v>158.13</v>
      </c>
      <c r="M9" s="509">
        <v>158.13</v>
      </c>
      <c r="N9" s="506">
        <v>1</v>
      </c>
      <c r="O9" s="510">
        <v>1</v>
      </c>
      <c r="P9" s="509">
        <v>158.13</v>
      </c>
      <c r="Q9" s="511">
        <v>1</v>
      </c>
      <c r="R9" s="506">
        <v>1</v>
      </c>
      <c r="S9" s="511">
        <v>1</v>
      </c>
      <c r="T9" s="510">
        <v>1</v>
      </c>
      <c r="U9" s="512">
        <v>1</v>
      </c>
    </row>
    <row r="10" spans="1:21" ht="14.4" customHeight="1" x14ac:dyDescent="0.3">
      <c r="A10" s="505">
        <v>19</v>
      </c>
      <c r="B10" s="506" t="s">
        <v>426</v>
      </c>
      <c r="C10" s="506">
        <v>89301192</v>
      </c>
      <c r="D10" s="507" t="s">
        <v>771</v>
      </c>
      <c r="E10" s="508" t="s">
        <v>561</v>
      </c>
      <c r="F10" s="506" t="s">
        <v>558</v>
      </c>
      <c r="G10" s="506" t="s">
        <v>579</v>
      </c>
      <c r="H10" s="506" t="s">
        <v>427</v>
      </c>
      <c r="I10" s="506" t="s">
        <v>580</v>
      </c>
      <c r="J10" s="506" t="s">
        <v>581</v>
      </c>
      <c r="K10" s="506" t="s">
        <v>582</v>
      </c>
      <c r="L10" s="509">
        <v>50.27</v>
      </c>
      <c r="M10" s="509">
        <v>50.27</v>
      </c>
      <c r="N10" s="506">
        <v>1</v>
      </c>
      <c r="O10" s="510">
        <v>1</v>
      </c>
      <c r="P10" s="509">
        <v>50.27</v>
      </c>
      <c r="Q10" s="511">
        <v>1</v>
      </c>
      <c r="R10" s="506">
        <v>1</v>
      </c>
      <c r="S10" s="511">
        <v>1</v>
      </c>
      <c r="T10" s="510">
        <v>1</v>
      </c>
      <c r="U10" s="512">
        <v>1</v>
      </c>
    </row>
    <row r="11" spans="1:21" ht="14.4" customHeight="1" x14ac:dyDescent="0.3">
      <c r="A11" s="505">
        <v>19</v>
      </c>
      <c r="B11" s="506" t="s">
        <v>426</v>
      </c>
      <c r="C11" s="506">
        <v>89301192</v>
      </c>
      <c r="D11" s="507" t="s">
        <v>771</v>
      </c>
      <c r="E11" s="508" t="s">
        <v>561</v>
      </c>
      <c r="F11" s="506" t="s">
        <v>558</v>
      </c>
      <c r="G11" s="506" t="s">
        <v>583</v>
      </c>
      <c r="H11" s="506" t="s">
        <v>427</v>
      </c>
      <c r="I11" s="506" t="s">
        <v>584</v>
      </c>
      <c r="J11" s="506" t="s">
        <v>585</v>
      </c>
      <c r="K11" s="506" t="s">
        <v>586</v>
      </c>
      <c r="L11" s="509">
        <v>0</v>
      </c>
      <c r="M11" s="509">
        <v>0</v>
      </c>
      <c r="N11" s="506">
        <v>2</v>
      </c>
      <c r="O11" s="510">
        <v>1</v>
      </c>
      <c r="P11" s="509">
        <v>0</v>
      </c>
      <c r="Q11" s="511"/>
      <c r="R11" s="506">
        <v>2</v>
      </c>
      <c r="S11" s="511">
        <v>1</v>
      </c>
      <c r="T11" s="510">
        <v>1</v>
      </c>
      <c r="U11" s="512">
        <v>1</v>
      </c>
    </row>
    <row r="12" spans="1:21" ht="14.4" customHeight="1" x14ac:dyDescent="0.3">
      <c r="A12" s="505">
        <v>19</v>
      </c>
      <c r="B12" s="506" t="s">
        <v>426</v>
      </c>
      <c r="C12" s="506">
        <v>89301192</v>
      </c>
      <c r="D12" s="507" t="s">
        <v>771</v>
      </c>
      <c r="E12" s="508" t="s">
        <v>561</v>
      </c>
      <c r="F12" s="506" t="s">
        <v>558</v>
      </c>
      <c r="G12" s="506" t="s">
        <v>587</v>
      </c>
      <c r="H12" s="506" t="s">
        <v>427</v>
      </c>
      <c r="I12" s="506" t="s">
        <v>588</v>
      </c>
      <c r="J12" s="506" t="s">
        <v>589</v>
      </c>
      <c r="K12" s="506" t="s">
        <v>590</v>
      </c>
      <c r="L12" s="509">
        <v>41.83</v>
      </c>
      <c r="M12" s="509">
        <v>9286.2599999999911</v>
      </c>
      <c r="N12" s="506">
        <v>222</v>
      </c>
      <c r="O12" s="510">
        <v>108</v>
      </c>
      <c r="P12" s="509">
        <v>7613.0599999999913</v>
      </c>
      <c r="Q12" s="511">
        <v>0.81981981981981966</v>
      </c>
      <c r="R12" s="506">
        <v>182</v>
      </c>
      <c r="S12" s="511">
        <v>0.81981981981981977</v>
      </c>
      <c r="T12" s="510">
        <v>88</v>
      </c>
      <c r="U12" s="512">
        <v>0.81481481481481477</v>
      </c>
    </row>
    <row r="13" spans="1:21" ht="14.4" customHeight="1" x14ac:dyDescent="0.3">
      <c r="A13" s="505">
        <v>19</v>
      </c>
      <c r="B13" s="506" t="s">
        <v>426</v>
      </c>
      <c r="C13" s="506">
        <v>89301192</v>
      </c>
      <c r="D13" s="507" t="s">
        <v>771</v>
      </c>
      <c r="E13" s="508" t="s">
        <v>561</v>
      </c>
      <c r="F13" s="506" t="s">
        <v>558</v>
      </c>
      <c r="G13" s="506" t="s">
        <v>591</v>
      </c>
      <c r="H13" s="506" t="s">
        <v>427</v>
      </c>
      <c r="I13" s="506" t="s">
        <v>592</v>
      </c>
      <c r="J13" s="506" t="s">
        <v>593</v>
      </c>
      <c r="K13" s="506" t="s">
        <v>594</v>
      </c>
      <c r="L13" s="509">
        <v>242.93</v>
      </c>
      <c r="M13" s="509">
        <v>485.86</v>
      </c>
      <c r="N13" s="506">
        <v>2</v>
      </c>
      <c r="O13" s="510">
        <v>2</v>
      </c>
      <c r="P13" s="509">
        <v>242.93</v>
      </c>
      <c r="Q13" s="511">
        <v>0.5</v>
      </c>
      <c r="R13" s="506">
        <v>1</v>
      </c>
      <c r="S13" s="511">
        <v>0.5</v>
      </c>
      <c r="T13" s="510">
        <v>1</v>
      </c>
      <c r="U13" s="512">
        <v>0.5</v>
      </c>
    </row>
    <row r="14" spans="1:21" ht="14.4" customHeight="1" x14ac:dyDescent="0.3">
      <c r="A14" s="505">
        <v>19</v>
      </c>
      <c r="B14" s="506" t="s">
        <v>426</v>
      </c>
      <c r="C14" s="506">
        <v>89301192</v>
      </c>
      <c r="D14" s="507" t="s">
        <v>771</v>
      </c>
      <c r="E14" s="508" t="s">
        <v>561</v>
      </c>
      <c r="F14" s="506" t="s">
        <v>558</v>
      </c>
      <c r="G14" s="506" t="s">
        <v>595</v>
      </c>
      <c r="H14" s="506" t="s">
        <v>427</v>
      </c>
      <c r="I14" s="506" t="s">
        <v>596</v>
      </c>
      <c r="J14" s="506" t="s">
        <v>597</v>
      </c>
      <c r="K14" s="506" t="s">
        <v>598</v>
      </c>
      <c r="L14" s="509">
        <v>503.4</v>
      </c>
      <c r="M14" s="509">
        <v>503.4</v>
      </c>
      <c r="N14" s="506">
        <v>1</v>
      </c>
      <c r="O14" s="510">
        <v>1</v>
      </c>
      <c r="P14" s="509"/>
      <c r="Q14" s="511">
        <v>0</v>
      </c>
      <c r="R14" s="506"/>
      <c r="S14" s="511">
        <v>0</v>
      </c>
      <c r="T14" s="510"/>
      <c r="U14" s="512">
        <v>0</v>
      </c>
    </row>
    <row r="15" spans="1:21" ht="14.4" customHeight="1" x14ac:dyDescent="0.3">
      <c r="A15" s="505">
        <v>19</v>
      </c>
      <c r="B15" s="506" t="s">
        <v>426</v>
      </c>
      <c r="C15" s="506">
        <v>89301192</v>
      </c>
      <c r="D15" s="507" t="s">
        <v>771</v>
      </c>
      <c r="E15" s="508" t="s">
        <v>561</v>
      </c>
      <c r="F15" s="506" t="s">
        <v>558</v>
      </c>
      <c r="G15" s="506" t="s">
        <v>599</v>
      </c>
      <c r="H15" s="506" t="s">
        <v>500</v>
      </c>
      <c r="I15" s="506" t="s">
        <v>600</v>
      </c>
      <c r="J15" s="506" t="s">
        <v>601</v>
      </c>
      <c r="K15" s="506" t="s">
        <v>602</v>
      </c>
      <c r="L15" s="509">
        <v>96.63</v>
      </c>
      <c r="M15" s="509">
        <v>96.63</v>
      </c>
      <c r="N15" s="506">
        <v>1</v>
      </c>
      <c r="O15" s="510">
        <v>1</v>
      </c>
      <c r="P15" s="509"/>
      <c r="Q15" s="511">
        <v>0</v>
      </c>
      <c r="R15" s="506"/>
      <c r="S15" s="511">
        <v>0</v>
      </c>
      <c r="T15" s="510"/>
      <c r="U15" s="512">
        <v>0</v>
      </c>
    </row>
    <row r="16" spans="1:21" ht="14.4" customHeight="1" x14ac:dyDescent="0.3">
      <c r="A16" s="505">
        <v>19</v>
      </c>
      <c r="B16" s="506" t="s">
        <v>426</v>
      </c>
      <c r="C16" s="506">
        <v>89301192</v>
      </c>
      <c r="D16" s="507" t="s">
        <v>771</v>
      </c>
      <c r="E16" s="508" t="s">
        <v>561</v>
      </c>
      <c r="F16" s="506" t="s">
        <v>558</v>
      </c>
      <c r="G16" s="506" t="s">
        <v>603</v>
      </c>
      <c r="H16" s="506" t="s">
        <v>427</v>
      </c>
      <c r="I16" s="506" t="s">
        <v>604</v>
      </c>
      <c r="J16" s="506" t="s">
        <v>605</v>
      </c>
      <c r="K16" s="506" t="s">
        <v>606</v>
      </c>
      <c r="L16" s="509">
        <v>0</v>
      </c>
      <c r="M16" s="509">
        <v>0</v>
      </c>
      <c r="N16" s="506">
        <v>4</v>
      </c>
      <c r="O16" s="510">
        <v>2</v>
      </c>
      <c r="P16" s="509">
        <v>0</v>
      </c>
      <c r="Q16" s="511"/>
      <c r="R16" s="506">
        <v>4</v>
      </c>
      <c r="S16" s="511">
        <v>1</v>
      </c>
      <c r="T16" s="510">
        <v>2</v>
      </c>
      <c r="U16" s="512">
        <v>1</v>
      </c>
    </row>
    <row r="17" spans="1:21" ht="14.4" customHeight="1" x14ac:dyDescent="0.3">
      <c r="A17" s="505">
        <v>19</v>
      </c>
      <c r="B17" s="506" t="s">
        <v>426</v>
      </c>
      <c r="C17" s="506">
        <v>89301192</v>
      </c>
      <c r="D17" s="507" t="s">
        <v>771</v>
      </c>
      <c r="E17" s="508" t="s">
        <v>561</v>
      </c>
      <c r="F17" s="506" t="s">
        <v>558</v>
      </c>
      <c r="G17" s="506" t="s">
        <v>603</v>
      </c>
      <c r="H17" s="506" t="s">
        <v>427</v>
      </c>
      <c r="I17" s="506" t="s">
        <v>607</v>
      </c>
      <c r="J17" s="506" t="s">
        <v>605</v>
      </c>
      <c r="K17" s="506" t="s">
        <v>606</v>
      </c>
      <c r="L17" s="509">
        <v>0</v>
      </c>
      <c r="M17" s="509">
        <v>0</v>
      </c>
      <c r="N17" s="506">
        <v>26</v>
      </c>
      <c r="O17" s="510">
        <v>10.5</v>
      </c>
      <c r="P17" s="509">
        <v>0</v>
      </c>
      <c r="Q17" s="511"/>
      <c r="R17" s="506">
        <v>24</v>
      </c>
      <c r="S17" s="511">
        <v>0.92307692307692313</v>
      </c>
      <c r="T17" s="510">
        <v>9.5</v>
      </c>
      <c r="U17" s="512">
        <v>0.90476190476190477</v>
      </c>
    </row>
    <row r="18" spans="1:21" ht="14.4" customHeight="1" x14ac:dyDescent="0.3">
      <c r="A18" s="505">
        <v>19</v>
      </c>
      <c r="B18" s="506" t="s">
        <v>426</v>
      </c>
      <c r="C18" s="506">
        <v>89301192</v>
      </c>
      <c r="D18" s="507" t="s">
        <v>771</v>
      </c>
      <c r="E18" s="508" t="s">
        <v>561</v>
      </c>
      <c r="F18" s="506" t="s">
        <v>558</v>
      </c>
      <c r="G18" s="506" t="s">
        <v>603</v>
      </c>
      <c r="H18" s="506" t="s">
        <v>427</v>
      </c>
      <c r="I18" s="506" t="s">
        <v>608</v>
      </c>
      <c r="J18" s="506" t="s">
        <v>605</v>
      </c>
      <c r="K18" s="506" t="s">
        <v>609</v>
      </c>
      <c r="L18" s="509">
        <v>0</v>
      </c>
      <c r="M18" s="509">
        <v>0</v>
      </c>
      <c r="N18" s="506">
        <v>4</v>
      </c>
      <c r="O18" s="510">
        <v>1.5</v>
      </c>
      <c r="P18" s="509">
        <v>0</v>
      </c>
      <c r="Q18" s="511"/>
      <c r="R18" s="506">
        <v>2</v>
      </c>
      <c r="S18" s="511">
        <v>0.5</v>
      </c>
      <c r="T18" s="510">
        <v>0.5</v>
      </c>
      <c r="U18" s="512">
        <v>0.33333333333333331</v>
      </c>
    </row>
    <row r="19" spans="1:21" ht="14.4" customHeight="1" x14ac:dyDescent="0.3">
      <c r="A19" s="505">
        <v>19</v>
      </c>
      <c r="B19" s="506" t="s">
        <v>426</v>
      </c>
      <c r="C19" s="506">
        <v>89301192</v>
      </c>
      <c r="D19" s="507" t="s">
        <v>771</v>
      </c>
      <c r="E19" s="508" t="s">
        <v>561</v>
      </c>
      <c r="F19" s="506" t="s">
        <v>558</v>
      </c>
      <c r="G19" s="506" t="s">
        <v>610</v>
      </c>
      <c r="H19" s="506" t="s">
        <v>427</v>
      </c>
      <c r="I19" s="506" t="s">
        <v>611</v>
      </c>
      <c r="J19" s="506" t="s">
        <v>612</v>
      </c>
      <c r="K19" s="506" t="s">
        <v>613</v>
      </c>
      <c r="L19" s="509">
        <v>0</v>
      </c>
      <c r="M19" s="509">
        <v>0</v>
      </c>
      <c r="N19" s="506">
        <v>3</v>
      </c>
      <c r="O19" s="510">
        <v>3</v>
      </c>
      <c r="P19" s="509">
        <v>0</v>
      </c>
      <c r="Q19" s="511"/>
      <c r="R19" s="506">
        <v>2</v>
      </c>
      <c r="S19" s="511">
        <v>0.66666666666666663</v>
      </c>
      <c r="T19" s="510">
        <v>2</v>
      </c>
      <c r="U19" s="512">
        <v>0.66666666666666663</v>
      </c>
    </row>
    <row r="20" spans="1:21" ht="14.4" customHeight="1" x14ac:dyDescent="0.3">
      <c r="A20" s="505">
        <v>19</v>
      </c>
      <c r="B20" s="506" t="s">
        <v>426</v>
      </c>
      <c r="C20" s="506">
        <v>89301192</v>
      </c>
      <c r="D20" s="507" t="s">
        <v>771</v>
      </c>
      <c r="E20" s="508" t="s">
        <v>561</v>
      </c>
      <c r="F20" s="506" t="s">
        <v>558</v>
      </c>
      <c r="G20" s="506" t="s">
        <v>614</v>
      </c>
      <c r="H20" s="506" t="s">
        <v>427</v>
      </c>
      <c r="I20" s="506" t="s">
        <v>615</v>
      </c>
      <c r="J20" s="506" t="s">
        <v>616</v>
      </c>
      <c r="K20" s="506" t="s">
        <v>617</v>
      </c>
      <c r="L20" s="509">
        <v>203.33</v>
      </c>
      <c r="M20" s="509">
        <v>203.33</v>
      </c>
      <c r="N20" s="506">
        <v>1</v>
      </c>
      <c r="O20" s="510">
        <v>1</v>
      </c>
      <c r="P20" s="509">
        <v>203.33</v>
      </c>
      <c r="Q20" s="511">
        <v>1</v>
      </c>
      <c r="R20" s="506">
        <v>1</v>
      </c>
      <c r="S20" s="511">
        <v>1</v>
      </c>
      <c r="T20" s="510">
        <v>1</v>
      </c>
      <c r="U20" s="512">
        <v>1</v>
      </c>
    </row>
    <row r="21" spans="1:21" ht="14.4" customHeight="1" x14ac:dyDescent="0.3">
      <c r="A21" s="505">
        <v>19</v>
      </c>
      <c r="B21" s="506" t="s">
        <v>426</v>
      </c>
      <c r="C21" s="506">
        <v>89301192</v>
      </c>
      <c r="D21" s="507" t="s">
        <v>771</v>
      </c>
      <c r="E21" s="508" t="s">
        <v>561</v>
      </c>
      <c r="F21" s="506" t="s">
        <v>558</v>
      </c>
      <c r="G21" s="506" t="s">
        <v>618</v>
      </c>
      <c r="H21" s="506" t="s">
        <v>427</v>
      </c>
      <c r="I21" s="506" t="s">
        <v>619</v>
      </c>
      <c r="J21" s="506" t="s">
        <v>620</v>
      </c>
      <c r="K21" s="506" t="s">
        <v>621</v>
      </c>
      <c r="L21" s="509">
        <v>0</v>
      </c>
      <c r="M21" s="509">
        <v>0</v>
      </c>
      <c r="N21" s="506">
        <v>1</v>
      </c>
      <c r="O21" s="510">
        <v>1</v>
      </c>
      <c r="P21" s="509">
        <v>0</v>
      </c>
      <c r="Q21" s="511"/>
      <c r="R21" s="506">
        <v>1</v>
      </c>
      <c r="S21" s="511">
        <v>1</v>
      </c>
      <c r="T21" s="510">
        <v>1</v>
      </c>
      <c r="U21" s="512">
        <v>1</v>
      </c>
    </row>
    <row r="22" spans="1:21" ht="14.4" customHeight="1" x14ac:dyDescent="0.3">
      <c r="A22" s="505">
        <v>19</v>
      </c>
      <c r="B22" s="506" t="s">
        <v>426</v>
      </c>
      <c r="C22" s="506">
        <v>89301192</v>
      </c>
      <c r="D22" s="507" t="s">
        <v>771</v>
      </c>
      <c r="E22" s="508" t="s">
        <v>562</v>
      </c>
      <c r="F22" s="506" t="s">
        <v>558</v>
      </c>
      <c r="G22" s="506" t="s">
        <v>622</v>
      </c>
      <c r="H22" s="506" t="s">
        <v>427</v>
      </c>
      <c r="I22" s="506" t="s">
        <v>623</v>
      </c>
      <c r="J22" s="506" t="s">
        <v>624</v>
      </c>
      <c r="K22" s="506" t="s">
        <v>625</v>
      </c>
      <c r="L22" s="509">
        <v>61.29</v>
      </c>
      <c r="M22" s="509">
        <v>61.29</v>
      </c>
      <c r="N22" s="506">
        <v>1</v>
      </c>
      <c r="O22" s="510">
        <v>0.5</v>
      </c>
      <c r="P22" s="509">
        <v>61.29</v>
      </c>
      <c r="Q22" s="511">
        <v>1</v>
      </c>
      <c r="R22" s="506">
        <v>1</v>
      </c>
      <c r="S22" s="511">
        <v>1</v>
      </c>
      <c r="T22" s="510">
        <v>0.5</v>
      </c>
      <c r="U22" s="512">
        <v>1</v>
      </c>
    </row>
    <row r="23" spans="1:21" ht="14.4" customHeight="1" x14ac:dyDescent="0.3">
      <c r="A23" s="505">
        <v>19</v>
      </c>
      <c r="B23" s="506" t="s">
        <v>426</v>
      </c>
      <c r="C23" s="506">
        <v>89301192</v>
      </c>
      <c r="D23" s="507" t="s">
        <v>771</v>
      </c>
      <c r="E23" s="508" t="s">
        <v>562</v>
      </c>
      <c r="F23" s="506" t="s">
        <v>558</v>
      </c>
      <c r="G23" s="506" t="s">
        <v>626</v>
      </c>
      <c r="H23" s="506" t="s">
        <v>500</v>
      </c>
      <c r="I23" s="506" t="s">
        <v>627</v>
      </c>
      <c r="J23" s="506" t="s">
        <v>628</v>
      </c>
      <c r="K23" s="506" t="s">
        <v>629</v>
      </c>
      <c r="L23" s="509">
        <v>391.77</v>
      </c>
      <c r="M23" s="509">
        <v>391.77</v>
      </c>
      <c r="N23" s="506">
        <v>1</v>
      </c>
      <c r="O23" s="510">
        <v>0.5</v>
      </c>
      <c r="P23" s="509">
        <v>391.77</v>
      </c>
      <c r="Q23" s="511">
        <v>1</v>
      </c>
      <c r="R23" s="506">
        <v>1</v>
      </c>
      <c r="S23" s="511">
        <v>1</v>
      </c>
      <c r="T23" s="510">
        <v>0.5</v>
      </c>
      <c r="U23" s="512">
        <v>1</v>
      </c>
    </row>
    <row r="24" spans="1:21" ht="14.4" customHeight="1" x14ac:dyDescent="0.3">
      <c r="A24" s="505">
        <v>19</v>
      </c>
      <c r="B24" s="506" t="s">
        <v>426</v>
      </c>
      <c r="C24" s="506">
        <v>89301192</v>
      </c>
      <c r="D24" s="507" t="s">
        <v>771</v>
      </c>
      <c r="E24" s="508" t="s">
        <v>563</v>
      </c>
      <c r="F24" s="506" t="s">
        <v>558</v>
      </c>
      <c r="G24" s="506" t="s">
        <v>630</v>
      </c>
      <c r="H24" s="506" t="s">
        <v>427</v>
      </c>
      <c r="I24" s="506" t="s">
        <v>631</v>
      </c>
      <c r="J24" s="506" t="s">
        <v>632</v>
      </c>
      <c r="K24" s="506" t="s">
        <v>633</v>
      </c>
      <c r="L24" s="509">
        <v>243.62</v>
      </c>
      <c r="M24" s="509">
        <v>243.62</v>
      </c>
      <c r="N24" s="506">
        <v>1</v>
      </c>
      <c r="O24" s="510">
        <v>1</v>
      </c>
      <c r="P24" s="509">
        <v>243.62</v>
      </c>
      <c r="Q24" s="511">
        <v>1</v>
      </c>
      <c r="R24" s="506">
        <v>1</v>
      </c>
      <c r="S24" s="511">
        <v>1</v>
      </c>
      <c r="T24" s="510">
        <v>1</v>
      </c>
      <c r="U24" s="512">
        <v>1</v>
      </c>
    </row>
    <row r="25" spans="1:21" ht="14.4" customHeight="1" x14ac:dyDescent="0.3">
      <c r="A25" s="505">
        <v>19</v>
      </c>
      <c r="B25" s="506" t="s">
        <v>426</v>
      </c>
      <c r="C25" s="506">
        <v>89301192</v>
      </c>
      <c r="D25" s="507" t="s">
        <v>771</v>
      </c>
      <c r="E25" s="508" t="s">
        <v>563</v>
      </c>
      <c r="F25" s="506" t="s">
        <v>558</v>
      </c>
      <c r="G25" s="506" t="s">
        <v>634</v>
      </c>
      <c r="H25" s="506" t="s">
        <v>500</v>
      </c>
      <c r="I25" s="506" t="s">
        <v>635</v>
      </c>
      <c r="J25" s="506" t="s">
        <v>636</v>
      </c>
      <c r="K25" s="506" t="s">
        <v>637</v>
      </c>
      <c r="L25" s="509">
        <v>333.31</v>
      </c>
      <c r="M25" s="509">
        <v>333.31</v>
      </c>
      <c r="N25" s="506">
        <v>1</v>
      </c>
      <c r="O25" s="510">
        <v>0.5</v>
      </c>
      <c r="P25" s="509">
        <v>333.31</v>
      </c>
      <c r="Q25" s="511">
        <v>1</v>
      </c>
      <c r="R25" s="506">
        <v>1</v>
      </c>
      <c r="S25" s="511">
        <v>1</v>
      </c>
      <c r="T25" s="510">
        <v>0.5</v>
      </c>
      <c r="U25" s="512">
        <v>1</v>
      </c>
    </row>
    <row r="26" spans="1:21" ht="14.4" customHeight="1" x14ac:dyDescent="0.3">
      <c r="A26" s="505">
        <v>19</v>
      </c>
      <c r="B26" s="506" t="s">
        <v>426</v>
      </c>
      <c r="C26" s="506">
        <v>89301192</v>
      </c>
      <c r="D26" s="507" t="s">
        <v>771</v>
      </c>
      <c r="E26" s="508" t="s">
        <v>563</v>
      </c>
      <c r="F26" s="506" t="s">
        <v>558</v>
      </c>
      <c r="G26" s="506" t="s">
        <v>638</v>
      </c>
      <c r="H26" s="506" t="s">
        <v>500</v>
      </c>
      <c r="I26" s="506" t="s">
        <v>639</v>
      </c>
      <c r="J26" s="506" t="s">
        <v>640</v>
      </c>
      <c r="K26" s="506" t="s">
        <v>641</v>
      </c>
      <c r="L26" s="509">
        <v>222.25</v>
      </c>
      <c r="M26" s="509">
        <v>222.25</v>
      </c>
      <c r="N26" s="506">
        <v>1</v>
      </c>
      <c r="O26" s="510">
        <v>1</v>
      </c>
      <c r="P26" s="509">
        <v>222.25</v>
      </c>
      <c r="Q26" s="511">
        <v>1</v>
      </c>
      <c r="R26" s="506">
        <v>1</v>
      </c>
      <c r="S26" s="511">
        <v>1</v>
      </c>
      <c r="T26" s="510">
        <v>1</v>
      </c>
      <c r="U26" s="512">
        <v>1</v>
      </c>
    </row>
    <row r="27" spans="1:21" ht="14.4" customHeight="1" x14ac:dyDescent="0.3">
      <c r="A27" s="505">
        <v>19</v>
      </c>
      <c r="B27" s="506" t="s">
        <v>426</v>
      </c>
      <c r="C27" s="506">
        <v>89301192</v>
      </c>
      <c r="D27" s="507" t="s">
        <v>771</v>
      </c>
      <c r="E27" s="508" t="s">
        <v>563</v>
      </c>
      <c r="F27" s="506" t="s">
        <v>558</v>
      </c>
      <c r="G27" s="506" t="s">
        <v>642</v>
      </c>
      <c r="H27" s="506" t="s">
        <v>427</v>
      </c>
      <c r="I27" s="506" t="s">
        <v>643</v>
      </c>
      <c r="J27" s="506" t="s">
        <v>644</v>
      </c>
      <c r="K27" s="506" t="s">
        <v>645</v>
      </c>
      <c r="L27" s="509">
        <v>84.78</v>
      </c>
      <c r="M27" s="509">
        <v>423.9</v>
      </c>
      <c r="N27" s="506">
        <v>5</v>
      </c>
      <c r="O27" s="510">
        <v>3</v>
      </c>
      <c r="P27" s="509">
        <v>169.56</v>
      </c>
      <c r="Q27" s="511">
        <v>0.4</v>
      </c>
      <c r="R27" s="506">
        <v>2</v>
      </c>
      <c r="S27" s="511">
        <v>0.4</v>
      </c>
      <c r="T27" s="510">
        <v>1</v>
      </c>
      <c r="U27" s="512">
        <v>0.33333333333333331</v>
      </c>
    </row>
    <row r="28" spans="1:21" ht="14.4" customHeight="1" x14ac:dyDescent="0.3">
      <c r="A28" s="505">
        <v>19</v>
      </c>
      <c r="B28" s="506" t="s">
        <v>426</v>
      </c>
      <c r="C28" s="506">
        <v>89301192</v>
      </c>
      <c r="D28" s="507" t="s">
        <v>771</v>
      </c>
      <c r="E28" s="508" t="s">
        <v>563</v>
      </c>
      <c r="F28" s="506" t="s">
        <v>558</v>
      </c>
      <c r="G28" s="506" t="s">
        <v>646</v>
      </c>
      <c r="H28" s="506" t="s">
        <v>427</v>
      </c>
      <c r="I28" s="506" t="s">
        <v>647</v>
      </c>
      <c r="J28" s="506" t="s">
        <v>648</v>
      </c>
      <c r="K28" s="506" t="s">
        <v>649</v>
      </c>
      <c r="L28" s="509">
        <v>0</v>
      </c>
      <c r="M28" s="509">
        <v>0</v>
      </c>
      <c r="N28" s="506">
        <v>2</v>
      </c>
      <c r="O28" s="510">
        <v>2</v>
      </c>
      <c r="P28" s="509">
        <v>0</v>
      </c>
      <c r="Q28" s="511"/>
      <c r="R28" s="506">
        <v>1</v>
      </c>
      <c r="S28" s="511">
        <v>0.5</v>
      </c>
      <c r="T28" s="510">
        <v>1</v>
      </c>
      <c r="U28" s="512">
        <v>0.5</v>
      </c>
    </row>
    <row r="29" spans="1:21" ht="14.4" customHeight="1" x14ac:dyDescent="0.3">
      <c r="A29" s="505">
        <v>19</v>
      </c>
      <c r="B29" s="506" t="s">
        <v>426</v>
      </c>
      <c r="C29" s="506">
        <v>89301192</v>
      </c>
      <c r="D29" s="507" t="s">
        <v>771</v>
      </c>
      <c r="E29" s="508" t="s">
        <v>563</v>
      </c>
      <c r="F29" s="506" t="s">
        <v>558</v>
      </c>
      <c r="G29" s="506" t="s">
        <v>650</v>
      </c>
      <c r="H29" s="506" t="s">
        <v>427</v>
      </c>
      <c r="I29" s="506" t="s">
        <v>651</v>
      </c>
      <c r="J29" s="506" t="s">
        <v>652</v>
      </c>
      <c r="K29" s="506" t="s">
        <v>653</v>
      </c>
      <c r="L29" s="509">
        <v>134.86000000000001</v>
      </c>
      <c r="M29" s="509">
        <v>134.86000000000001</v>
      </c>
      <c r="N29" s="506">
        <v>1</v>
      </c>
      <c r="O29" s="510">
        <v>0.5</v>
      </c>
      <c r="P29" s="509"/>
      <c r="Q29" s="511">
        <v>0</v>
      </c>
      <c r="R29" s="506"/>
      <c r="S29" s="511">
        <v>0</v>
      </c>
      <c r="T29" s="510"/>
      <c r="U29" s="512">
        <v>0</v>
      </c>
    </row>
    <row r="30" spans="1:21" ht="14.4" customHeight="1" x14ac:dyDescent="0.3">
      <c r="A30" s="505">
        <v>19</v>
      </c>
      <c r="B30" s="506" t="s">
        <v>426</v>
      </c>
      <c r="C30" s="506">
        <v>89301192</v>
      </c>
      <c r="D30" s="507" t="s">
        <v>771</v>
      </c>
      <c r="E30" s="508" t="s">
        <v>563</v>
      </c>
      <c r="F30" s="506" t="s">
        <v>558</v>
      </c>
      <c r="G30" s="506" t="s">
        <v>650</v>
      </c>
      <c r="H30" s="506" t="s">
        <v>427</v>
      </c>
      <c r="I30" s="506" t="s">
        <v>654</v>
      </c>
      <c r="J30" s="506" t="s">
        <v>652</v>
      </c>
      <c r="K30" s="506" t="s">
        <v>655</v>
      </c>
      <c r="L30" s="509">
        <v>47.94</v>
      </c>
      <c r="M30" s="509">
        <v>95.88</v>
      </c>
      <c r="N30" s="506">
        <v>2</v>
      </c>
      <c r="O30" s="510">
        <v>0.5</v>
      </c>
      <c r="P30" s="509"/>
      <c r="Q30" s="511">
        <v>0</v>
      </c>
      <c r="R30" s="506"/>
      <c r="S30" s="511">
        <v>0</v>
      </c>
      <c r="T30" s="510"/>
      <c r="U30" s="512">
        <v>0</v>
      </c>
    </row>
    <row r="31" spans="1:21" ht="14.4" customHeight="1" x14ac:dyDescent="0.3">
      <c r="A31" s="505">
        <v>19</v>
      </c>
      <c r="B31" s="506" t="s">
        <v>426</v>
      </c>
      <c r="C31" s="506">
        <v>89301192</v>
      </c>
      <c r="D31" s="507" t="s">
        <v>771</v>
      </c>
      <c r="E31" s="508" t="s">
        <v>563</v>
      </c>
      <c r="F31" s="506" t="s">
        <v>558</v>
      </c>
      <c r="G31" s="506" t="s">
        <v>579</v>
      </c>
      <c r="H31" s="506" t="s">
        <v>427</v>
      </c>
      <c r="I31" s="506" t="s">
        <v>580</v>
      </c>
      <c r="J31" s="506" t="s">
        <v>581</v>
      </c>
      <c r="K31" s="506" t="s">
        <v>582</v>
      </c>
      <c r="L31" s="509">
        <v>50.27</v>
      </c>
      <c r="M31" s="509">
        <v>50.27</v>
      </c>
      <c r="N31" s="506">
        <v>1</v>
      </c>
      <c r="O31" s="510">
        <v>1</v>
      </c>
      <c r="P31" s="509">
        <v>50.27</v>
      </c>
      <c r="Q31" s="511">
        <v>1</v>
      </c>
      <c r="R31" s="506">
        <v>1</v>
      </c>
      <c r="S31" s="511">
        <v>1</v>
      </c>
      <c r="T31" s="510">
        <v>1</v>
      </c>
      <c r="U31" s="512">
        <v>1</v>
      </c>
    </row>
    <row r="32" spans="1:21" ht="14.4" customHeight="1" x14ac:dyDescent="0.3">
      <c r="A32" s="505">
        <v>19</v>
      </c>
      <c r="B32" s="506" t="s">
        <v>426</v>
      </c>
      <c r="C32" s="506">
        <v>89301192</v>
      </c>
      <c r="D32" s="507" t="s">
        <v>771</v>
      </c>
      <c r="E32" s="508" t="s">
        <v>563</v>
      </c>
      <c r="F32" s="506" t="s">
        <v>558</v>
      </c>
      <c r="G32" s="506" t="s">
        <v>656</v>
      </c>
      <c r="H32" s="506" t="s">
        <v>500</v>
      </c>
      <c r="I32" s="506" t="s">
        <v>657</v>
      </c>
      <c r="J32" s="506" t="s">
        <v>658</v>
      </c>
      <c r="K32" s="506" t="s">
        <v>659</v>
      </c>
      <c r="L32" s="509">
        <v>71.86</v>
      </c>
      <c r="M32" s="509">
        <v>143.72</v>
      </c>
      <c r="N32" s="506">
        <v>2</v>
      </c>
      <c r="O32" s="510">
        <v>0.5</v>
      </c>
      <c r="P32" s="509"/>
      <c r="Q32" s="511">
        <v>0</v>
      </c>
      <c r="R32" s="506"/>
      <c r="S32" s="511">
        <v>0</v>
      </c>
      <c r="T32" s="510"/>
      <c r="U32" s="512">
        <v>0</v>
      </c>
    </row>
    <row r="33" spans="1:21" ht="14.4" customHeight="1" x14ac:dyDescent="0.3">
      <c r="A33" s="505">
        <v>19</v>
      </c>
      <c r="B33" s="506" t="s">
        <v>426</v>
      </c>
      <c r="C33" s="506">
        <v>89301192</v>
      </c>
      <c r="D33" s="507" t="s">
        <v>771</v>
      </c>
      <c r="E33" s="508" t="s">
        <v>563</v>
      </c>
      <c r="F33" s="506" t="s">
        <v>558</v>
      </c>
      <c r="G33" s="506" t="s">
        <v>656</v>
      </c>
      <c r="H33" s="506" t="s">
        <v>500</v>
      </c>
      <c r="I33" s="506" t="s">
        <v>660</v>
      </c>
      <c r="J33" s="506" t="s">
        <v>658</v>
      </c>
      <c r="K33" s="506" t="s">
        <v>661</v>
      </c>
      <c r="L33" s="509">
        <v>0</v>
      </c>
      <c r="M33" s="509">
        <v>0</v>
      </c>
      <c r="N33" s="506">
        <v>1</v>
      </c>
      <c r="O33" s="510">
        <v>0.5</v>
      </c>
      <c r="P33" s="509"/>
      <c r="Q33" s="511"/>
      <c r="R33" s="506"/>
      <c r="S33" s="511">
        <v>0</v>
      </c>
      <c r="T33" s="510"/>
      <c r="U33" s="512">
        <v>0</v>
      </c>
    </row>
    <row r="34" spans="1:21" ht="14.4" customHeight="1" x14ac:dyDescent="0.3">
      <c r="A34" s="505">
        <v>19</v>
      </c>
      <c r="B34" s="506" t="s">
        <v>426</v>
      </c>
      <c r="C34" s="506">
        <v>89301192</v>
      </c>
      <c r="D34" s="507" t="s">
        <v>771</v>
      </c>
      <c r="E34" s="508" t="s">
        <v>563</v>
      </c>
      <c r="F34" s="506" t="s">
        <v>558</v>
      </c>
      <c r="G34" s="506" t="s">
        <v>599</v>
      </c>
      <c r="H34" s="506" t="s">
        <v>500</v>
      </c>
      <c r="I34" s="506" t="s">
        <v>600</v>
      </c>
      <c r="J34" s="506" t="s">
        <v>601</v>
      </c>
      <c r="K34" s="506" t="s">
        <v>602</v>
      </c>
      <c r="L34" s="509">
        <v>96.63</v>
      </c>
      <c r="M34" s="509">
        <v>193.26</v>
      </c>
      <c r="N34" s="506">
        <v>2</v>
      </c>
      <c r="O34" s="510">
        <v>1.5</v>
      </c>
      <c r="P34" s="509">
        <v>96.63</v>
      </c>
      <c r="Q34" s="511">
        <v>0.5</v>
      </c>
      <c r="R34" s="506">
        <v>1</v>
      </c>
      <c r="S34" s="511">
        <v>0.5</v>
      </c>
      <c r="T34" s="510">
        <v>1</v>
      </c>
      <c r="U34" s="512">
        <v>0.66666666666666663</v>
      </c>
    </row>
    <row r="35" spans="1:21" ht="14.4" customHeight="1" x14ac:dyDescent="0.3">
      <c r="A35" s="505">
        <v>19</v>
      </c>
      <c r="B35" s="506" t="s">
        <v>426</v>
      </c>
      <c r="C35" s="506">
        <v>89301192</v>
      </c>
      <c r="D35" s="507" t="s">
        <v>771</v>
      </c>
      <c r="E35" s="508" t="s">
        <v>563</v>
      </c>
      <c r="F35" s="506" t="s">
        <v>558</v>
      </c>
      <c r="G35" s="506" t="s">
        <v>662</v>
      </c>
      <c r="H35" s="506" t="s">
        <v>427</v>
      </c>
      <c r="I35" s="506" t="s">
        <v>663</v>
      </c>
      <c r="J35" s="506" t="s">
        <v>664</v>
      </c>
      <c r="K35" s="506" t="s">
        <v>665</v>
      </c>
      <c r="L35" s="509">
        <v>113.37</v>
      </c>
      <c r="M35" s="509">
        <v>113.37</v>
      </c>
      <c r="N35" s="506">
        <v>1</v>
      </c>
      <c r="O35" s="510">
        <v>1</v>
      </c>
      <c r="P35" s="509"/>
      <c r="Q35" s="511">
        <v>0</v>
      </c>
      <c r="R35" s="506"/>
      <c r="S35" s="511">
        <v>0</v>
      </c>
      <c r="T35" s="510"/>
      <c r="U35" s="512">
        <v>0</v>
      </c>
    </row>
    <row r="36" spans="1:21" ht="14.4" customHeight="1" x14ac:dyDescent="0.3">
      <c r="A36" s="505">
        <v>19</v>
      </c>
      <c r="B36" s="506" t="s">
        <v>426</v>
      </c>
      <c r="C36" s="506">
        <v>89301192</v>
      </c>
      <c r="D36" s="507" t="s">
        <v>771</v>
      </c>
      <c r="E36" s="508" t="s">
        <v>563</v>
      </c>
      <c r="F36" s="506" t="s">
        <v>558</v>
      </c>
      <c r="G36" s="506" t="s">
        <v>666</v>
      </c>
      <c r="H36" s="506" t="s">
        <v>427</v>
      </c>
      <c r="I36" s="506" t="s">
        <v>667</v>
      </c>
      <c r="J36" s="506" t="s">
        <v>668</v>
      </c>
      <c r="K36" s="506" t="s">
        <v>669</v>
      </c>
      <c r="L36" s="509">
        <v>126.54</v>
      </c>
      <c r="M36" s="509">
        <v>253.08</v>
      </c>
      <c r="N36" s="506">
        <v>2</v>
      </c>
      <c r="O36" s="510">
        <v>1</v>
      </c>
      <c r="P36" s="509"/>
      <c r="Q36" s="511">
        <v>0</v>
      </c>
      <c r="R36" s="506"/>
      <c r="S36" s="511">
        <v>0</v>
      </c>
      <c r="T36" s="510"/>
      <c r="U36" s="512">
        <v>0</v>
      </c>
    </row>
    <row r="37" spans="1:21" ht="14.4" customHeight="1" x14ac:dyDescent="0.3">
      <c r="A37" s="505">
        <v>19</v>
      </c>
      <c r="B37" s="506" t="s">
        <v>426</v>
      </c>
      <c r="C37" s="506">
        <v>89301192</v>
      </c>
      <c r="D37" s="507" t="s">
        <v>771</v>
      </c>
      <c r="E37" s="508" t="s">
        <v>563</v>
      </c>
      <c r="F37" s="506" t="s">
        <v>558</v>
      </c>
      <c r="G37" s="506" t="s">
        <v>614</v>
      </c>
      <c r="H37" s="506" t="s">
        <v>427</v>
      </c>
      <c r="I37" s="506" t="s">
        <v>615</v>
      </c>
      <c r="J37" s="506" t="s">
        <v>616</v>
      </c>
      <c r="K37" s="506" t="s">
        <v>617</v>
      </c>
      <c r="L37" s="509">
        <v>203.33</v>
      </c>
      <c r="M37" s="509">
        <v>406.66</v>
      </c>
      <c r="N37" s="506">
        <v>2</v>
      </c>
      <c r="O37" s="510">
        <v>1.5</v>
      </c>
      <c r="P37" s="509">
        <v>406.66</v>
      </c>
      <c r="Q37" s="511">
        <v>1</v>
      </c>
      <c r="R37" s="506">
        <v>2</v>
      </c>
      <c r="S37" s="511">
        <v>1</v>
      </c>
      <c r="T37" s="510">
        <v>1.5</v>
      </c>
      <c r="U37" s="512">
        <v>1</v>
      </c>
    </row>
    <row r="38" spans="1:21" ht="14.4" customHeight="1" x14ac:dyDescent="0.3">
      <c r="A38" s="505">
        <v>19</v>
      </c>
      <c r="B38" s="506" t="s">
        <v>426</v>
      </c>
      <c r="C38" s="506">
        <v>89301192</v>
      </c>
      <c r="D38" s="507" t="s">
        <v>771</v>
      </c>
      <c r="E38" s="508" t="s">
        <v>563</v>
      </c>
      <c r="F38" s="506" t="s">
        <v>558</v>
      </c>
      <c r="G38" s="506" t="s">
        <v>670</v>
      </c>
      <c r="H38" s="506" t="s">
        <v>427</v>
      </c>
      <c r="I38" s="506" t="s">
        <v>671</v>
      </c>
      <c r="J38" s="506" t="s">
        <v>672</v>
      </c>
      <c r="K38" s="506" t="s">
        <v>673</v>
      </c>
      <c r="L38" s="509">
        <v>472.71</v>
      </c>
      <c r="M38" s="509">
        <v>472.71</v>
      </c>
      <c r="N38" s="506">
        <v>1</v>
      </c>
      <c r="O38" s="510">
        <v>0.5</v>
      </c>
      <c r="P38" s="509"/>
      <c r="Q38" s="511">
        <v>0</v>
      </c>
      <c r="R38" s="506"/>
      <c r="S38" s="511">
        <v>0</v>
      </c>
      <c r="T38" s="510"/>
      <c r="U38" s="512">
        <v>0</v>
      </c>
    </row>
    <row r="39" spans="1:21" ht="14.4" customHeight="1" x14ac:dyDescent="0.3">
      <c r="A39" s="505">
        <v>19</v>
      </c>
      <c r="B39" s="506" t="s">
        <v>426</v>
      </c>
      <c r="C39" s="506">
        <v>89301192</v>
      </c>
      <c r="D39" s="507" t="s">
        <v>771</v>
      </c>
      <c r="E39" s="508" t="s">
        <v>563</v>
      </c>
      <c r="F39" s="506" t="s">
        <v>558</v>
      </c>
      <c r="G39" s="506" t="s">
        <v>674</v>
      </c>
      <c r="H39" s="506" t="s">
        <v>427</v>
      </c>
      <c r="I39" s="506" t="s">
        <v>675</v>
      </c>
      <c r="J39" s="506" t="s">
        <v>676</v>
      </c>
      <c r="K39" s="506" t="s">
        <v>677</v>
      </c>
      <c r="L39" s="509">
        <v>0</v>
      </c>
      <c r="M39" s="509">
        <v>0</v>
      </c>
      <c r="N39" s="506">
        <v>2</v>
      </c>
      <c r="O39" s="510">
        <v>1</v>
      </c>
      <c r="P39" s="509"/>
      <c r="Q39" s="511"/>
      <c r="R39" s="506"/>
      <c r="S39" s="511">
        <v>0</v>
      </c>
      <c r="T39" s="510"/>
      <c r="U39" s="512">
        <v>0</v>
      </c>
    </row>
    <row r="40" spans="1:21" ht="14.4" customHeight="1" x14ac:dyDescent="0.3">
      <c r="A40" s="505">
        <v>19</v>
      </c>
      <c r="B40" s="506" t="s">
        <v>426</v>
      </c>
      <c r="C40" s="506">
        <v>89301192</v>
      </c>
      <c r="D40" s="507" t="s">
        <v>771</v>
      </c>
      <c r="E40" s="508" t="s">
        <v>564</v>
      </c>
      <c r="F40" s="506" t="s">
        <v>558</v>
      </c>
      <c r="G40" s="506" t="s">
        <v>678</v>
      </c>
      <c r="H40" s="506" t="s">
        <v>500</v>
      </c>
      <c r="I40" s="506" t="s">
        <v>679</v>
      </c>
      <c r="J40" s="506" t="s">
        <v>680</v>
      </c>
      <c r="K40" s="506" t="s">
        <v>681</v>
      </c>
      <c r="L40" s="509">
        <v>201.88</v>
      </c>
      <c r="M40" s="509">
        <v>605.64</v>
      </c>
      <c r="N40" s="506">
        <v>3</v>
      </c>
      <c r="O40" s="510">
        <v>1</v>
      </c>
      <c r="P40" s="509">
        <v>605.64</v>
      </c>
      <c r="Q40" s="511">
        <v>1</v>
      </c>
      <c r="R40" s="506">
        <v>3</v>
      </c>
      <c r="S40" s="511">
        <v>1</v>
      </c>
      <c r="T40" s="510">
        <v>1</v>
      </c>
      <c r="U40" s="512">
        <v>1</v>
      </c>
    </row>
    <row r="41" spans="1:21" ht="14.4" customHeight="1" x14ac:dyDescent="0.3">
      <c r="A41" s="505">
        <v>19</v>
      </c>
      <c r="B41" s="506" t="s">
        <v>426</v>
      </c>
      <c r="C41" s="506">
        <v>89301192</v>
      </c>
      <c r="D41" s="507" t="s">
        <v>771</v>
      </c>
      <c r="E41" s="508" t="s">
        <v>564</v>
      </c>
      <c r="F41" s="506" t="s">
        <v>558</v>
      </c>
      <c r="G41" s="506" t="s">
        <v>682</v>
      </c>
      <c r="H41" s="506" t="s">
        <v>427</v>
      </c>
      <c r="I41" s="506" t="s">
        <v>683</v>
      </c>
      <c r="J41" s="506" t="s">
        <v>684</v>
      </c>
      <c r="K41" s="506" t="s">
        <v>685</v>
      </c>
      <c r="L41" s="509">
        <v>0</v>
      </c>
      <c r="M41" s="509">
        <v>0</v>
      </c>
      <c r="N41" s="506">
        <v>1</v>
      </c>
      <c r="O41" s="510">
        <v>0.5</v>
      </c>
      <c r="P41" s="509">
        <v>0</v>
      </c>
      <c r="Q41" s="511"/>
      <c r="R41" s="506">
        <v>1</v>
      </c>
      <c r="S41" s="511">
        <v>1</v>
      </c>
      <c r="T41" s="510">
        <v>0.5</v>
      </c>
      <c r="U41" s="512">
        <v>1</v>
      </c>
    </row>
    <row r="42" spans="1:21" ht="14.4" customHeight="1" x14ac:dyDescent="0.3">
      <c r="A42" s="505">
        <v>19</v>
      </c>
      <c r="B42" s="506" t="s">
        <v>426</v>
      </c>
      <c r="C42" s="506">
        <v>89301192</v>
      </c>
      <c r="D42" s="507" t="s">
        <v>771</v>
      </c>
      <c r="E42" s="508" t="s">
        <v>564</v>
      </c>
      <c r="F42" s="506" t="s">
        <v>558</v>
      </c>
      <c r="G42" s="506" t="s">
        <v>686</v>
      </c>
      <c r="H42" s="506" t="s">
        <v>427</v>
      </c>
      <c r="I42" s="506" t="s">
        <v>687</v>
      </c>
      <c r="J42" s="506" t="s">
        <v>688</v>
      </c>
      <c r="K42" s="506"/>
      <c r="L42" s="509">
        <v>0</v>
      </c>
      <c r="M42" s="509">
        <v>0</v>
      </c>
      <c r="N42" s="506">
        <v>1</v>
      </c>
      <c r="O42" s="510">
        <v>1</v>
      </c>
      <c r="P42" s="509">
        <v>0</v>
      </c>
      <c r="Q42" s="511"/>
      <c r="R42" s="506">
        <v>1</v>
      </c>
      <c r="S42" s="511">
        <v>1</v>
      </c>
      <c r="T42" s="510">
        <v>1</v>
      </c>
      <c r="U42" s="512">
        <v>1</v>
      </c>
    </row>
    <row r="43" spans="1:21" ht="14.4" customHeight="1" x14ac:dyDescent="0.3">
      <c r="A43" s="505">
        <v>19</v>
      </c>
      <c r="B43" s="506" t="s">
        <v>426</v>
      </c>
      <c r="C43" s="506">
        <v>89301192</v>
      </c>
      <c r="D43" s="507" t="s">
        <v>771</v>
      </c>
      <c r="E43" s="508" t="s">
        <v>564</v>
      </c>
      <c r="F43" s="506" t="s">
        <v>558</v>
      </c>
      <c r="G43" s="506" t="s">
        <v>689</v>
      </c>
      <c r="H43" s="506" t="s">
        <v>500</v>
      </c>
      <c r="I43" s="506" t="s">
        <v>690</v>
      </c>
      <c r="J43" s="506" t="s">
        <v>691</v>
      </c>
      <c r="K43" s="506" t="s">
        <v>692</v>
      </c>
      <c r="L43" s="509">
        <v>116.8</v>
      </c>
      <c r="M43" s="509">
        <v>116.8</v>
      </c>
      <c r="N43" s="506">
        <v>1</v>
      </c>
      <c r="O43" s="510">
        <v>0.5</v>
      </c>
      <c r="P43" s="509">
        <v>116.8</v>
      </c>
      <c r="Q43" s="511">
        <v>1</v>
      </c>
      <c r="R43" s="506">
        <v>1</v>
      </c>
      <c r="S43" s="511">
        <v>1</v>
      </c>
      <c r="T43" s="510">
        <v>0.5</v>
      </c>
      <c r="U43" s="512">
        <v>1</v>
      </c>
    </row>
    <row r="44" spans="1:21" ht="14.4" customHeight="1" x14ac:dyDescent="0.3">
      <c r="A44" s="505">
        <v>19</v>
      </c>
      <c r="B44" s="506" t="s">
        <v>426</v>
      </c>
      <c r="C44" s="506">
        <v>89301192</v>
      </c>
      <c r="D44" s="507" t="s">
        <v>771</v>
      </c>
      <c r="E44" s="508" t="s">
        <v>564</v>
      </c>
      <c r="F44" s="506" t="s">
        <v>558</v>
      </c>
      <c r="G44" s="506" t="s">
        <v>693</v>
      </c>
      <c r="H44" s="506" t="s">
        <v>427</v>
      </c>
      <c r="I44" s="506" t="s">
        <v>687</v>
      </c>
      <c r="J44" s="506" t="s">
        <v>694</v>
      </c>
      <c r="K44" s="506" t="s">
        <v>695</v>
      </c>
      <c r="L44" s="509">
        <v>0</v>
      </c>
      <c r="M44" s="509">
        <v>0</v>
      </c>
      <c r="N44" s="506">
        <v>1</v>
      </c>
      <c r="O44" s="510">
        <v>0.5</v>
      </c>
      <c r="P44" s="509">
        <v>0</v>
      </c>
      <c r="Q44" s="511"/>
      <c r="R44" s="506">
        <v>1</v>
      </c>
      <c r="S44" s="511">
        <v>1</v>
      </c>
      <c r="T44" s="510">
        <v>0.5</v>
      </c>
      <c r="U44" s="512">
        <v>1</v>
      </c>
    </row>
    <row r="45" spans="1:21" ht="14.4" customHeight="1" x14ac:dyDescent="0.3">
      <c r="A45" s="505">
        <v>19</v>
      </c>
      <c r="B45" s="506" t="s">
        <v>426</v>
      </c>
      <c r="C45" s="506">
        <v>89301192</v>
      </c>
      <c r="D45" s="507" t="s">
        <v>771</v>
      </c>
      <c r="E45" s="508" t="s">
        <v>564</v>
      </c>
      <c r="F45" s="506" t="s">
        <v>558</v>
      </c>
      <c r="G45" s="506" t="s">
        <v>696</v>
      </c>
      <c r="H45" s="506" t="s">
        <v>500</v>
      </c>
      <c r="I45" s="506" t="s">
        <v>697</v>
      </c>
      <c r="J45" s="506" t="s">
        <v>698</v>
      </c>
      <c r="K45" s="506" t="s">
        <v>699</v>
      </c>
      <c r="L45" s="509">
        <v>50.57</v>
      </c>
      <c r="M45" s="509">
        <v>151.71</v>
      </c>
      <c r="N45" s="506">
        <v>3</v>
      </c>
      <c r="O45" s="510">
        <v>1.5</v>
      </c>
      <c r="P45" s="509">
        <v>151.71</v>
      </c>
      <c r="Q45" s="511">
        <v>1</v>
      </c>
      <c r="R45" s="506">
        <v>3</v>
      </c>
      <c r="S45" s="511">
        <v>1</v>
      </c>
      <c r="T45" s="510">
        <v>1.5</v>
      </c>
      <c r="U45" s="512">
        <v>1</v>
      </c>
    </row>
    <row r="46" spans="1:21" ht="14.4" customHeight="1" x14ac:dyDescent="0.3">
      <c r="A46" s="505">
        <v>19</v>
      </c>
      <c r="B46" s="506" t="s">
        <v>426</v>
      </c>
      <c r="C46" s="506">
        <v>89301192</v>
      </c>
      <c r="D46" s="507" t="s">
        <v>771</v>
      </c>
      <c r="E46" s="508" t="s">
        <v>564</v>
      </c>
      <c r="F46" s="506" t="s">
        <v>558</v>
      </c>
      <c r="G46" s="506" t="s">
        <v>700</v>
      </c>
      <c r="H46" s="506" t="s">
        <v>427</v>
      </c>
      <c r="I46" s="506" t="s">
        <v>701</v>
      </c>
      <c r="J46" s="506" t="s">
        <v>702</v>
      </c>
      <c r="K46" s="506" t="s">
        <v>703</v>
      </c>
      <c r="L46" s="509">
        <v>0</v>
      </c>
      <c r="M46" s="509">
        <v>0</v>
      </c>
      <c r="N46" s="506">
        <v>1</v>
      </c>
      <c r="O46" s="510">
        <v>1</v>
      </c>
      <c r="P46" s="509">
        <v>0</v>
      </c>
      <c r="Q46" s="511"/>
      <c r="R46" s="506">
        <v>1</v>
      </c>
      <c r="S46" s="511">
        <v>1</v>
      </c>
      <c r="T46" s="510">
        <v>1</v>
      </c>
      <c r="U46" s="512">
        <v>1</v>
      </c>
    </row>
    <row r="47" spans="1:21" ht="14.4" customHeight="1" x14ac:dyDescent="0.3">
      <c r="A47" s="505">
        <v>19</v>
      </c>
      <c r="B47" s="506" t="s">
        <v>426</v>
      </c>
      <c r="C47" s="506">
        <v>89301192</v>
      </c>
      <c r="D47" s="507" t="s">
        <v>771</v>
      </c>
      <c r="E47" s="508" t="s">
        <v>564</v>
      </c>
      <c r="F47" s="506" t="s">
        <v>558</v>
      </c>
      <c r="G47" s="506" t="s">
        <v>666</v>
      </c>
      <c r="H47" s="506" t="s">
        <v>427</v>
      </c>
      <c r="I47" s="506" t="s">
        <v>667</v>
      </c>
      <c r="J47" s="506" t="s">
        <v>668</v>
      </c>
      <c r="K47" s="506" t="s">
        <v>669</v>
      </c>
      <c r="L47" s="509">
        <v>126.54</v>
      </c>
      <c r="M47" s="509">
        <v>253.08</v>
      </c>
      <c r="N47" s="506">
        <v>2</v>
      </c>
      <c r="O47" s="510">
        <v>0.5</v>
      </c>
      <c r="P47" s="509">
        <v>253.08</v>
      </c>
      <c r="Q47" s="511">
        <v>1</v>
      </c>
      <c r="R47" s="506">
        <v>2</v>
      </c>
      <c r="S47" s="511">
        <v>1</v>
      </c>
      <c r="T47" s="510">
        <v>0.5</v>
      </c>
      <c r="U47" s="512">
        <v>1</v>
      </c>
    </row>
    <row r="48" spans="1:21" ht="14.4" customHeight="1" x14ac:dyDescent="0.3">
      <c r="A48" s="505">
        <v>19</v>
      </c>
      <c r="B48" s="506" t="s">
        <v>426</v>
      </c>
      <c r="C48" s="506">
        <v>89301192</v>
      </c>
      <c r="D48" s="507" t="s">
        <v>771</v>
      </c>
      <c r="E48" s="508" t="s">
        <v>564</v>
      </c>
      <c r="F48" s="506" t="s">
        <v>558</v>
      </c>
      <c r="G48" s="506" t="s">
        <v>704</v>
      </c>
      <c r="H48" s="506" t="s">
        <v>427</v>
      </c>
      <c r="I48" s="506" t="s">
        <v>705</v>
      </c>
      <c r="J48" s="506" t="s">
        <v>706</v>
      </c>
      <c r="K48" s="506" t="s">
        <v>707</v>
      </c>
      <c r="L48" s="509">
        <v>323.43</v>
      </c>
      <c r="M48" s="509">
        <v>323.43</v>
      </c>
      <c r="N48" s="506">
        <v>1</v>
      </c>
      <c r="O48" s="510">
        <v>0.5</v>
      </c>
      <c r="P48" s="509">
        <v>323.43</v>
      </c>
      <c r="Q48" s="511">
        <v>1</v>
      </c>
      <c r="R48" s="506">
        <v>1</v>
      </c>
      <c r="S48" s="511">
        <v>1</v>
      </c>
      <c r="T48" s="510">
        <v>0.5</v>
      </c>
      <c r="U48" s="512">
        <v>1</v>
      </c>
    </row>
    <row r="49" spans="1:21" ht="14.4" customHeight="1" x14ac:dyDescent="0.3">
      <c r="A49" s="505">
        <v>19</v>
      </c>
      <c r="B49" s="506" t="s">
        <v>426</v>
      </c>
      <c r="C49" s="506">
        <v>89301192</v>
      </c>
      <c r="D49" s="507" t="s">
        <v>771</v>
      </c>
      <c r="E49" s="508" t="s">
        <v>564</v>
      </c>
      <c r="F49" s="506" t="s">
        <v>558</v>
      </c>
      <c r="G49" s="506" t="s">
        <v>674</v>
      </c>
      <c r="H49" s="506" t="s">
        <v>427</v>
      </c>
      <c r="I49" s="506" t="s">
        <v>708</v>
      </c>
      <c r="J49" s="506" t="s">
        <v>709</v>
      </c>
      <c r="K49" s="506" t="s">
        <v>710</v>
      </c>
      <c r="L49" s="509">
        <v>0</v>
      </c>
      <c r="M49" s="509">
        <v>0</v>
      </c>
      <c r="N49" s="506">
        <v>2</v>
      </c>
      <c r="O49" s="510">
        <v>1</v>
      </c>
      <c r="P49" s="509"/>
      <c r="Q49" s="511"/>
      <c r="R49" s="506"/>
      <c r="S49" s="511">
        <v>0</v>
      </c>
      <c r="T49" s="510"/>
      <c r="U49" s="512">
        <v>0</v>
      </c>
    </row>
    <row r="50" spans="1:21" ht="14.4" customHeight="1" x14ac:dyDescent="0.3">
      <c r="A50" s="505">
        <v>19</v>
      </c>
      <c r="B50" s="506" t="s">
        <v>426</v>
      </c>
      <c r="C50" s="506">
        <v>89301192</v>
      </c>
      <c r="D50" s="507" t="s">
        <v>771</v>
      </c>
      <c r="E50" s="508" t="s">
        <v>564</v>
      </c>
      <c r="F50" s="506" t="s">
        <v>558</v>
      </c>
      <c r="G50" s="506" t="s">
        <v>674</v>
      </c>
      <c r="H50" s="506" t="s">
        <v>427</v>
      </c>
      <c r="I50" s="506" t="s">
        <v>675</v>
      </c>
      <c r="J50" s="506" t="s">
        <v>676</v>
      </c>
      <c r="K50" s="506" t="s">
        <v>677</v>
      </c>
      <c r="L50" s="509">
        <v>0</v>
      </c>
      <c r="M50" s="509">
        <v>0</v>
      </c>
      <c r="N50" s="506">
        <v>2</v>
      </c>
      <c r="O50" s="510">
        <v>1</v>
      </c>
      <c r="P50" s="509"/>
      <c r="Q50" s="511"/>
      <c r="R50" s="506"/>
      <c r="S50" s="511">
        <v>0</v>
      </c>
      <c r="T50" s="510"/>
      <c r="U50" s="512">
        <v>0</v>
      </c>
    </row>
    <row r="51" spans="1:21" ht="14.4" customHeight="1" x14ac:dyDescent="0.3">
      <c r="A51" s="505">
        <v>19</v>
      </c>
      <c r="B51" s="506" t="s">
        <v>426</v>
      </c>
      <c r="C51" s="506">
        <v>89301192</v>
      </c>
      <c r="D51" s="507" t="s">
        <v>771</v>
      </c>
      <c r="E51" s="508" t="s">
        <v>565</v>
      </c>
      <c r="F51" s="506" t="s">
        <v>558</v>
      </c>
      <c r="G51" s="506" t="s">
        <v>642</v>
      </c>
      <c r="H51" s="506" t="s">
        <v>427</v>
      </c>
      <c r="I51" s="506" t="s">
        <v>711</v>
      </c>
      <c r="J51" s="506" t="s">
        <v>712</v>
      </c>
      <c r="K51" s="506" t="s">
        <v>713</v>
      </c>
      <c r="L51" s="509">
        <v>188.41</v>
      </c>
      <c r="M51" s="509">
        <v>565.23</v>
      </c>
      <c r="N51" s="506">
        <v>3</v>
      </c>
      <c r="O51" s="510">
        <v>0.5</v>
      </c>
      <c r="P51" s="509"/>
      <c r="Q51" s="511">
        <v>0</v>
      </c>
      <c r="R51" s="506"/>
      <c r="S51" s="511">
        <v>0</v>
      </c>
      <c r="T51" s="510"/>
      <c r="U51" s="512">
        <v>0</v>
      </c>
    </row>
    <row r="52" spans="1:21" ht="14.4" customHeight="1" x14ac:dyDescent="0.3">
      <c r="A52" s="505">
        <v>19</v>
      </c>
      <c r="B52" s="506" t="s">
        <v>426</v>
      </c>
      <c r="C52" s="506">
        <v>89301192</v>
      </c>
      <c r="D52" s="507" t="s">
        <v>771</v>
      </c>
      <c r="E52" s="508" t="s">
        <v>565</v>
      </c>
      <c r="F52" s="506" t="s">
        <v>558</v>
      </c>
      <c r="G52" s="506" t="s">
        <v>642</v>
      </c>
      <c r="H52" s="506" t="s">
        <v>427</v>
      </c>
      <c r="I52" s="506" t="s">
        <v>714</v>
      </c>
      <c r="J52" s="506" t="s">
        <v>712</v>
      </c>
      <c r="K52" s="506" t="s">
        <v>715</v>
      </c>
      <c r="L52" s="509">
        <v>376.81</v>
      </c>
      <c r="M52" s="509">
        <v>376.81</v>
      </c>
      <c r="N52" s="506">
        <v>1</v>
      </c>
      <c r="O52" s="510">
        <v>0.5</v>
      </c>
      <c r="P52" s="509"/>
      <c r="Q52" s="511">
        <v>0</v>
      </c>
      <c r="R52" s="506"/>
      <c r="S52" s="511">
        <v>0</v>
      </c>
      <c r="T52" s="510"/>
      <c r="U52" s="512">
        <v>0</v>
      </c>
    </row>
    <row r="53" spans="1:21" ht="14.4" customHeight="1" x14ac:dyDescent="0.3">
      <c r="A53" s="505">
        <v>19</v>
      </c>
      <c r="B53" s="506" t="s">
        <v>426</v>
      </c>
      <c r="C53" s="506">
        <v>89301192</v>
      </c>
      <c r="D53" s="507" t="s">
        <v>771</v>
      </c>
      <c r="E53" s="508" t="s">
        <v>565</v>
      </c>
      <c r="F53" s="506" t="s">
        <v>558</v>
      </c>
      <c r="G53" s="506" t="s">
        <v>579</v>
      </c>
      <c r="H53" s="506" t="s">
        <v>427</v>
      </c>
      <c r="I53" s="506" t="s">
        <v>580</v>
      </c>
      <c r="J53" s="506" t="s">
        <v>581</v>
      </c>
      <c r="K53" s="506" t="s">
        <v>582</v>
      </c>
      <c r="L53" s="509">
        <v>50.27</v>
      </c>
      <c r="M53" s="509">
        <v>50.27</v>
      </c>
      <c r="N53" s="506">
        <v>1</v>
      </c>
      <c r="O53" s="510">
        <v>0.5</v>
      </c>
      <c r="P53" s="509">
        <v>50.27</v>
      </c>
      <c r="Q53" s="511">
        <v>1</v>
      </c>
      <c r="R53" s="506">
        <v>1</v>
      </c>
      <c r="S53" s="511">
        <v>1</v>
      </c>
      <c r="T53" s="510">
        <v>0.5</v>
      </c>
      <c r="U53" s="512">
        <v>1</v>
      </c>
    </row>
    <row r="54" spans="1:21" ht="14.4" customHeight="1" x14ac:dyDescent="0.3">
      <c r="A54" s="505">
        <v>19</v>
      </c>
      <c r="B54" s="506" t="s">
        <v>426</v>
      </c>
      <c r="C54" s="506">
        <v>89301192</v>
      </c>
      <c r="D54" s="507" t="s">
        <v>771</v>
      </c>
      <c r="E54" s="508" t="s">
        <v>565</v>
      </c>
      <c r="F54" s="506" t="s">
        <v>558</v>
      </c>
      <c r="G54" s="506" t="s">
        <v>587</v>
      </c>
      <c r="H54" s="506" t="s">
        <v>427</v>
      </c>
      <c r="I54" s="506" t="s">
        <v>588</v>
      </c>
      <c r="J54" s="506" t="s">
        <v>589</v>
      </c>
      <c r="K54" s="506" t="s">
        <v>590</v>
      </c>
      <c r="L54" s="509">
        <v>41.83</v>
      </c>
      <c r="M54" s="509">
        <v>167.32</v>
      </c>
      <c r="N54" s="506">
        <v>4</v>
      </c>
      <c r="O54" s="510">
        <v>2</v>
      </c>
      <c r="P54" s="509">
        <v>167.32</v>
      </c>
      <c r="Q54" s="511">
        <v>1</v>
      </c>
      <c r="R54" s="506">
        <v>4</v>
      </c>
      <c r="S54" s="511">
        <v>1</v>
      </c>
      <c r="T54" s="510">
        <v>2</v>
      </c>
      <c r="U54" s="512">
        <v>1</v>
      </c>
    </row>
    <row r="55" spans="1:21" ht="14.4" customHeight="1" x14ac:dyDescent="0.3">
      <c r="A55" s="505">
        <v>19</v>
      </c>
      <c r="B55" s="506" t="s">
        <v>426</v>
      </c>
      <c r="C55" s="506">
        <v>89301192</v>
      </c>
      <c r="D55" s="507" t="s">
        <v>771</v>
      </c>
      <c r="E55" s="508" t="s">
        <v>565</v>
      </c>
      <c r="F55" s="506" t="s">
        <v>558</v>
      </c>
      <c r="G55" s="506" t="s">
        <v>716</v>
      </c>
      <c r="H55" s="506" t="s">
        <v>500</v>
      </c>
      <c r="I55" s="506" t="s">
        <v>717</v>
      </c>
      <c r="J55" s="506" t="s">
        <v>718</v>
      </c>
      <c r="K55" s="506" t="s">
        <v>719</v>
      </c>
      <c r="L55" s="509">
        <v>106.3</v>
      </c>
      <c r="M55" s="509">
        <v>425.2</v>
      </c>
      <c r="N55" s="506">
        <v>4</v>
      </c>
      <c r="O55" s="510">
        <v>0.5</v>
      </c>
      <c r="P55" s="509"/>
      <c r="Q55" s="511">
        <v>0</v>
      </c>
      <c r="R55" s="506"/>
      <c r="S55" s="511">
        <v>0</v>
      </c>
      <c r="T55" s="510"/>
      <c r="U55" s="512">
        <v>0</v>
      </c>
    </row>
    <row r="56" spans="1:21" ht="14.4" customHeight="1" x14ac:dyDescent="0.3">
      <c r="A56" s="505">
        <v>19</v>
      </c>
      <c r="B56" s="506" t="s">
        <v>426</v>
      </c>
      <c r="C56" s="506">
        <v>89301192</v>
      </c>
      <c r="D56" s="507" t="s">
        <v>771</v>
      </c>
      <c r="E56" s="508" t="s">
        <v>565</v>
      </c>
      <c r="F56" s="506" t="s">
        <v>558</v>
      </c>
      <c r="G56" s="506" t="s">
        <v>720</v>
      </c>
      <c r="H56" s="506" t="s">
        <v>500</v>
      </c>
      <c r="I56" s="506" t="s">
        <v>721</v>
      </c>
      <c r="J56" s="506" t="s">
        <v>722</v>
      </c>
      <c r="K56" s="506" t="s">
        <v>723</v>
      </c>
      <c r="L56" s="509">
        <v>38.130000000000003</v>
      </c>
      <c r="M56" s="509">
        <v>228.78000000000003</v>
      </c>
      <c r="N56" s="506">
        <v>6</v>
      </c>
      <c r="O56" s="510">
        <v>1.5</v>
      </c>
      <c r="P56" s="509"/>
      <c r="Q56" s="511">
        <v>0</v>
      </c>
      <c r="R56" s="506"/>
      <c r="S56" s="511">
        <v>0</v>
      </c>
      <c r="T56" s="510"/>
      <c r="U56" s="512">
        <v>0</v>
      </c>
    </row>
    <row r="57" spans="1:21" ht="14.4" customHeight="1" x14ac:dyDescent="0.3">
      <c r="A57" s="505">
        <v>19</v>
      </c>
      <c r="B57" s="506" t="s">
        <v>426</v>
      </c>
      <c r="C57" s="506">
        <v>89301192</v>
      </c>
      <c r="D57" s="507" t="s">
        <v>771</v>
      </c>
      <c r="E57" s="508" t="s">
        <v>565</v>
      </c>
      <c r="F57" s="506" t="s">
        <v>558</v>
      </c>
      <c r="G57" s="506" t="s">
        <v>724</v>
      </c>
      <c r="H57" s="506" t="s">
        <v>427</v>
      </c>
      <c r="I57" s="506" t="s">
        <v>725</v>
      </c>
      <c r="J57" s="506" t="s">
        <v>726</v>
      </c>
      <c r="K57" s="506" t="s">
        <v>727</v>
      </c>
      <c r="L57" s="509">
        <v>200.07</v>
      </c>
      <c r="M57" s="509">
        <v>800.28</v>
      </c>
      <c r="N57" s="506">
        <v>4</v>
      </c>
      <c r="O57" s="510">
        <v>1</v>
      </c>
      <c r="P57" s="509"/>
      <c r="Q57" s="511">
        <v>0</v>
      </c>
      <c r="R57" s="506"/>
      <c r="S57" s="511">
        <v>0</v>
      </c>
      <c r="T57" s="510"/>
      <c r="U57" s="512">
        <v>0</v>
      </c>
    </row>
    <row r="58" spans="1:21" ht="14.4" customHeight="1" x14ac:dyDescent="0.3">
      <c r="A58" s="505">
        <v>19</v>
      </c>
      <c r="B58" s="506" t="s">
        <v>426</v>
      </c>
      <c r="C58" s="506">
        <v>89301192</v>
      </c>
      <c r="D58" s="507" t="s">
        <v>771</v>
      </c>
      <c r="E58" s="508" t="s">
        <v>565</v>
      </c>
      <c r="F58" s="506" t="s">
        <v>558</v>
      </c>
      <c r="G58" s="506" t="s">
        <v>599</v>
      </c>
      <c r="H58" s="506" t="s">
        <v>500</v>
      </c>
      <c r="I58" s="506" t="s">
        <v>728</v>
      </c>
      <c r="J58" s="506" t="s">
        <v>601</v>
      </c>
      <c r="K58" s="506" t="s">
        <v>729</v>
      </c>
      <c r="L58" s="509">
        <v>48.31</v>
      </c>
      <c r="M58" s="509">
        <v>144.93</v>
      </c>
      <c r="N58" s="506">
        <v>3</v>
      </c>
      <c r="O58" s="510">
        <v>2</v>
      </c>
      <c r="P58" s="509">
        <v>96.62</v>
      </c>
      <c r="Q58" s="511">
        <v>0.66666666666666663</v>
      </c>
      <c r="R58" s="506">
        <v>2</v>
      </c>
      <c r="S58" s="511">
        <v>0.66666666666666663</v>
      </c>
      <c r="T58" s="510">
        <v>1</v>
      </c>
      <c r="U58" s="512">
        <v>0.5</v>
      </c>
    </row>
    <row r="59" spans="1:21" ht="14.4" customHeight="1" x14ac:dyDescent="0.3">
      <c r="A59" s="505">
        <v>19</v>
      </c>
      <c r="B59" s="506" t="s">
        <v>426</v>
      </c>
      <c r="C59" s="506">
        <v>89301192</v>
      </c>
      <c r="D59" s="507" t="s">
        <v>771</v>
      </c>
      <c r="E59" s="508" t="s">
        <v>565</v>
      </c>
      <c r="F59" s="506" t="s">
        <v>558</v>
      </c>
      <c r="G59" s="506" t="s">
        <v>730</v>
      </c>
      <c r="H59" s="506" t="s">
        <v>500</v>
      </c>
      <c r="I59" s="506" t="s">
        <v>731</v>
      </c>
      <c r="J59" s="506" t="s">
        <v>732</v>
      </c>
      <c r="K59" s="506" t="s">
        <v>733</v>
      </c>
      <c r="L59" s="509">
        <v>42.08</v>
      </c>
      <c r="M59" s="509">
        <v>126.24</v>
      </c>
      <c r="N59" s="506">
        <v>3</v>
      </c>
      <c r="O59" s="510">
        <v>0.5</v>
      </c>
      <c r="P59" s="509">
        <v>126.24</v>
      </c>
      <c r="Q59" s="511">
        <v>1</v>
      </c>
      <c r="R59" s="506">
        <v>3</v>
      </c>
      <c r="S59" s="511">
        <v>1</v>
      </c>
      <c r="T59" s="510">
        <v>0.5</v>
      </c>
      <c r="U59" s="512">
        <v>1</v>
      </c>
    </row>
    <row r="60" spans="1:21" ht="14.4" customHeight="1" x14ac:dyDescent="0.3">
      <c r="A60" s="505">
        <v>19</v>
      </c>
      <c r="B60" s="506" t="s">
        <v>426</v>
      </c>
      <c r="C60" s="506">
        <v>89301192</v>
      </c>
      <c r="D60" s="507" t="s">
        <v>771</v>
      </c>
      <c r="E60" s="508" t="s">
        <v>565</v>
      </c>
      <c r="F60" s="506" t="s">
        <v>558</v>
      </c>
      <c r="G60" s="506" t="s">
        <v>734</v>
      </c>
      <c r="H60" s="506" t="s">
        <v>427</v>
      </c>
      <c r="I60" s="506" t="s">
        <v>735</v>
      </c>
      <c r="J60" s="506" t="s">
        <v>736</v>
      </c>
      <c r="K60" s="506" t="s">
        <v>669</v>
      </c>
      <c r="L60" s="509">
        <v>129.94999999999999</v>
      </c>
      <c r="M60" s="509">
        <v>779.69999999999993</v>
      </c>
      <c r="N60" s="506">
        <v>6</v>
      </c>
      <c r="O60" s="510">
        <v>1</v>
      </c>
      <c r="P60" s="509"/>
      <c r="Q60" s="511">
        <v>0</v>
      </c>
      <c r="R60" s="506"/>
      <c r="S60" s="511">
        <v>0</v>
      </c>
      <c r="T60" s="510"/>
      <c r="U60" s="512">
        <v>0</v>
      </c>
    </row>
    <row r="61" spans="1:21" ht="14.4" customHeight="1" x14ac:dyDescent="0.3">
      <c r="A61" s="505">
        <v>19</v>
      </c>
      <c r="B61" s="506" t="s">
        <v>426</v>
      </c>
      <c r="C61" s="506">
        <v>89301192</v>
      </c>
      <c r="D61" s="507" t="s">
        <v>771</v>
      </c>
      <c r="E61" s="508" t="s">
        <v>566</v>
      </c>
      <c r="F61" s="506" t="s">
        <v>558</v>
      </c>
      <c r="G61" s="506" t="s">
        <v>634</v>
      </c>
      <c r="H61" s="506" t="s">
        <v>500</v>
      </c>
      <c r="I61" s="506" t="s">
        <v>635</v>
      </c>
      <c r="J61" s="506" t="s">
        <v>636</v>
      </c>
      <c r="K61" s="506" t="s">
        <v>637</v>
      </c>
      <c r="L61" s="509">
        <v>156.86000000000001</v>
      </c>
      <c r="M61" s="509">
        <v>156.86000000000001</v>
      </c>
      <c r="N61" s="506">
        <v>1</v>
      </c>
      <c r="O61" s="510">
        <v>1</v>
      </c>
      <c r="P61" s="509">
        <v>156.86000000000001</v>
      </c>
      <c r="Q61" s="511">
        <v>1</v>
      </c>
      <c r="R61" s="506">
        <v>1</v>
      </c>
      <c r="S61" s="511">
        <v>1</v>
      </c>
      <c r="T61" s="510">
        <v>1</v>
      </c>
      <c r="U61" s="512">
        <v>1</v>
      </c>
    </row>
    <row r="62" spans="1:21" ht="14.4" customHeight="1" x14ac:dyDescent="0.3">
      <c r="A62" s="505">
        <v>19</v>
      </c>
      <c r="B62" s="506" t="s">
        <v>426</v>
      </c>
      <c r="C62" s="506">
        <v>89301192</v>
      </c>
      <c r="D62" s="507" t="s">
        <v>771</v>
      </c>
      <c r="E62" s="508" t="s">
        <v>566</v>
      </c>
      <c r="F62" s="506" t="s">
        <v>558</v>
      </c>
      <c r="G62" s="506" t="s">
        <v>737</v>
      </c>
      <c r="H62" s="506" t="s">
        <v>427</v>
      </c>
      <c r="I62" s="506" t="s">
        <v>738</v>
      </c>
      <c r="J62" s="506" t="s">
        <v>739</v>
      </c>
      <c r="K62" s="506" t="s">
        <v>740</v>
      </c>
      <c r="L62" s="509">
        <v>0</v>
      </c>
      <c r="M62" s="509">
        <v>0</v>
      </c>
      <c r="N62" s="506">
        <v>1</v>
      </c>
      <c r="O62" s="510">
        <v>1</v>
      </c>
      <c r="P62" s="509">
        <v>0</v>
      </c>
      <c r="Q62" s="511"/>
      <c r="R62" s="506">
        <v>1</v>
      </c>
      <c r="S62" s="511">
        <v>1</v>
      </c>
      <c r="T62" s="510">
        <v>1</v>
      </c>
      <c r="U62" s="512">
        <v>1</v>
      </c>
    </row>
    <row r="63" spans="1:21" ht="14.4" customHeight="1" x14ac:dyDescent="0.3">
      <c r="A63" s="505">
        <v>19</v>
      </c>
      <c r="B63" s="506" t="s">
        <v>426</v>
      </c>
      <c r="C63" s="506">
        <v>89301192</v>
      </c>
      <c r="D63" s="507" t="s">
        <v>771</v>
      </c>
      <c r="E63" s="508" t="s">
        <v>566</v>
      </c>
      <c r="F63" s="506" t="s">
        <v>558</v>
      </c>
      <c r="G63" s="506" t="s">
        <v>741</v>
      </c>
      <c r="H63" s="506" t="s">
        <v>427</v>
      </c>
      <c r="I63" s="506" t="s">
        <v>742</v>
      </c>
      <c r="J63" s="506" t="s">
        <v>743</v>
      </c>
      <c r="K63" s="506" t="s">
        <v>744</v>
      </c>
      <c r="L63" s="509">
        <v>230.59</v>
      </c>
      <c r="M63" s="509">
        <v>230.59</v>
      </c>
      <c r="N63" s="506">
        <v>1</v>
      </c>
      <c r="O63" s="510">
        <v>0.5</v>
      </c>
      <c r="P63" s="509">
        <v>230.59</v>
      </c>
      <c r="Q63" s="511">
        <v>1</v>
      </c>
      <c r="R63" s="506">
        <v>1</v>
      </c>
      <c r="S63" s="511">
        <v>1</v>
      </c>
      <c r="T63" s="510">
        <v>0.5</v>
      </c>
      <c r="U63" s="512">
        <v>1</v>
      </c>
    </row>
    <row r="64" spans="1:21" ht="14.4" customHeight="1" x14ac:dyDescent="0.3">
      <c r="A64" s="505">
        <v>19</v>
      </c>
      <c r="B64" s="506" t="s">
        <v>426</v>
      </c>
      <c r="C64" s="506">
        <v>89301192</v>
      </c>
      <c r="D64" s="507" t="s">
        <v>771</v>
      </c>
      <c r="E64" s="508" t="s">
        <v>566</v>
      </c>
      <c r="F64" s="506" t="s">
        <v>558</v>
      </c>
      <c r="G64" s="506" t="s">
        <v>745</v>
      </c>
      <c r="H64" s="506" t="s">
        <v>427</v>
      </c>
      <c r="I64" s="506" t="s">
        <v>746</v>
      </c>
      <c r="J64" s="506" t="s">
        <v>747</v>
      </c>
      <c r="K64" s="506" t="s">
        <v>748</v>
      </c>
      <c r="L64" s="509">
        <v>96.91</v>
      </c>
      <c r="M64" s="509">
        <v>290.73</v>
      </c>
      <c r="N64" s="506">
        <v>3</v>
      </c>
      <c r="O64" s="510">
        <v>0.5</v>
      </c>
      <c r="P64" s="509">
        <v>290.73</v>
      </c>
      <c r="Q64" s="511">
        <v>1</v>
      </c>
      <c r="R64" s="506">
        <v>3</v>
      </c>
      <c r="S64" s="511">
        <v>1</v>
      </c>
      <c r="T64" s="510">
        <v>0.5</v>
      </c>
      <c r="U64" s="512">
        <v>1</v>
      </c>
    </row>
    <row r="65" spans="1:21" ht="14.4" customHeight="1" x14ac:dyDescent="0.3">
      <c r="A65" s="505">
        <v>19</v>
      </c>
      <c r="B65" s="506" t="s">
        <v>426</v>
      </c>
      <c r="C65" s="506">
        <v>89301192</v>
      </c>
      <c r="D65" s="507" t="s">
        <v>771</v>
      </c>
      <c r="E65" s="508" t="s">
        <v>566</v>
      </c>
      <c r="F65" s="506" t="s">
        <v>558</v>
      </c>
      <c r="G65" s="506" t="s">
        <v>579</v>
      </c>
      <c r="H65" s="506" t="s">
        <v>427</v>
      </c>
      <c r="I65" s="506" t="s">
        <v>580</v>
      </c>
      <c r="J65" s="506" t="s">
        <v>581</v>
      </c>
      <c r="K65" s="506" t="s">
        <v>582</v>
      </c>
      <c r="L65" s="509">
        <v>50.27</v>
      </c>
      <c r="M65" s="509">
        <v>50.27</v>
      </c>
      <c r="N65" s="506">
        <v>1</v>
      </c>
      <c r="O65" s="510">
        <v>0.5</v>
      </c>
      <c r="P65" s="509">
        <v>50.27</v>
      </c>
      <c r="Q65" s="511">
        <v>1</v>
      </c>
      <c r="R65" s="506">
        <v>1</v>
      </c>
      <c r="S65" s="511">
        <v>1</v>
      </c>
      <c r="T65" s="510">
        <v>0.5</v>
      </c>
      <c r="U65" s="512">
        <v>1</v>
      </c>
    </row>
    <row r="66" spans="1:21" ht="14.4" customHeight="1" x14ac:dyDescent="0.3">
      <c r="A66" s="505">
        <v>19</v>
      </c>
      <c r="B66" s="506" t="s">
        <v>426</v>
      </c>
      <c r="C66" s="506">
        <v>89301192</v>
      </c>
      <c r="D66" s="507" t="s">
        <v>771</v>
      </c>
      <c r="E66" s="508" t="s">
        <v>566</v>
      </c>
      <c r="F66" s="506" t="s">
        <v>558</v>
      </c>
      <c r="G66" s="506" t="s">
        <v>579</v>
      </c>
      <c r="H66" s="506" t="s">
        <v>427</v>
      </c>
      <c r="I66" s="506" t="s">
        <v>749</v>
      </c>
      <c r="J66" s="506" t="s">
        <v>581</v>
      </c>
      <c r="K66" s="506" t="s">
        <v>750</v>
      </c>
      <c r="L66" s="509">
        <v>58.1</v>
      </c>
      <c r="M66" s="509">
        <v>58.1</v>
      </c>
      <c r="N66" s="506">
        <v>1</v>
      </c>
      <c r="O66" s="510">
        <v>0.5</v>
      </c>
      <c r="P66" s="509">
        <v>58.1</v>
      </c>
      <c r="Q66" s="511">
        <v>1</v>
      </c>
      <c r="R66" s="506">
        <v>1</v>
      </c>
      <c r="S66" s="511">
        <v>1</v>
      </c>
      <c r="T66" s="510">
        <v>0.5</v>
      </c>
      <c r="U66" s="512">
        <v>1</v>
      </c>
    </row>
    <row r="67" spans="1:21" ht="14.4" customHeight="1" x14ac:dyDescent="0.3">
      <c r="A67" s="505">
        <v>19</v>
      </c>
      <c r="B67" s="506" t="s">
        <v>426</v>
      </c>
      <c r="C67" s="506">
        <v>89301192</v>
      </c>
      <c r="D67" s="507" t="s">
        <v>771</v>
      </c>
      <c r="E67" s="508" t="s">
        <v>566</v>
      </c>
      <c r="F67" s="506" t="s">
        <v>558</v>
      </c>
      <c r="G67" s="506" t="s">
        <v>587</v>
      </c>
      <c r="H67" s="506" t="s">
        <v>427</v>
      </c>
      <c r="I67" s="506" t="s">
        <v>588</v>
      </c>
      <c r="J67" s="506" t="s">
        <v>589</v>
      </c>
      <c r="K67" s="506" t="s">
        <v>590</v>
      </c>
      <c r="L67" s="509">
        <v>41.83</v>
      </c>
      <c r="M67" s="509">
        <v>501.95999999999992</v>
      </c>
      <c r="N67" s="506">
        <v>12</v>
      </c>
      <c r="O67" s="510">
        <v>5.5</v>
      </c>
      <c r="P67" s="509">
        <v>418.29999999999995</v>
      </c>
      <c r="Q67" s="511">
        <v>0.83333333333333337</v>
      </c>
      <c r="R67" s="506">
        <v>10</v>
      </c>
      <c r="S67" s="511">
        <v>0.83333333333333337</v>
      </c>
      <c r="T67" s="510">
        <v>4.5</v>
      </c>
      <c r="U67" s="512">
        <v>0.81818181818181823</v>
      </c>
    </row>
    <row r="68" spans="1:21" ht="14.4" customHeight="1" x14ac:dyDescent="0.3">
      <c r="A68" s="505">
        <v>19</v>
      </c>
      <c r="B68" s="506" t="s">
        <v>426</v>
      </c>
      <c r="C68" s="506">
        <v>89301192</v>
      </c>
      <c r="D68" s="507" t="s">
        <v>771</v>
      </c>
      <c r="E68" s="508" t="s">
        <v>566</v>
      </c>
      <c r="F68" s="506" t="s">
        <v>558</v>
      </c>
      <c r="G68" s="506" t="s">
        <v>622</v>
      </c>
      <c r="H68" s="506" t="s">
        <v>427</v>
      </c>
      <c r="I68" s="506" t="s">
        <v>623</v>
      </c>
      <c r="J68" s="506" t="s">
        <v>624</v>
      </c>
      <c r="K68" s="506" t="s">
        <v>625</v>
      </c>
      <c r="L68" s="509">
        <v>61.29</v>
      </c>
      <c r="M68" s="509">
        <v>61.29</v>
      </c>
      <c r="N68" s="506">
        <v>1</v>
      </c>
      <c r="O68" s="510">
        <v>0.5</v>
      </c>
      <c r="P68" s="509">
        <v>61.29</v>
      </c>
      <c r="Q68" s="511">
        <v>1</v>
      </c>
      <c r="R68" s="506">
        <v>1</v>
      </c>
      <c r="S68" s="511">
        <v>1</v>
      </c>
      <c r="T68" s="510">
        <v>0.5</v>
      </c>
      <c r="U68" s="512">
        <v>1</v>
      </c>
    </row>
    <row r="69" spans="1:21" ht="14.4" customHeight="1" x14ac:dyDescent="0.3">
      <c r="A69" s="505">
        <v>19</v>
      </c>
      <c r="B69" s="506" t="s">
        <v>426</v>
      </c>
      <c r="C69" s="506">
        <v>89301192</v>
      </c>
      <c r="D69" s="507" t="s">
        <v>771</v>
      </c>
      <c r="E69" s="508" t="s">
        <v>566</v>
      </c>
      <c r="F69" s="506" t="s">
        <v>558</v>
      </c>
      <c r="G69" s="506" t="s">
        <v>751</v>
      </c>
      <c r="H69" s="506" t="s">
        <v>500</v>
      </c>
      <c r="I69" s="506" t="s">
        <v>752</v>
      </c>
      <c r="J69" s="506" t="s">
        <v>753</v>
      </c>
      <c r="K69" s="506" t="s">
        <v>754</v>
      </c>
      <c r="L69" s="509">
        <v>413.22</v>
      </c>
      <c r="M69" s="509">
        <v>413.22</v>
      </c>
      <c r="N69" s="506">
        <v>1</v>
      </c>
      <c r="O69" s="510">
        <v>0.5</v>
      </c>
      <c r="P69" s="509">
        <v>413.22</v>
      </c>
      <c r="Q69" s="511">
        <v>1</v>
      </c>
      <c r="R69" s="506">
        <v>1</v>
      </c>
      <c r="S69" s="511">
        <v>1</v>
      </c>
      <c r="T69" s="510">
        <v>0.5</v>
      </c>
      <c r="U69" s="512">
        <v>1</v>
      </c>
    </row>
    <row r="70" spans="1:21" ht="14.4" customHeight="1" x14ac:dyDescent="0.3">
      <c r="A70" s="505">
        <v>19</v>
      </c>
      <c r="B70" s="506" t="s">
        <v>426</v>
      </c>
      <c r="C70" s="506">
        <v>89301192</v>
      </c>
      <c r="D70" s="507" t="s">
        <v>771</v>
      </c>
      <c r="E70" s="508" t="s">
        <v>566</v>
      </c>
      <c r="F70" s="506" t="s">
        <v>558</v>
      </c>
      <c r="G70" s="506" t="s">
        <v>656</v>
      </c>
      <c r="H70" s="506" t="s">
        <v>500</v>
      </c>
      <c r="I70" s="506" t="s">
        <v>755</v>
      </c>
      <c r="J70" s="506" t="s">
        <v>756</v>
      </c>
      <c r="K70" s="506" t="s">
        <v>757</v>
      </c>
      <c r="L70" s="509">
        <v>0</v>
      </c>
      <c r="M70" s="509">
        <v>0</v>
      </c>
      <c r="N70" s="506">
        <v>1</v>
      </c>
      <c r="O70" s="510">
        <v>1</v>
      </c>
      <c r="P70" s="509">
        <v>0</v>
      </c>
      <c r="Q70" s="511"/>
      <c r="R70" s="506">
        <v>1</v>
      </c>
      <c r="S70" s="511">
        <v>1</v>
      </c>
      <c r="T70" s="510">
        <v>1</v>
      </c>
      <c r="U70" s="512">
        <v>1</v>
      </c>
    </row>
    <row r="71" spans="1:21" ht="14.4" customHeight="1" x14ac:dyDescent="0.3">
      <c r="A71" s="505">
        <v>19</v>
      </c>
      <c r="B71" s="506" t="s">
        <v>426</v>
      </c>
      <c r="C71" s="506">
        <v>89301192</v>
      </c>
      <c r="D71" s="507" t="s">
        <v>771</v>
      </c>
      <c r="E71" s="508" t="s">
        <v>566</v>
      </c>
      <c r="F71" s="506" t="s">
        <v>558</v>
      </c>
      <c r="G71" s="506" t="s">
        <v>591</v>
      </c>
      <c r="H71" s="506" t="s">
        <v>427</v>
      </c>
      <c r="I71" s="506" t="s">
        <v>592</v>
      </c>
      <c r="J71" s="506" t="s">
        <v>593</v>
      </c>
      <c r="K71" s="506" t="s">
        <v>594</v>
      </c>
      <c r="L71" s="509">
        <v>242.93</v>
      </c>
      <c r="M71" s="509">
        <v>242.93</v>
      </c>
      <c r="N71" s="506">
        <v>1</v>
      </c>
      <c r="O71" s="510">
        <v>1</v>
      </c>
      <c r="P71" s="509">
        <v>242.93</v>
      </c>
      <c r="Q71" s="511">
        <v>1</v>
      </c>
      <c r="R71" s="506">
        <v>1</v>
      </c>
      <c r="S71" s="511">
        <v>1</v>
      </c>
      <c r="T71" s="510">
        <v>1</v>
      </c>
      <c r="U71" s="512">
        <v>1</v>
      </c>
    </row>
    <row r="72" spans="1:21" ht="14.4" customHeight="1" x14ac:dyDescent="0.3">
      <c r="A72" s="505">
        <v>19</v>
      </c>
      <c r="B72" s="506" t="s">
        <v>426</v>
      </c>
      <c r="C72" s="506">
        <v>89301192</v>
      </c>
      <c r="D72" s="507" t="s">
        <v>771</v>
      </c>
      <c r="E72" s="508" t="s">
        <v>566</v>
      </c>
      <c r="F72" s="506" t="s">
        <v>558</v>
      </c>
      <c r="G72" s="506" t="s">
        <v>700</v>
      </c>
      <c r="H72" s="506" t="s">
        <v>427</v>
      </c>
      <c r="I72" s="506" t="s">
        <v>701</v>
      </c>
      <c r="J72" s="506" t="s">
        <v>702</v>
      </c>
      <c r="K72" s="506" t="s">
        <v>703</v>
      </c>
      <c r="L72" s="509">
        <v>0</v>
      </c>
      <c r="M72" s="509">
        <v>0</v>
      </c>
      <c r="N72" s="506">
        <v>6</v>
      </c>
      <c r="O72" s="510">
        <v>2.5</v>
      </c>
      <c r="P72" s="509">
        <v>0</v>
      </c>
      <c r="Q72" s="511"/>
      <c r="R72" s="506">
        <v>3</v>
      </c>
      <c r="S72" s="511">
        <v>0.5</v>
      </c>
      <c r="T72" s="510">
        <v>1.5</v>
      </c>
      <c r="U72" s="512">
        <v>0.6</v>
      </c>
    </row>
    <row r="73" spans="1:21" ht="14.4" customHeight="1" x14ac:dyDescent="0.3">
      <c r="A73" s="505">
        <v>19</v>
      </c>
      <c r="B73" s="506" t="s">
        <v>426</v>
      </c>
      <c r="C73" s="506">
        <v>89301192</v>
      </c>
      <c r="D73" s="507" t="s">
        <v>771</v>
      </c>
      <c r="E73" s="508" t="s">
        <v>566</v>
      </c>
      <c r="F73" s="506" t="s">
        <v>558</v>
      </c>
      <c r="G73" s="506" t="s">
        <v>599</v>
      </c>
      <c r="H73" s="506" t="s">
        <v>427</v>
      </c>
      <c r="I73" s="506" t="s">
        <v>758</v>
      </c>
      <c r="J73" s="506" t="s">
        <v>601</v>
      </c>
      <c r="K73" s="506" t="s">
        <v>759</v>
      </c>
      <c r="L73" s="509">
        <v>48.31</v>
      </c>
      <c r="M73" s="509">
        <v>48.31</v>
      </c>
      <c r="N73" s="506">
        <v>1</v>
      </c>
      <c r="O73" s="510">
        <v>1</v>
      </c>
      <c r="P73" s="509">
        <v>48.31</v>
      </c>
      <c r="Q73" s="511">
        <v>1</v>
      </c>
      <c r="R73" s="506">
        <v>1</v>
      </c>
      <c r="S73" s="511">
        <v>1</v>
      </c>
      <c r="T73" s="510">
        <v>1</v>
      </c>
      <c r="U73" s="512">
        <v>1</v>
      </c>
    </row>
    <row r="74" spans="1:21" ht="14.4" customHeight="1" x14ac:dyDescent="0.3">
      <c r="A74" s="505">
        <v>19</v>
      </c>
      <c r="B74" s="506" t="s">
        <v>426</v>
      </c>
      <c r="C74" s="506">
        <v>89301192</v>
      </c>
      <c r="D74" s="507" t="s">
        <v>771</v>
      </c>
      <c r="E74" s="508" t="s">
        <v>566</v>
      </c>
      <c r="F74" s="506" t="s">
        <v>558</v>
      </c>
      <c r="G74" s="506" t="s">
        <v>603</v>
      </c>
      <c r="H74" s="506" t="s">
        <v>427</v>
      </c>
      <c r="I74" s="506" t="s">
        <v>607</v>
      </c>
      <c r="J74" s="506" t="s">
        <v>605</v>
      </c>
      <c r="K74" s="506" t="s">
        <v>606</v>
      </c>
      <c r="L74" s="509">
        <v>0</v>
      </c>
      <c r="M74" s="509">
        <v>0</v>
      </c>
      <c r="N74" s="506">
        <v>2</v>
      </c>
      <c r="O74" s="510">
        <v>0.5</v>
      </c>
      <c r="P74" s="509">
        <v>0</v>
      </c>
      <c r="Q74" s="511"/>
      <c r="R74" s="506">
        <v>2</v>
      </c>
      <c r="S74" s="511">
        <v>1</v>
      </c>
      <c r="T74" s="510">
        <v>0.5</v>
      </c>
      <c r="U74" s="512">
        <v>1</v>
      </c>
    </row>
    <row r="75" spans="1:21" ht="14.4" customHeight="1" x14ac:dyDescent="0.3">
      <c r="A75" s="505">
        <v>19</v>
      </c>
      <c r="B75" s="506" t="s">
        <v>426</v>
      </c>
      <c r="C75" s="506">
        <v>89301192</v>
      </c>
      <c r="D75" s="507" t="s">
        <v>771</v>
      </c>
      <c r="E75" s="508" t="s">
        <v>566</v>
      </c>
      <c r="F75" s="506" t="s">
        <v>558</v>
      </c>
      <c r="G75" s="506" t="s">
        <v>610</v>
      </c>
      <c r="H75" s="506" t="s">
        <v>427</v>
      </c>
      <c r="I75" s="506" t="s">
        <v>611</v>
      </c>
      <c r="J75" s="506" t="s">
        <v>612</v>
      </c>
      <c r="K75" s="506" t="s">
        <v>613</v>
      </c>
      <c r="L75" s="509">
        <v>0</v>
      </c>
      <c r="M75" s="509">
        <v>0</v>
      </c>
      <c r="N75" s="506">
        <v>2</v>
      </c>
      <c r="O75" s="510">
        <v>0.5</v>
      </c>
      <c r="P75" s="509">
        <v>0</v>
      </c>
      <c r="Q75" s="511"/>
      <c r="R75" s="506">
        <v>2</v>
      </c>
      <c r="S75" s="511">
        <v>1</v>
      </c>
      <c r="T75" s="510">
        <v>0.5</v>
      </c>
      <c r="U75" s="512">
        <v>1</v>
      </c>
    </row>
    <row r="76" spans="1:21" ht="14.4" customHeight="1" x14ac:dyDescent="0.3">
      <c r="A76" s="505">
        <v>19</v>
      </c>
      <c r="B76" s="506" t="s">
        <v>426</v>
      </c>
      <c r="C76" s="506">
        <v>89301192</v>
      </c>
      <c r="D76" s="507" t="s">
        <v>771</v>
      </c>
      <c r="E76" s="508" t="s">
        <v>566</v>
      </c>
      <c r="F76" s="506" t="s">
        <v>558</v>
      </c>
      <c r="G76" s="506" t="s">
        <v>760</v>
      </c>
      <c r="H76" s="506" t="s">
        <v>500</v>
      </c>
      <c r="I76" s="506" t="s">
        <v>761</v>
      </c>
      <c r="J76" s="506" t="s">
        <v>762</v>
      </c>
      <c r="K76" s="506" t="s">
        <v>763</v>
      </c>
      <c r="L76" s="509">
        <v>33.72</v>
      </c>
      <c r="M76" s="509">
        <v>101.16</v>
      </c>
      <c r="N76" s="506">
        <v>3</v>
      </c>
      <c r="O76" s="510">
        <v>0.5</v>
      </c>
      <c r="P76" s="509">
        <v>101.16</v>
      </c>
      <c r="Q76" s="511">
        <v>1</v>
      </c>
      <c r="R76" s="506">
        <v>3</v>
      </c>
      <c r="S76" s="511">
        <v>1</v>
      </c>
      <c r="T76" s="510">
        <v>0.5</v>
      </c>
      <c r="U76" s="512">
        <v>1</v>
      </c>
    </row>
    <row r="77" spans="1:21" ht="14.4" customHeight="1" x14ac:dyDescent="0.3">
      <c r="A77" s="505">
        <v>19</v>
      </c>
      <c r="B77" s="506" t="s">
        <v>426</v>
      </c>
      <c r="C77" s="506">
        <v>89301192</v>
      </c>
      <c r="D77" s="507" t="s">
        <v>771</v>
      </c>
      <c r="E77" s="508" t="s">
        <v>566</v>
      </c>
      <c r="F77" s="506" t="s">
        <v>558</v>
      </c>
      <c r="G77" s="506" t="s">
        <v>764</v>
      </c>
      <c r="H77" s="506" t="s">
        <v>500</v>
      </c>
      <c r="I77" s="506" t="s">
        <v>765</v>
      </c>
      <c r="J77" s="506" t="s">
        <v>766</v>
      </c>
      <c r="K77" s="506" t="s">
        <v>767</v>
      </c>
      <c r="L77" s="509">
        <v>32.630000000000003</v>
      </c>
      <c r="M77" s="509">
        <v>32.630000000000003</v>
      </c>
      <c r="N77" s="506">
        <v>1</v>
      </c>
      <c r="O77" s="510">
        <v>0.5</v>
      </c>
      <c r="P77" s="509">
        <v>32.630000000000003</v>
      </c>
      <c r="Q77" s="511">
        <v>1</v>
      </c>
      <c r="R77" s="506">
        <v>1</v>
      </c>
      <c r="S77" s="511">
        <v>1</v>
      </c>
      <c r="T77" s="510">
        <v>0.5</v>
      </c>
      <c r="U77" s="512">
        <v>1</v>
      </c>
    </row>
    <row r="78" spans="1:21" ht="14.4" customHeight="1" thickBot="1" x14ac:dyDescent="0.35">
      <c r="A78" s="513">
        <v>19</v>
      </c>
      <c r="B78" s="514" t="s">
        <v>426</v>
      </c>
      <c r="C78" s="514">
        <v>89301192</v>
      </c>
      <c r="D78" s="515" t="s">
        <v>771</v>
      </c>
      <c r="E78" s="516" t="s">
        <v>566</v>
      </c>
      <c r="F78" s="514" t="s">
        <v>558</v>
      </c>
      <c r="G78" s="514" t="s">
        <v>674</v>
      </c>
      <c r="H78" s="514" t="s">
        <v>427</v>
      </c>
      <c r="I78" s="514" t="s">
        <v>768</v>
      </c>
      <c r="J78" s="514" t="s">
        <v>769</v>
      </c>
      <c r="K78" s="514" t="s">
        <v>770</v>
      </c>
      <c r="L78" s="517">
        <v>0</v>
      </c>
      <c r="M78" s="517">
        <v>0</v>
      </c>
      <c r="N78" s="514">
        <v>1</v>
      </c>
      <c r="O78" s="518">
        <v>1</v>
      </c>
      <c r="P78" s="517">
        <v>0</v>
      </c>
      <c r="Q78" s="519"/>
      <c r="R78" s="514">
        <v>1</v>
      </c>
      <c r="S78" s="519">
        <v>1</v>
      </c>
      <c r="T78" s="518">
        <v>1</v>
      </c>
      <c r="U78" s="52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2" customWidth="1"/>
    <col min="3" max="3" width="5.5546875" style="215" customWidth="1"/>
    <col min="4" max="4" width="10" style="212" customWidth="1"/>
    <col min="5" max="5" width="5.5546875" style="215" customWidth="1"/>
    <col min="6" max="6" width="10" style="212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47" t="s">
        <v>773</v>
      </c>
      <c r="B1" s="348"/>
      <c r="C1" s="348"/>
      <c r="D1" s="348"/>
      <c r="E1" s="348"/>
      <c r="F1" s="348"/>
    </row>
    <row r="2" spans="1:6" ht="14.4" customHeight="1" thickBot="1" x14ac:dyDescent="0.35">
      <c r="A2" s="240" t="s">
        <v>272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49" t="s">
        <v>135</v>
      </c>
      <c r="C3" s="350"/>
      <c r="D3" s="351" t="s">
        <v>134</v>
      </c>
      <c r="E3" s="350"/>
      <c r="F3" s="80" t="s">
        <v>3</v>
      </c>
    </row>
    <row r="4" spans="1:6" ht="14.4" customHeight="1" thickBot="1" x14ac:dyDescent="0.35">
      <c r="A4" s="452" t="s">
        <v>194</v>
      </c>
      <c r="B4" s="453" t="s">
        <v>14</v>
      </c>
      <c r="C4" s="454" t="s">
        <v>2</v>
      </c>
      <c r="D4" s="453" t="s">
        <v>14</v>
      </c>
      <c r="E4" s="454" t="s">
        <v>2</v>
      </c>
      <c r="F4" s="455" t="s">
        <v>14</v>
      </c>
    </row>
    <row r="5" spans="1:6" ht="14.4" customHeight="1" x14ac:dyDescent="0.3">
      <c r="A5" s="528" t="s">
        <v>564</v>
      </c>
      <c r="B5" s="438">
        <v>576.51</v>
      </c>
      <c r="C5" s="457">
        <v>0.39741221237229951</v>
      </c>
      <c r="D5" s="438">
        <v>874.15</v>
      </c>
      <c r="E5" s="457">
        <v>0.60258778762770049</v>
      </c>
      <c r="F5" s="439">
        <v>1450.6599999999999</v>
      </c>
    </row>
    <row r="6" spans="1:6" ht="14.4" customHeight="1" x14ac:dyDescent="0.3">
      <c r="A6" s="529" t="s">
        <v>563</v>
      </c>
      <c r="B6" s="521">
        <v>253.08</v>
      </c>
      <c r="C6" s="511">
        <v>0.22091094778373285</v>
      </c>
      <c r="D6" s="521">
        <v>892.54</v>
      </c>
      <c r="E6" s="511">
        <v>0.77908905221626723</v>
      </c>
      <c r="F6" s="522">
        <v>1145.6199999999999</v>
      </c>
    </row>
    <row r="7" spans="1:6" ht="14.4" customHeight="1" x14ac:dyDescent="0.3">
      <c r="A7" s="529" t="s">
        <v>565</v>
      </c>
      <c r="B7" s="521">
        <v>200.07</v>
      </c>
      <c r="C7" s="511">
        <v>0.17780522919962322</v>
      </c>
      <c r="D7" s="521">
        <v>925.14999999999986</v>
      </c>
      <c r="E7" s="511">
        <v>0.82219477080037684</v>
      </c>
      <c r="F7" s="522">
        <v>1125.2199999999998</v>
      </c>
    </row>
    <row r="8" spans="1:6" ht="14.4" customHeight="1" x14ac:dyDescent="0.3">
      <c r="A8" s="529" t="s">
        <v>561</v>
      </c>
      <c r="B8" s="521"/>
      <c r="C8" s="511">
        <v>0</v>
      </c>
      <c r="D8" s="521">
        <v>96.63</v>
      </c>
      <c r="E8" s="511">
        <v>1</v>
      </c>
      <c r="F8" s="522">
        <v>96.63</v>
      </c>
    </row>
    <row r="9" spans="1:6" ht="14.4" customHeight="1" x14ac:dyDescent="0.3">
      <c r="A9" s="529" t="s">
        <v>562</v>
      </c>
      <c r="B9" s="521"/>
      <c r="C9" s="511">
        <v>0</v>
      </c>
      <c r="D9" s="521">
        <v>391.77</v>
      </c>
      <c r="E9" s="511">
        <v>1</v>
      </c>
      <c r="F9" s="522">
        <v>391.77</v>
      </c>
    </row>
    <row r="10" spans="1:6" ht="14.4" customHeight="1" thickBot="1" x14ac:dyDescent="0.35">
      <c r="A10" s="530" t="s">
        <v>566</v>
      </c>
      <c r="B10" s="525"/>
      <c r="C10" s="526">
        <v>0</v>
      </c>
      <c r="D10" s="525">
        <v>703.87</v>
      </c>
      <c r="E10" s="526">
        <v>1</v>
      </c>
      <c r="F10" s="527">
        <v>703.87</v>
      </c>
    </row>
    <row r="11" spans="1:6" ht="14.4" customHeight="1" thickBot="1" x14ac:dyDescent="0.35">
      <c r="A11" s="463" t="s">
        <v>3</v>
      </c>
      <c r="B11" s="464">
        <v>1029.6600000000001</v>
      </c>
      <c r="C11" s="465">
        <v>0.2095458273382759</v>
      </c>
      <c r="D11" s="464">
        <v>3884.1099999999997</v>
      </c>
      <c r="E11" s="465">
        <v>0.79045417266172391</v>
      </c>
      <c r="F11" s="466">
        <v>4913.7700000000004</v>
      </c>
    </row>
    <row r="12" spans="1:6" ht="14.4" customHeight="1" thickBot="1" x14ac:dyDescent="0.35"/>
    <row r="13" spans="1:6" ht="14.4" customHeight="1" x14ac:dyDescent="0.3">
      <c r="A13" s="528" t="s">
        <v>774</v>
      </c>
      <c r="B13" s="438">
        <v>506.16</v>
      </c>
      <c r="C13" s="457">
        <v>1</v>
      </c>
      <c r="D13" s="438"/>
      <c r="E13" s="457">
        <v>0</v>
      </c>
      <c r="F13" s="439">
        <v>506.16</v>
      </c>
    </row>
    <row r="14" spans="1:6" ht="14.4" customHeight="1" x14ac:dyDescent="0.3">
      <c r="A14" s="529" t="s">
        <v>775</v>
      </c>
      <c r="B14" s="521">
        <v>323.43</v>
      </c>
      <c r="C14" s="511">
        <v>1</v>
      </c>
      <c r="D14" s="521"/>
      <c r="E14" s="511">
        <v>0</v>
      </c>
      <c r="F14" s="522">
        <v>323.43</v>
      </c>
    </row>
    <row r="15" spans="1:6" ht="14.4" customHeight="1" x14ac:dyDescent="0.3">
      <c r="A15" s="529" t="s">
        <v>776</v>
      </c>
      <c r="B15" s="521">
        <v>200.07</v>
      </c>
      <c r="C15" s="511">
        <v>1</v>
      </c>
      <c r="D15" s="521"/>
      <c r="E15" s="511">
        <v>0</v>
      </c>
      <c r="F15" s="522">
        <v>200.07</v>
      </c>
    </row>
    <row r="16" spans="1:6" ht="14.4" customHeight="1" x14ac:dyDescent="0.3">
      <c r="A16" s="529" t="s">
        <v>777</v>
      </c>
      <c r="B16" s="521"/>
      <c r="C16" s="511">
        <v>0</v>
      </c>
      <c r="D16" s="521">
        <v>151.71</v>
      </c>
      <c r="E16" s="511">
        <v>1</v>
      </c>
      <c r="F16" s="522">
        <v>151.71</v>
      </c>
    </row>
    <row r="17" spans="1:6" ht="14.4" customHeight="1" x14ac:dyDescent="0.3">
      <c r="A17" s="529" t="s">
        <v>778</v>
      </c>
      <c r="B17" s="521"/>
      <c r="C17" s="511">
        <v>0</v>
      </c>
      <c r="D17" s="521">
        <v>391.77</v>
      </c>
      <c r="E17" s="511">
        <v>1</v>
      </c>
      <c r="F17" s="522">
        <v>391.77</v>
      </c>
    </row>
    <row r="18" spans="1:6" ht="14.4" customHeight="1" x14ac:dyDescent="0.3">
      <c r="A18" s="529" t="s">
        <v>779</v>
      </c>
      <c r="B18" s="521"/>
      <c r="C18" s="511">
        <v>0</v>
      </c>
      <c r="D18" s="521">
        <v>116.8</v>
      </c>
      <c r="E18" s="511">
        <v>1</v>
      </c>
      <c r="F18" s="522">
        <v>116.8</v>
      </c>
    </row>
    <row r="19" spans="1:6" ht="14.4" customHeight="1" x14ac:dyDescent="0.3">
      <c r="A19" s="529" t="s">
        <v>780</v>
      </c>
      <c r="B19" s="521"/>
      <c r="C19" s="511">
        <v>0</v>
      </c>
      <c r="D19" s="521">
        <v>434.82</v>
      </c>
      <c r="E19" s="511">
        <v>1</v>
      </c>
      <c r="F19" s="522">
        <v>434.82</v>
      </c>
    </row>
    <row r="20" spans="1:6" ht="14.4" customHeight="1" x14ac:dyDescent="0.3">
      <c r="A20" s="529" t="s">
        <v>781</v>
      </c>
      <c r="B20" s="521"/>
      <c r="C20" s="511">
        <v>0</v>
      </c>
      <c r="D20" s="521">
        <v>101.16</v>
      </c>
      <c r="E20" s="511">
        <v>1</v>
      </c>
      <c r="F20" s="522">
        <v>101.16</v>
      </c>
    </row>
    <row r="21" spans="1:6" ht="14.4" customHeight="1" x14ac:dyDescent="0.3">
      <c r="A21" s="529" t="s">
        <v>782</v>
      </c>
      <c r="B21" s="521"/>
      <c r="C21" s="511">
        <v>0</v>
      </c>
      <c r="D21" s="521">
        <v>228.78000000000003</v>
      </c>
      <c r="E21" s="511">
        <v>1</v>
      </c>
      <c r="F21" s="522">
        <v>228.78000000000003</v>
      </c>
    </row>
    <row r="22" spans="1:6" ht="14.4" customHeight="1" x14ac:dyDescent="0.3">
      <c r="A22" s="529" t="s">
        <v>783</v>
      </c>
      <c r="B22" s="521"/>
      <c r="C22" s="511">
        <v>0</v>
      </c>
      <c r="D22" s="521">
        <v>425.2</v>
      </c>
      <c r="E22" s="511">
        <v>1</v>
      </c>
      <c r="F22" s="522">
        <v>425.2</v>
      </c>
    </row>
    <row r="23" spans="1:6" ht="14.4" customHeight="1" x14ac:dyDescent="0.3">
      <c r="A23" s="529" t="s">
        <v>784</v>
      </c>
      <c r="B23" s="521"/>
      <c r="C23" s="511">
        <v>0</v>
      </c>
      <c r="D23" s="521">
        <v>490.17</v>
      </c>
      <c r="E23" s="511">
        <v>1</v>
      </c>
      <c r="F23" s="522">
        <v>490.17</v>
      </c>
    </row>
    <row r="24" spans="1:6" ht="14.4" customHeight="1" x14ac:dyDescent="0.3">
      <c r="A24" s="529" t="s">
        <v>785</v>
      </c>
      <c r="B24" s="521"/>
      <c r="C24" s="511">
        <v>0</v>
      </c>
      <c r="D24" s="521">
        <v>143.72</v>
      </c>
      <c r="E24" s="511">
        <v>1</v>
      </c>
      <c r="F24" s="522">
        <v>143.72</v>
      </c>
    </row>
    <row r="25" spans="1:6" ht="14.4" customHeight="1" x14ac:dyDescent="0.3">
      <c r="A25" s="529" t="s">
        <v>786</v>
      </c>
      <c r="B25" s="521"/>
      <c r="C25" s="511">
        <v>0</v>
      </c>
      <c r="D25" s="521">
        <v>222.25</v>
      </c>
      <c r="E25" s="511">
        <v>1</v>
      </c>
      <c r="F25" s="522">
        <v>222.25</v>
      </c>
    </row>
    <row r="26" spans="1:6" ht="14.4" customHeight="1" x14ac:dyDescent="0.3">
      <c r="A26" s="529" t="s">
        <v>787</v>
      </c>
      <c r="B26" s="521"/>
      <c r="C26" s="511">
        <v>0</v>
      </c>
      <c r="D26" s="521">
        <v>126.24</v>
      </c>
      <c r="E26" s="511">
        <v>1</v>
      </c>
      <c r="F26" s="522">
        <v>126.24</v>
      </c>
    </row>
    <row r="27" spans="1:6" ht="14.4" customHeight="1" x14ac:dyDescent="0.3">
      <c r="A27" s="529" t="s">
        <v>788</v>
      </c>
      <c r="B27" s="521">
        <v>0</v>
      </c>
      <c r="C27" s="511"/>
      <c r="D27" s="521"/>
      <c r="E27" s="511"/>
      <c r="F27" s="522">
        <v>0</v>
      </c>
    </row>
    <row r="28" spans="1:6" ht="14.4" customHeight="1" x14ac:dyDescent="0.3">
      <c r="A28" s="529" t="s">
        <v>789</v>
      </c>
      <c r="B28" s="521"/>
      <c r="C28" s="511">
        <v>0</v>
      </c>
      <c r="D28" s="521">
        <v>413.22</v>
      </c>
      <c r="E28" s="511">
        <v>1</v>
      </c>
      <c r="F28" s="522">
        <v>413.22</v>
      </c>
    </row>
    <row r="29" spans="1:6" ht="14.4" customHeight="1" x14ac:dyDescent="0.3">
      <c r="A29" s="529" t="s">
        <v>790</v>
      </c>
      <c r="B29" s="521"/>
      <c r="C29" s="511">
        <v>0</v>
      </c>
      <c r="D29" s="521">
        <v>32.630000000000003</v>
      </c>
      <c r="E29" s="511">
        <v>1</v>
      </c>
      <c r="F29" s="522">
        <v>32.630000000000003</v>
      </c>
    </row>
    <row r="30" spans="1:6" ht="14.4" customHeight="1" thickBot="1" x14ac:dyDescent="0.35">
      <c r="A30" s="530" t="s">
        <v>791</v>
      </c>
      <c r="B30" s="525"/>
      <c r="C30" s="526">
        <v>0</v>
      </c>
      <c r="D30" s="525">
        <v>605.64</v>
      </c>
      <c r="E30" s="526">
        <v>1</v>
      </c>
      <c r="F30" s="527">
        <v>605.64</v>
      </c>
    </row>
    <row r="31" spans="1:6" ht="14.4" customHeight="1" thickBot="1" x14ac:dyDescent="0.35">
      <c r="A31" s="463" t="s">
        <v>3</v>
      </c>
      <c r="B31" s="464">
        <v>1029.6600000000001</v>
      </c>
      <c r="C31" s="465">
        <v>0.2095458273382759</v>
      </c>
      <c r="D31" s="464">
        <v>3884.1099999999997</v>
      </c>
      <c r="E31" s="465">
        <v>0.79045417266172391</v>
      </c>
      <c r="F31" s="466">
        <v>4913.7700000000004</v>
      </c>
    </row>
  </sheetData>
  <mergeCells count="3">
    <mergeCell ref="A1:F1"/>
    <mergeCell ref="B3:C3"/>
    <mergeCell ref="D3:E3"/>
  </mergeCells>
  <conditionalFormatting sqref="C5:C1048576">
    <cfRule type="cellIs" dxfId="20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{03991B30-7EBA-4550-8DE4-5A83DED3813B}</x14:id>
        </ext>
      </extLst>
    </cfRule>
  </conditionalFormatting>
  <conditionalFormatting sqref="F13:F3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{BE3F420A-0C8D-45E9-B67F-BC4683DB068F}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991B30-7EBA-4550-8DE4-5A83DED381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BE3F420A-0C8D-45E9-B67F-BC4683DB068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F13:F30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2" customWidth="1"/>
    <col min="7" max="7" width="10" style="212" customWidth="1"/>
    <col min="8" max="8" width="6.77734375" style="215" customWidth="1"/>
    <col min="9" max="9" width="6.6640625" style="212" customWidth="1"/>
    <col min="10" max="10" width="10" style="212" customWidth="1"/>
    <col min="11" max="11" width="6.77734375" style="215" customWidth="1"/>
    <col min="12" max="12" width="6.6640625" style="212" customWidth="1"/>
    <col min="13" max="13" width="10" style="212" customWidth="1"/>
    <col min="14" max="16384" width="8.88671875" style="133"/>
  </cols>
  <sheetData>
    <row r="1" spans="1:13" ht="18.600000000000001" customHeight="1" thickBot="1" x14ac:dyDescent="0.4">
      <c r="A1" s="348" t="s">
        <v>810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10"/>
      <c r="M1" s="310"/>
    </row>
    <row r="2" spans="1:13" ht="14.4" customHeight="1" thickBot="1" x14ac:dyDescent="0.35">
      <c r="A2" s="240" t="s">
        <v>272</v>
      </c>
      <c r="B2" s="211"/>
      <c r="C2" s="211"/>
      <c r="D2" s="211"/>
      <c r="E2" s="211"/>
      <c r="F2" s="219"/>
      <c r="G2" s="219"/>
      <c r="H2" s="220"/>
      <c r="I2" s="219"/>
      <c r="J2" s="219"/>
      <c r="K2" s="220"/>
      <c r="L2" s="219"/>
    </row>
    <row r="3" spans="1:13" ht="14.4" customHeight="1" thickBot="1" x14ac:dyDescent="0.35">
      <c r="E3" s="79" t="s">
        <v>133</v>
      </c>
      <c r="F3" s="43">
        <f>SUBTOTAL(9,F6:F1048576)</f>
        <v>8</v>
      </c>
      <c r="G3" s="43">
        <f>SUBTOTAL(9,G6:G1048576)</f>
        <v>1029.6600000000001</v>
      </c>
      <c r="H3" s="44">
        <f>IF(M3=0,0,G3/M3)</f>
        <v>0.20954582733827595</v>
      </c>
      <c r="I3" s="43">
        <f>SUBTOTAL(9,I6:I1048576)</f>
        <v>39</v>
      </c>
      <c r="J3" s="43">
        <f>SUBTOTAL(9,J6:J1048576)</f>
        <v>3884.1099999999997</v>
      </c>
      <c r="K3" s="44">
        <f>IF(M3=0,0,J3/M3)</f>
        <v>0.79045417266172413</v>
      </c>
      <c r="L3" s="43">
        <f>SUBTOTAL(9,L6:L1048576)</f>
        <v>47</v>
      </c>
      <c r="M3" s="45">
        <f>SUBTOTAL(9,M6:M1048576)</f>
        <v>4913.7699999999995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135</v>
      </c>
      <c r="G4" s="353"/>
      <c r="H4" s="354"/>
      <c r="I4" s="355" t="s">
        <v>134</v>
      </c>
      <c r="J4" s="353"/>
      <c r="K4" s="354"/>
      <c r="L4" s="356" t="s">
        <v>3</v>
      </c>
      <c r="M4" s="357"/>
    </row>
    <row r="5" spans="1:13" ht="14.4" customHeight="1" thickBot="1" x14ac:dyDescent="0.35">
      <c r="A5" s="452" t="s">
        <v>141</v>
      </c>
      <c r="B5" s="469" t="s">
        <v>137</v>
      </c>
      <c r="C5" s="469" t="s">
        <v>71</v>
      </c>
      <c r="D5" s="469" t="s">
        <v>138</v>
      </c>
      <c r="E5" s="469" t="s">
        <v>139</v>
      </c>
      <c r="F5" s="470" t="s">
        <v>28</v>
      </c>
      <c r="G5" s="470" t="s">
        <v>14</v>
      </c>
      <c r="H5" s="454" t="s">
        <v>140</v>
      </c>
      <c r="I5" s="453" t="s">
        <v>28</v>
      </c>
      <c r="J5" s="470" t="s">
        <v>14</v>
      </c>
      <c r="K5" s="454" t="s">
        <v>140</v>
      </c>
      <c r="L5" s="453" t="s">
        <v>28</v>
      </c>
      <c r="M5" s="471" t="s">
        <v>14</v>
      </c>
    </row>
    <row r="6" spans="1:13" ht="14.4" customHeight="1" x14ac:dyDescent="0.3">
      <c r="A6" s="434" t="s">
        <v>561</v>
      </c>
      <c r="B6" s="435" t="s">
        <v>792</v>
      </c>
      <c r="C6" s="435" t="s">
        <v>600</v>
      </c>
      <c r="D6" s="435" t="s">
        <v>601</v>
      </c>
      <c r="E6" s="435" t="s">
        <v>602</v>
      </c>
      <c r="F6" s="438"/>
      <c r="G6" s="438"/>
      <c r="H6" s="457">
        <v>0</v>
      </c>
      <c r="I6" s="438">
        <v>1</v>
      </c>
      <c r="J6" s="438">
        <v>96.63</v>
      </c>
      <c r="K6" s="457">
        <v>1</v>
      </c>
      <c r="L6" s="438">
        <v>1</v>
      </c>
      <c r="M6" s="439">
        <v>96.63</v>
      </c>
    </row>
    <row r="7" spans="1:13" ht="14.4" customHeight="1" x14ac:dyDescent="0.3">
      <c r="A7" s="505" t="s">
        <v>562</v>
      </c>
      <c r="B7" s="506" t="s">
        <v>793</v>
      </c>
      <c r="C7" s="506" t="s">
        <v>627</v>
      </c>
      <c r="D7" s="506" t="s">
        <v>628</v>
      </c>
      <c r="E7" s="506" t="s">
        <v>629</v>
      </c>
      <c r="F7" s="521"/>
      <c r="G7" s="521"/>
      <c r="H7" s="511">
        <v>0</v>
      </c>
      <c r="I7" s="521">
        <v>1</v>
      </c>
      <c r="J7" s="521">
        <v>391.77</v>
      </c>
      <c r="K7" s="511">
        <v>1</v>
      </c>
      <c r="L7" s="521">
        <v>1</v>
      </c>
      <c r="M7" s="522">
        <v>391.77</v>
      </c>
    </row>
    <row r="8" spans="1:13" ht="14.4" customHeight="1" x14ac:dyDescent="0.3">
      <c r="A8" s="505" t="s">
        <v>563</v>
      </c>
      <c r="B8" s="506" t="s">
        <v>794</v>
      </c>
      <c r="C8" s="506" t="s">
        <v>667</v>
      </c>
      <c r="D8" s="506" t="s">
        <v>668</v>
      </c>
      <c r="E8" s="506" t="s">
        <v>669</v>
      </c>
      <c r="F8" s="521">
        <v>2</v>
      </c>
      <c r="G8" s="521">
        <v>253.08</v>
      </c>
      <c r="H8" s="511">
        <v>1</v>
      </c>
      <c r="I8" s="521"/>
      <c r="J8" s="521"/>
      <c r="K8" s="511">
        <v>0</v>
      </c>
      <c r="L8" s="521">
        <v>2</v>
      </c>
      <c r="M8" s="522">
        <v>253.08</v>
      </c>
    </row>
    <row r="9" spans="1:13" ht="14.4" customHeight="1" x14ac:dyDescent="0.3">
      <c r="A9" s="505" t="s">
        <v>563</v>
      </c>
      <c r="B9" s="506" t="s">
        <v>795</v>
      </c>
      <c r="C9" s="506" t="s">
        <v>657</v>
      </c>
      <c r="D9" s="506" t="s">
        <v>658</v>
      </c>
      <c r="E9" s="506" t="s">
        <v>659</v>
      </c>
      <c r="F9" s="521"/>
      <c r="G9" s="521"/>
      <c r="H9" s="511">
        <v>0</v>
      </c>
      <c r="I9" s="521">
        <v>2</v>
      </c>
      <c r="J9" s="521">
        <v>143.72</v>
      </c>
      <c r="K9" s="511">
        <v>1</v>
      </c>
      <c r="L9" s="521">
        <v>2</v>
      </c>
      <c r="M9" s="522">
        <v>143.72</v>
      </c>
    </row>
    <row r="10" spans="1:13" ht="14.4" customHeight="1" x14ac:dyDescent="0.3">
      <c r="A10" s="505" t="s">
        <v>563</v>
      </c>
      <c r="B10" s="506" t="s">
        <v>795</v>
      </c>
      <c r="C10" s="506" t="s">
        <v>660</v>
      </c>
      <c r="D10" s="506" t="s">
        <v>658</v>
      </c>
      <c r="E10" s="506" t="s">
        <v>661</v>
      </c>
      <c r="F10" s="521"/>
      <c r="G10" s="521"/>
      <c r="H10" s="511"/>
      <c r="I10" s="521">
        <v>1</v>
      </c>
      <c r="J10" s="521">
        <v>0</v>
      </c>
      <c r="K10" s="511"/>
      <c r="L10" s="521">
        <v>1</v>
      </c>
      <c r="M10" s="522">
        <v>0</v>
      </c>
    </row>
    <row r="11" spans="1:13" ht="14.4" customHeight="1" x14ac:dyDescent="0.3">
      <c r="A11" s="505" t="s">
        <v>563</v>
      </c>
      <c r="B11" s="506" t="s">
        <v>796</v>
      </c>
      <c r="C11" s="506" t="s">
        <v>635</v>
      </c>
      <c r="D11" s="506" t="s">
        <v>636</v>
      </c>
      <c r="E11" s="506" t="s">
        <v>637</v>
      </c>
      <c r="F11" s="521"/>
      <c r="G11" s="521"/>
      <c r="H11" s="511">
        <v>0</v>
      </c>
      <c r="I11" s="521">
        <v>1</v>
      </c>
      <c r="J11" s="521">
        <v>333.31</v>
      </c>
      <c r="K11" s="511">
        <v>1</v>
      </c>
      <c r="L11" s="521">
        <v>1</v>
      </c>
      <c r="M11" s="522">
        <v>333.31</v>
      </c>
    </row>
    <row r="12" spans="1:13" ht="14.4" customHeight="1" x14ac:dyDescent="0.3">
      <c r="A12" s="505" t="s">
        <v>563</v>
      </c>
      <c r="B12" s="506" t="s">
        <v>797</v>
      </c>
      <c r="C12" s="506" t="s">
        <v>639</v>
      </c>
      <c r="D12" s="506" t="s">
        <v>640</v>
      </c>
      <c r="E12" s="506" t="s">
        <v>641</v>
      </c>
      <c r="F12" s="521"/>
      <c r="G12" s="521"/>
      <c r="H12" s="511">
        <v>0</v>
      </c>
      <c r="I12" s="521">
        <v>1</v>
      </c>
      <c r="J12" s="521">
        <v>222.25</v>
      </c>
      <c r="K12" s="511">
        <v>1</v>
      </c>
      <c r="L12" s="521">
        <v>1</v>
      </c>
      <c r="M12" s="522">
        <v>222.25</v>
      </c>
    </row>
    <row r="13" spans="1:13" ht="14.4" customHeight="1" x14ac:dyDescent="0.3">
      <c r="A13" s="505" t="s">
        <v>563</v>
      </c>
      <c r="B13" s="506" t="s">
        <v>792</v>
      </c>
      <c r="C13" s="506" t="s">
        <v>600</v>
      </c>
      <c r="D13" s="506" t="s">
        <v>601</v>
      </c>
      <c r="E13" s="506" t="s">
        <v>602</v>
      </c>
      <c r="F13" s="521"/>
      <c r="G13" s="521"/>
      <c r="H13" s="511">
        <v>0</v>
      </c>
      <c r="I13" s="521">
        <v>2</v>
      </c>
      <c r="J13" s="521">
        <v>193.26</v>
      </c>
      <c r="K13" s="511">
        <v>1</v>
      </c>
      <c r="L13" s="521">
        <v>2</v>
      </c>
      <c r="M13" s="522">
        <v>193.26</v>
      </c>
    </row>
    <row r="14" spans="1:13" ht="14.4" customHeight="1" x14ac:dyDescent="0.3">
      <c r="A14" s="505" t="s">
        <v>564</v>
      </c>
      <c r="B14" s="506" t="s">
        <v>798</v>
      </c>
      <c r="C14" s="506" t="s">
        <v>687</v>
      </c>
      <c r="D14" s="506" t="s">
        <v>688</v>
      </c>
      <c r="E14" s="506"/>
      <c r="F14" s="521">
        <v>2</v>
      </c>
      <c r="G14" s="521">
        <v>0</v>
      </c>
      <c r="H14" s="511"/>
      <c r="I14" s="521"/>
      <c r="J14" s="521"/>
      <c r="K14" s="511"/>
      <c r="L14" s="521">
        <v>2</v>
      </c>
      <c r="M14" s="522">
        <v>0</v>
      </c>
    </row>
    <row r="15" spans="1:13" ht="14.4" customHeight="1" x14ac:dyDescent="0.3">
      <c r="A15" s="505" t="s">
        <v>564</v>
      </c>
      <c r="B15" s="506" t="s">
        <v>794</v>
      </c>
      <c r="C15" s="506" t="s">
        <v>667</v>
      </c>
      <c r="D15" s="506" t="s">
        <v>668</v>
      </c>
      <c r="E15" s="506" t="s">
        <v>669</v>
      </c>
      <c r="F15" s="521">
        <v>2</v>
      </c>
      <c r="G15" s="521">
        <v>253.08</v>
      </c>
      <c r="H15" s="511">
        <v>1</v>
      </c>
      <c r="I15" s="521"/>
      <c r="J15" s="521"/>
      <c r="K15" s="511">
        <v>0</v>
      </c>
      <c r="L15" s="521">
        <v>2</v>
      </c>
      <c r="M15" s="522">
        <v>253.08</v>
      </c>
    </row>
    <row r="16" spans="1:13" ht="14.4" customHeight="1" x14ac:dyDescent="0.3">
      <c r="A16" s="505" t="s">
        <v>564</v>
      </c>
      <c r="B16" s="506" t="s">
        <v>799</v>
      </c>
      <c r="C16" s="506" t="s">
        <v>705</v>
      </c>
      <c r="D16" s="506" t="s">
        <v>706</v>
      </c>
      <c r="E16" s="506" t="s">
        <v>707</v>
      </c>
      <c r="F16" s="521">
        <v>1</v>
      </c>
      <c r="G16" s="521">
        <v>323.43</v>
      </c>
      <c r="H16" s="511">
        <v>1</v>
      </c>
      <c r="I16" s="521"/>
      <c r="J16" s="521"/>
      <c r="K16" s="511">
        <v>0</v>
      </c>
      <c r="L16" s="521">
        <v>1</v>
      </c>
      <c r="M16" s="522">
        <v>323.43</v>
      </c>
    </row>
    <row r="17" spans="1:13" ht="14.4" customHeight="1" x14ac:dyDescent="0.3">
      <c r="A17" s="505" t="s">
        <v>564</v>
      </c>
      <c r="B17" s="506" t="s">
        <v>800</v>
      </c>
      <c r="C17" s="506" t="s">
        <v>679</v>
      </c>
      <c r="D17" s="506" t="s">
        <v>680</v>
      </c>
      <c r="E17" s="506" t="s">
        <v>681</v>
      </c>
      <c r="F17" s="521"/>
      <c r="G17" s="521"/>
      <c r="H17" s="511">
        <v>0</v>
      </c>
      <c r="I17" s="521">
        <v>3</v>
      </c>
      <c r="J17" s="521">
        <v>605.64</v>
      </c>
      <c r="K17" s="511">
        <v>1</v>
      </c>
      <c r="L17" s="521">
        <v>3</v>
      </c>
      <c r="M17" s="522">
        <v>605.64</v>
      </c>
    </row>
    <row r="18" spans="1:13" ht="14.4" customHeight="1" x14ac:dyDescent="0.3">
      <c r="A18" s="505" t="s">
        <v>564</v>
      </c>
      <c r="B18" s="506" t="s">
        <v>801</v>
      </c>
      <c r="C18" s="506" t="s">
        <v>697</v>
      </c>
      <c r="D18" s="506" t="s">
        <v>698</v>
      </c>
      <c r="E18" s="506" t="s">
        <v>699</v>
      </c>
      <c r="F18" s="521"/>
      <c r="G18" s="521"/>
      <c r="H18" s="511">
        <v>0</v>
      </c>
      <c r="I18" s="521">
        <v>3</v>
      </c>
      <c r="J18" s="521">
        <v>151.71</v>
      </c>
      <c r="K18" s="511">
        <v>1</v>
      </c>
      <c r="L18" s="521">
        <v>3</v>
      </c>
      <c r="M18" s="522">
        <v>151.71</v>
      </c>
    </row>
    <row r="19" spans="1:13" ht="14.4" customHeight="1" x14ac:dyDescent="0.3">
      <c r="A19" s="505" t="s">
        <v>564</v>
      </c>
      <c r="B19" s="506" t="s">
        <v>802</v>
      </c>
      <c r="C19" s="506" t="s">
        <v>690</v>
      </c>
      <c r="D19" s="506" t="s">
        <v>691</v>
      </c>
      <c r="E19" s="506" t="s">
        <v>692</v>
      </c>
      <c r="F19" s="521"/>
      <c r="G19" s="521"/>
      <c r="H19" s="511">
        <v>0</v>
      </c>
      <c r="I19" s="521">
        <v>1</v>
      </c>
      <c r="J19" s="521">
        <v>116.8</v>
      </c>
      <c r="K19" s="511">
        <v>1</v>
      </c>
      <c r="L19" s="521">
        <v>1</v>
      </c>
      <c r="M19" s="522">
        <v>116.8</v>
      </c>
    </row>
    <row r="20" spans="1:13" ht="14.4" customHeight="1" x14ac:dyDescent="0.3">
      <c r="A20" s="505" t="s">
        <v>565</v>
      </c>
      <c r="B20" s="506" t="s">
        <v>803</v>
      </c>
      <c r="C20" s="506" t="s">
        <v>717</v>
      </c>
      <c r="D20" s="506" t="s">
        <v>718</v>
      </c>
      <c r="E20" s="506" t="s">
        <v>719</v>
      </c>
      <c r="F20" s="521"/>
      <c r="G20" s="521"/>
      <c r="H20" s="511">
        <v>0</v>
      </c>
      <c r="I20" s="521">
        <v>4</v>
      </c>
      <c r="J20" s="521">
        <v>425.2</v>
      </c>
      <c r="K20" s="511">
        <v>1</v>
      </c>
      <c r="L20" s="521">
        <v>4</v>
      </c>
      <c r="M20" s="522">
        <v>425.2</v>
      </c>
    </row>
    <row r="21" spans="1:13" ht="14.4" customHeight="1" x14ac:dyDescent="0.3">
      <c r="A21" s="505" t="s">
        <v>565</v>
      </c>
      <c r="B21" s="506" t="s">
        <v>804</v>
      </c>
      <c r="C21" s="506" t="s">
        <v>725</v>
      </c>
      <c r="D21" s="506" t="s">
        <v>726</v>
      </c>
      <c r="E21" s="506" t="s">
        <v>727</v>
      </c>
      <c r="F21" s="521">
        <v>1</v>
      </c>
      <c r="G21" s="521">
        <v>200.07</v>
      </c>
      <c r="H21" s="511">
        <v>1</v>
      </c>
      <c r="I21" s="521"/>
      <c r="J21" s="521"/>
      <c r="K21" s="511">
        <v>0</v>
      </c>
      <c r="L21" s="521">
        <v>1</v>
      </c>
      <c r="M21" s="522">
        <v>200.07</v>
      </c>
    </row>
    <row r="22" spans="1:13" ht="14.4" customHeight="1" x14ac:dyDescent="0.3">
      <c r="A22" s="505" t="s">
        <v>565</v>
      </c>
      <c r="B22" s="506" t="s">
        <v>805</v>
      </c>
      <c r="C22" s="506" t="s">
        <v>721</v>
      </c>
      <c r="D22" s="506" t="s">
        <v>722</v>
      </c>
      <c r="E22" s="506" t="s">
        <v>723</v>
      </c>
      <c r="F22" s="521"/>
      <c r="G22" s="521"/>
      <c r="H22" s="511">
        <v>0</v>
      </c>
      <c r="I22" s="521">
        <v>6</v>
      </c>
      <c r="J22" s="521">
        <v>228.78000000000003</v>
      </c>
      <c r="K22" s="511">
        <v>1</v>
      </c>
      <c r="L22" s="521">
        <v>6</v>
      </c>
      <c r="M22" s="522">
        <v>228.78000000000003</v>
      </c>
    </row>
    <row r="23" spans="1:13" ht="14.4" customHeight="1" x14ac:dyDescent="0.3">
      <c r="A23" s="505" t="s">
        <v>565</v>
      </c>
      <c r="B23" s="506" t="s">
        <v>792</v>
      </c>
      <c r="C23" s="506" t="s">
        <v>728</v>
      </c>
      <c r="D23" s="506" t="s">
        <v>601</v>
      </c>
      <c r="E23" s="506" t="s">
        <v>729</v>
      </c>
      <c r="F23" s="521"/>
      <c r="G23" s="521"/>
      <c r="H23" s="511">
        <v>0</v>
      </c>
      <c r="I23" s="521">
        <v>3</v>
      </c>
      <c r="J23" s="521">
        <v>144.93</v>
      </c>
      <c r="K23" s="511">
        <v>1</v>
      </c>
      <c r="L23" s="521">
        <v>3</v>
      </c>
      <c r="M23" s="522">
        <v>144.93</v>
      </c>
    </row>
    <row r="24" spans="1:13" ht="14.4" customHeight="1" x14ac:dyDescent="0.3">
      <c r="A24" s="505" t="s">
        <v>565</v>
      </c>
      <c r="B24" s="506" t="s">
        <v>806</v>
      </c>
      <c r="C24" s="506" t="s">
        <v>731</v>
      </c>
      <c r="D24" s="506" t="s">
        <v>732</v>
      </c>
      <c r="E24" s="506" t="s">
        <v>733</v>
      </c>
      <c r="F24" s="521"/>
      <c r="G24" s="521"/>
      <c r="H24" s="511">
        <v>0</v>
      </c>
      <c r="I24" s="521">
        <v>3</v>
      </c>
      <c r="J24" s="521">
        <v>126.24</v>
      </c>
      <c r="K24" s="511">
        <v>1</v>
      </c>
      <c r="L24" s="521">
        <v>3</v>
      </c>
      <c r="M24" s="522">
        <v>126.24</v>
      </c>
    </row>
    <row r="25" spans="1:13" ht="14.4" customHeight="1" x14ac:dyDescent="0.3">
      <c r="A25" s="505" t="s">
        <v>566</v>
      </c>
      <c r="B25" s="506" t="s">
        <v>807</v>
      </c>
      <c r="C25" s="506" t="s">
        <v>765</v>
      </c>
      <c r="D25" s="506" t="s">
        <v>766</v>
      </c>
      <c r="E25" s="506" t="s">
        <v>767</v>
      </c>
      <c r="F25" s="521"/>
      <c r="G25" s="521"/>
      <c r="H25" s="511">
        <v>0</v>
      </c>
      <c r="I25" s="521">
        <v>1</v>
      </c>
      <c r="J25" s="521">
        <v>32.630000000000003</v>
      </c>
      <c r="K25" s="511">
        <v>1</v>
      </c>
      <c r="L25" s="521">
        <v>1</v>
      </c>
      <c r="M25" s="522">
        <v>32.630000000000003</v>
      </c>
    </row>
    <row r="26" spans="1:13" ht="14.4" customHeight="1" x14ac:dyDescent="0.3">
      <c r="A26" s="505" t="s">
        <v>566</v>
      </c>
      <c r="B26" s="506" t="s">
        <v>808</v>
      </c>
      <c r="C26" s="506" t="s">
        <v>761</v>
      </c>
      <c r="D26" s="506" t="s">
        <v>762</v>
      </c>
      <c r="E26" s="506" t="s">
        <v>763</v>
      </c>
      <c r="F26" s="521"/>
      <c r="G26" s="521"/>
      <c r="H26" s="511">
        <v>0</v>
      </c>
      <c r="I26" s="521">
        <v>3</v>
      </c>
      <c r="J26" s="521">
        <v>101.16</v>
      </c>
      <c r="K26" s="511">
        <v>1</v>
      </c>
      <c r="L26" s="521">
        <v>3</v>
      </c>
      <c r="M26" s="522">
        <v>101.16</v>
      </c>
    </row>
    <row r="27" spans="1:13" ht="14.4" customHeight="1" x14ac:dyDescent="0.3">
      <c r="A27" s="505" t="s">
        <v>566</v>
      </c>
      <c r="B27" s="506" t="s">
        <v>795</v>
      </c>
      <c r="C27" s="506" t="s">
        <v>755</v>
      </c>
      <c r="D27" s="506" t="s">
        <v>756</v>
      </c>
      <c r="E27" s="506" t="s">
        <v>757</v>
      </c>
      <c r="F27" s="521"/>
      <c r="G27" s="521"/>
      <c r="H27" s="511"/>
      <c r="I27" s="521">
        <v>1</v>
      </c>
      <c r="J27" s="521">
        <v>0</v>
      </c>
      <c r="K27" s="511"/>
      <c r="L27" s="521">
        <v>1</v>
      </c>
      <c r="M27" s="522">
        <v>0</v>
      </c>
    </row>
    <row r="28" spans="1:13" ht="14.4" customHeight="1" x14ac:dyDescent="0.3">
      <c r="A28" s="505" t="s">
        <v>566</v>
      </c>
      <c r="B28" s="506" t="s">
        <v>796</v>
      </c>
      <c r="C28" s="506" t="s">
        <v>635</v>
      </c>
      <c r="D28" s="506" t="s">
        <v>636</v>
      </c>
      <c r="E28" s="506" t="s">
        <v>637</v>
      </c>
      <c r="F28" s="521"/>
      <c r="G28" s="521"/>
      <c r="H28" s="511">
        <v>0</v>
      </c>
      <c r="I28" s="521">
        <v>1</v>
      </c>
      <c r="J28" s="521">
        <v>156.86000000000001</v>
      </c>
      <c r="K28" s="511">
        <v>1</v>
      </c>
      <c r="L28" s="521">
        <v>1</v>
      </c>
      <c r="M28" s="522">
        <v>156.86000000000001</v>
      </c>
    </row>
    <row r="29" spans="1:13" ht="14.4" customHeight="1" thickBot="1" x14ac:dyDescent="0.35">
      <c r="A29" s="513" t="s">
        <v>566</v>
      </c>
      <c r="B29" s="514" t="s">
        <v>809</v>
      </c>
      <c r="C29" s="514" t="s">
        <v>752</v>
      </c>
      <c r="D29" s="514" t="s">
        <v>753</v>
      </c>
      <c r="E29" s="514" t="s">
        <v>754</v>
      </c>
      <c r="F29" s="523"/>
      <c r="G29" s="523"/>
      <c r="H29" s="519">
        <v>0</v>
      </c>
      <c r="I29" s="523">
        <v>1</v>
      </c>
      <c r="J29" s="523">
        <v>413.22</v>
      </c>
      <c r="K29" s="519">
        <v>1</v>
      </c>
      <c r="L29" s="523">
        <v>1</v>
      </c>
      <c r="M29" s="524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3" customWidth="1"/>
    <col min="2" max="2" width="61.109375" style="213" customWidth="1"/>
    <col min="3" max="3" width="9.5546875" style="133" customWidth="1"/>
    <col min="4" max="4" width="9.5546875" style="214" customWidth="1"/>
    <col min="5" max="5" width="2.21875" style="214" customWidth="1"/>
    <col min="6" max="6" width="9.5546875" style="215" customWidth="1"/>
    <col min="7" max="7" width="9.5546875" style="212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39" t="s">
        <v>145</v>
      </c>
      <c r="B1" s="340"/>
      <c r="C1" s="340"/>
      <c r="D1" s="340"/>
      <c r="E1" s="340"/>
      <c r="F1" s="340"/>
      <c r="G1" s="311"/>
      <c r="H1" s="341"/>
      <c r="I1" s="341"/>
    </row>
    <row r="2" spans="1:10" ht="14.4" customHeight="1" thickBot="1" x14ac:dyDescent="0.35">
      <c r="A2" s="240" t="s">
        <v>272</v>
      </c>
      <c r="B2" s="211"/>
      <c r="C2" s="211"/>
      <c r="D2" s="211"/>
      <c r="E2" s="211"/>
      <c r="F2" s="211"/>
    </row>
    <row r="3" spans="1:10" ht="14.4" customHeight="1" thickBot="1" x14ac:dyDescent="0.35">
      <c r="A3" s="240"/>
      <c r="B3" s="211"/>
      <c r="C3" s="298">
        <v>2012</v>
      </c>
      <c r="D3" s="299">
        <v>2013</v>
      </c>
      <c r="E3" s="7"/>
      <c r="F3" s="334">
        <v>2014</v>
      </c>
      <c r="G3" s="335"/>
      <c r="H3" s="335"/>
      <c r="I3" s="336"/>
    </row>
    <row r="4" spans="1:10" ht="14.4" customHeight="1" thickBot="1" x14ac:dyDescent="0.35">
      <c r="A4" s="303" t="s">
        <v>0</v>
      </c>
      <c r="B4" s="304" t="s">
        <v>271</v>
      </c>
      <c r="C4" s="337" t="s">
        <v>73</v>
      </c>
      <c r="D4" s="338"/>
      <c r="E4" s="305"/>
      <c r="F4" s="300" t="s">
        <v>73</v>
      </c>
      <c r="G4" s="301" t="s">
        <v>74</v>
      </c>
      <c r="H4" s="301" t="s">
        <v>68</v>
      </c>
      <c r="I4" s="302" t="s">
        <v>75</v>
      </c>
    </row>
    <row r="5" spans="1:10" ht="14.4" customHeight="1" x14ac:dyDescent="0.3">
      <c r="A5" s="422" t="s">
        <v>425</v>
      </c>
      <c r="B5" s="423" t="s">
        <v>426</v>
      </c>
      <c r="C5" s="424" t="s">
        <v>427</v>
      </c>
      <c r="D5" s="424" t="s">
        <v>427</v>
      </c>
      <c r="E5" s="424"/>
      <c r="F5" s="424" t="s">
        <v>427</v>
      </c>
      <c r="G5" s="424" t="s">
        <v>427</v>
      </c>
      <c r="H5" s="424" t="s">
        <v>427</v>
      </c>
      <c r="I5" s="425" t="s">
        <v>427</v>
      </c>
      <c r="J5" s="426" t="s">
        <v>69</v>
      </c>
    </row>
    <row r="6" spans="1:10" ht="14.4" customHeight="1" x14ac:dyDescent="0.3">
      <c r="A6" s="422" t="s">
        <v>425</v>
      </c>
      <c r="B6" s="423" t="s">
        <v>282</v>
      </c>
      <c r="C6" s="424">
        <v>0</v>
      </c>
      <c r="D6" s="424">
        <v>1.904329999999</v>
      </c>
      <c r="E6" s="424"/>
      <c r="F6" s="424">
        <v>6.5085899999999999</v>
      </c>
      <c r="G6" s="424">
        <v>5.3785829357758344</v>
      </c>
      <c r="H6" s="424">
        <v>1.1300070642241655</v>
      </c>
      <c r="I6" s="425">
        <v>1.2100938254029483</v>
      </c>
      <c r="J6" s="426" t="s">
        <v>1</v>
      </c>
    </row>
    <row r="7" spans="1:10" ht="14.4" customHeight="1" x14ac:dyDescent="0.3">
      <c r="A7" s="422" t="s">
        <v>425</v>
      </c>
      <c r="B7" s="423" t="s">
        <v>283</v>
      </c>
      <c r="C7" s="424">
        <v>0.92774000000000001</v>
      </c>
      <c r="D7" s="424">
        <v>0.60865000000000002</v>
      </c>
      <c r="E7" s="424"/>
      <c r="F7" s="424">
        <v>0.61673</v>
      </c>
      <c r="G7" s="424">
        <v>0.99437696716583335</v>
      </c>
      <c r="H7" s="424">
        <v>-0.37764696716583335</v>
      </c>
      <c r="I7" s="425">
        <v>0.62021750338586357</v>
      </c>
      <c r="J7" s="426" t="s">
        <v>1</v>
      </c>
    </row>
    <row r="8" spans="1:10" ht="14.4" customHeight="1" x14ac:dyDescent="0.3">
      <c r="A8" s="422" t="s">
        <v>425</v>
      </c>
      <c r="B8" s="423" t="s">
        <v>284</v>
      </c>
      <c r="C8" s="424">
        <v>21.71105</v>
      </c>
      <c r="D8" s="424">
        <v>8.884239999999</v>
      </c>
      <c r="E8" s="424"/>
      <c r="F8" s="424">
        <v>6.5369500000000009</v>
      </c>
      <c r="G8" s="424">
        <v>13.144205146151668</v>
      </c>
      <c r="H8" s="424">
        <v>-6.6072551461516671</v>
      </c>
      <c r="I8" s="425">
        <v>0.49732562199958325</v>
      </c>
      <c r="J8" s="426" t="s">
        <v>1</v>
      </c>
    </row>
    <row r="9" spans="1:10" ht="14.4" customHeight="1" x14ac:dyDescent="0.3">
      <c r="A9" s="422" t="s">
        <v>425</v>
      </c>
      <c r="B9" s="423" t="s">
        <v>285</v>
      </c>
      <c r="C9" s="424">
        <v>10.79</v>
      </c>
      <c r="D9" s="424">
        <v>13.604000000000001</v>
      </c>
      <c r="E9" s="424"/>
      <c r="F9" s="424">
        <v>6.5339999999999989</v>
      </c>
      <c r="G9" s="424">
        <v>12.888591344560833</v>
      </c>
      <c r="H9" s="424">
        <v>-6.3545913445608342</v>
      </c>
      <c r="I9" s="425">
        <v>0.50695997920342462</v>
      </c>
      <c r="J9" s="426" t="s">
        <v>1</v>
      </c>
    </row>
    <row r="10" spans="1:10" ht="14.4" customHeight="1" x14ac:dyDescent="0.3">
      <c r="A10" s="422" t="s">
        <v>425</v>
      </c>
      <c r="B10" s="423" t="s">
        <v>286</v>
      </c>
      <c r="C10" s="424">
        <v>0.873</v>
      </c>
      <c r="D10" s="424">
        <v>0.52399999999900004</v>
      </c>
      <c r="E10" s="424"/>
      <c r="F10" s="424">
        <v>0.94599999999999995</v>
      </c>
      <c r="G10" s="424">
        <v>0.62547406601958333</v>
      </c>
      <c r="H10" s="424">
        <v>0.32052593398041662</v>
      </c>
      <c r="I10" s="425">
        <v>1.5124527960370799</v>
      </c>
      <c r="J10" s="426" t="s">
        <v>1</v>
      </c>
    </row>
    <row r="11" spans="1:10" ht="14.4" customHeight="1" x14ac:dyDescent="0.3">
      <c r="A11" s="422" t="s">
        <v>425</v>
      </c>
      <c r="B11" s="423" t="s">
        <v>287</v>
      </c>
      <c r="C11" s="424">
        <v>1.0820000000000001</v>
      </c>
      <c r="D11" s="424">
        <v>0.86499999999900001</v>
      </c>
      <c r="E11" s="424"/>
      <c r="F11" s="424">
        <v>0.60499999999999998</v>
      </c>
      <c r="G11" s="424">
        <v>1.1100722144208333</v>
      </c>
      <c r="H11" s="424">
        <v>-0.50507221442083328</v>
      </c>
      <c r="I11" s="425">
        <v>0.54500958779123343</v>
      </c>
      <c r="J11" s="426" t="s">
        <v>1</v>
      </c>
    </row>
    <row r="12" spans="1:10" ht="14.4" customHeight="1" x14ac:dyDescent="0.3">
      <c r="A12" s="422" t="s">
        <v>425</v>
      </c>
      <c r="B12" s="423" t="s">
        <v>429</v>
      </c>
      <c r="C12" s="424">
        <v>35.383789999999998</v>
      </c>
      <c r="D12" s="424">
        <v>26.390219999995999</v>
      </c>
      <c r="E12" s="424"/>
      <c r="F12" s="424">
        <v>21.74727</v>
      </c>
      <c r="G12" s="424">
        <v>34.14130267409459</v>
      </c>
      <c r="H12" s="424">
        <v>-12.394032674094589</v>
      </c>
      <c r="I12" s="425">
        <v>0.63697833113149449</v>
      </c>
      <c r="J12" s="426" t="s">
        <v>430</v>
      </c>
    </row>
    <row r="14" spans="1:10" ht="14.4" customHeight="1" x14ac:dyDescent="0.3">
      <c r="A14" s="422" t="s">
        <v>425</v>
      </c>
      <c r="B14" s="423" t="s">
        <v>426</v>
      </c>
      <c r="C14" s="424" t="s">
        <v>427</v>
      </c>
      <c r="D14" s="424" t="s">
        <v>427</v>
      </c>
      <c r="E14" s="424"/>
      <c r="F14" s="424" t="s">
        <v>427</v>
      </c>
      <c r="G14" s="424" t="s">
        <v>427</v>
      </c>
      <c r="H14" s="424" t="s">
        <v>427</v>
      </c>
      <c r="I14" s="425" t="s">
        <v>427</v>
      </c>
      <c r="J14" s="426" t="s">
        <v>69</v>
      </c>
    </row>
    <row r="15" spans="1:10" ht="14.4" customHeight="1" x14ac:dyDescent="0.3">
      <c r="A15" s="422" t="s">
        <v>431</v>
      </c>
      <c r="B15" s="423" t="s">
        <v>432</v>
      </c>
      <c r="C15" s="424" t="s">
        <v>427</v>
      </c>
      <c r="D15" s="424" t="s">
        <v>427</v>
      </c>
      <c r="E15" s="424"/>
      <c r="F15" s="424" t="s">
        <v>427</v>
      </c>
      <c r="G15" s="424" t="s">
        <v>427</v>
      </c>
      <c r="H15" s="424" t="s">
        <v>427</v>
      </c>
      <c r="I15" s="425" t="s">
        <v>427</v>
      </c>
      <c r="J15" s="426" t="s">
        <v>0</v>
      </c>
    </row>
    <row r="16" spans="1:10" ht="14.4" customHeight="1" x14ac:dyDescent="0.3">
      <c r="A16" s="422" t="s">
        <v>431</v>
      </c>
      <c r="B16" s="423" t="s">
        <v>283</v>
      </c>
      <c r="C16" s="424">
        <v>0.32482</v>
      </c>
      <c r="D16" s="424" t="s">
        <v>427</v>
      </c>
      <c r="E16" s="424"/>
      <c r="F16" s="424" t="s">
        <v>427</v>
      </c>
      <c r="G16" s="424" t="s">
        <v>427</v>
      </c>
      <c r="H16" s="424" t="s">
        <v>427</v>
      </c>
      <c r="I16" s="425" t="s">
        <v>427</v>
      </c>
      <c r="J16" s="426" t="s">
        <v>1</v>
      </c>
    </row>
    <row r="17" spans="1:10" ht="14.4" customHeight="1" x14ac:dyDescent="0.3">
      <c r="A17" s="422" t="s">
        <v>431</v>
      </c>
      <c r="B17" s="423" t="s">
        <v>284</v>
      </c>
      <c r="C17" s="424">
        <v>10.246399999999998</v>
      </c>
      <c r="D17" s="424" t="s">
        <v>427</v>
      </c>
      <c r="E17" s="424"/>
      <c r="F17" s="424" t="s">
        <v>427</v>
      </c>
      <c r="G17" s="424" t="s">
        <v>427</v>
      </c>
      <c r="H17" s="424" t="s">
        <v>427</v>
      </c>
      <c r="I17" s="425" t="s">
        <v>427</v>
      </c>
      <c r="J17" s="426" t="s">
        <v>1</v>
      </c>
    </row>
    <row r="18" spans="1:10" ht="14.4" customHeight="1" x14ac:dyDescent="0.3">
      <c r="A18" s="422" t="s">
        <v>431</v>
      </c>
      <c r="B18" s="423" t="s">
        <v>285</v>
      </c>
      <c r="C18" s="424">
        <v>10.79</v>
      </c>
      <c r="D18" s="424" t="s">
        <v>427</v>
      </c>
      <c r="E18" s="424"/>
      <c r="F18" s="424" t="s">
        <v>427</v>
      </c>
      <c r="G18" s="424" t="s">
        <v>427</v>
      </c>
      <c r="H18" s="424" t="s">
        <v>427</v>
      </c>
      <c r="I18" s="425" t="s">
        <v>427</v>
      </c>
      <c r="J18" s="426" t="s">
        <v>1</v>
      </c>
    </row>
    <row r="19" spans="1:10" ht="14.4" customHeight="1" x14ac:dyDescent="0.3">
      <c r="A19" s="422" t="s">
        <v>431</v>
      </c>
      <c r="B19" s="423" t="s">
        <v>286</v>
      </c>
      <c r="C19" s="424">
        <v>0.84399999999999997</v>
      </c>
      <c r="D19" s="424" t="s">
        <v>427</v>
      </c>
      <c r="E19" s="424"/>
      <c r="F19" s="424" t="s">
        <v>427</v>
      </c>
      <c r="G19" s="424" t="s">
        <v>427</v>
      </c>
      <c r="H19" s="424" t="s">
        <v>427</v>
      </c>
      <c r="I19" s="425" t="s">
        <v>427</v>
      </c>
      <c r="J19" s="426" t="s">
        <v>1</v>
      </c>
    </row>
    <row r="20" spans="1:10" ht="14.4" customHeight="1" x14ac:dyDescent="0.3">
      <c r="A20" s="422" t="s">
        <v>431</v>
      </c>
      <c r="B20" s="423" t="s">
        <v>287</v>
      </c>
      <c r="C20" s="424">
        <v>0.25600000000000001</v>
      </c>
      <c r="D20" s="424" t="s">
        <v>427</v>
      </c>
      <c r="E20" s="424"/>
      <c r="F20" s="424" t="s">
        <v>427</v>
      </c>
      <c r="G20" s="424" t="s">
        <v>427</v>
      </c>
      <c r="H20" s="424" t="s">
        <v>427</v>
      </c>
      <c r="I20" s="425" t="s">
        <v>427</v>
      </c>
      <c r="J20" s="426" t="s">
        <v>1</v>
      </c>
    </row>
    <row r="21" spans="1:10" ht="14.4" customHeight="1" x14ac:dyDescent="0.3">
      <c r="A21" s="422" t="s">
        <v>431</v>
      </c>
      <c r="B21" s="423" t="s">
        <v>433</v>
      </c>
      <c r="C21" s="424">
        <v>22.461219999999997</v>
      </c>
      <c r="D21" s="424" t="s">
        <v>427</v>
      </c>
      <c r="E21" s="424"/>
      <c r="F21" s="424" t="s">
        <v>427</v>
      </c>
      <c r="G21" s="424" t="s">
        <v>427</v>
      </c>
      <c r="H21" s="424" t="s">
        <v>427</v>
      </c>
      <c r="I21" s="425" t="s">
        <v>427</v>
      </c>
      <c r="J21" s="426" t="s">
        <v>434</v>
      </c>
    </row>
    <row r="22" spans="1:10" ht="14.4" customHeight="1" x14ac:dyDescent="0.3">
      <c r="A22" s="422" t="s">
        <v>427</v>
      </c>
      <c r="B22" s="423" t="s">
        <v>427</v>
      </c>
      <c r="C22" s="424" t="s">
        <v>427</v>
      </c>
      <c r="D22" s="424" t="s">
        <v>427</v>
      </c>
      <c r="E22" s="424"/>
      <c r="F22" s="424" t="s">
        <v>427</v>
      </c>
      <c r="G22" s="424" t="s">
        <v>427</v>
      </c>
      <c r="H22" s="424" t="s">
        <v>427</v>
      </c>
      <c r="I22" s="425" t="s">
        <v>427</v>
      </c>
      <c r="J22" s="426" t="s">
        <v>435</v>
      </c>
    </row>
    <row r="23" spans="1:10" ht="14.4" customHeight="1" x14ac:dyDescent="0.3">
      <c r="A23" s="422" t="s">
        <v>436</v>
      </c>
      <c r="B23" s="423" t="s">
        <v>437</v>
      </c>
      <c r="C23" s="424" t="s">
        <v>427</v>
      </c>
      <c r="D23" s="424" t="s">
        <v>427</v>
      </c>
      <c r="E23" s="424"/>
      <c r="F23" s="424" t="s">
        <v>427</v>
      </c>
      <c r="G23" s="424" t="s">
        <v>427</v>
      </c>
      <c r="H23" s="424" t="s">
        <v>427</v>
      </c>
      <c r="I23" s="425" t="s">
        <v>427</v>
      </c>
      <c r="J23" s="426" t="s">
        <v>0</v>
      </c>
    </row>
    <row r="24" spans="1:10" ht="14.4" customHeight="1" x14ac:dyDescent="0.3">
      <c r="A24" s="422" t="s">
        <v>436</v>
      </c>
      <c r="B24" s="423" t="s">
        <v>282</v>
      </c>
      <c r="C24" s="424">
        <v>0</v>
      </c>
      <c r="D24" s="424">
        <v>1.904329999999</v>
      </c>
      <c r="E24" s="424"/>
      <c r="F24" s="424">
        <v>6.5085899999999999</v>
      </c>
      <c r="G24" s="424">
        <v>5.0639832689850008</v>
      </c>
      <c r="H24" s="424">
        <v>1.444606731014999</v>
      </c>
      <c r="I24" s="425">
        <v>1.2852708341006325</v>
      </c>
      <c r="J24" s="426" t="s">
        <v>1</v>
      </c>
    </row>
    <row r="25" spans="1:10" ht="14.4" customHeight="1" x14ac:dyDescent="0.3">
      <c r="A25" s="422" t="s">
        <v>436</v>
      </c>
      <c r="B25" s="423" t="s">
        <v>283</v>
      </c>
      <c r="C25" s="424">
        <v>0.219</v>
      </c>
      <c r="D25" s="424">
        <v>0.31054000000000004</v>
      </c>
      <c r="E25" s="424"/>
      <c r="F25" s="424">
        <v>0.40006999999999998</v>
      </c>
      <c r="G25" s="424">
        <v>0.67986336981666662</v>
      </c>
      <c r="H25" s="424">
        <v>-0.27979336981666664</v>
      </c>
      <c r="I25" s="425">
        <v>0.5884564719347708</v>
      </c>
      <c r="J25" s="426" t="s">
        <v>1</v>
      </c>
    </row>
    <row r="26" spans="1:10" ht="14.4" customHeight="1" x14ac:dyDescent="0.3">
      <c r="A26" s="422" t="s">
        <v>436</v>
      </c>
      <c r="B26" s="423" t="s">
        <v>284</v>
      </c>
      <c r="C26" s="424">
        <v>6.8855000000000004</v>
      </c>
      <c r="D26" s="424">
        <v>5.0329899999999999</v>
      </c>
      <c r="E26" s="424"/>
      <c r="F26" s="424">
        <v>3.35155</v>
      </c>
      <c r="G26" s="424">
        <v>8.3298455813000007</v>
      </c>
      <c r="H26" s="424">
        <v>-4.9782955813000012</v>
      </c>
      <c r="I26" s="425">
        <v>0.40235439748415347</v>
      </c>
      <c r="J26" s="426" t="s">
        <v>1</v>
      </c>
    </row>
    <row r="27" spans="1:10" ht="14.4" customHeight="1" x14ac:dyDescent="0.3">
      <c r="A27" s="422" t="s">
        <v>436</v>
      </c>
      <c r="B27" s="423" t="s">
        <v>285</v>
      </c>
      <c r="C27" s="424">
        <v>0</v>
      </c>
      <c r="D27" s="424">
        <v>13.604000000000001</v>
      </c>
      <c r="E27" s="424"/>
      <c r="F27" s="424">
        <v>6.5339999999999989</v>
      </c>
      <c r="G27" s="424">
        <v>12.888591344560833</v>
      </c>
      <c r="H27" s="424">
        <v>-6.3545913445608342</v>
      </c>
      <c r="I27" s="425">
        <v>0.50695997920342462</v>
      </c>
      <c r="J27" s="426" t="s">
        <v>1</v>
      </c>
    </row>
    <row r="28" spans="1:10" ht="14.4" customHeight="1" x14ac:dyDescent="0.3">
      <c r="A28" s="422" t="s">
        <v>436</v>
      </c>
      <c r="B28" s="423" t="s">
        <v>286</v>
      </c>
      <c r="C28" s="424">
        <v>0</v>
      </c>
      <c r="D28" s="424">
        <v>0.40699999999900005</v>
      </c>
      <c r="E28" s="424"/>
      <c r="F28" s="424">
        <v>0.53</v>
      </c>
      <c r="G28" s="424">
        <v>0.40748821587333334</v>
      </c>
      <c r="H28" s="424">
        <v>0.12251178412666669</v>
      </c>
      <c r="I28" s="425">
        <v>1.300651109294285</v>
      </c>
      <c r="J28" s="426" t="s">
        <v>1</v>
      </c>
    </row>
    <row r="29" spans="1:10" ht="14.4" customHeight="1" x14ac:dyDescent="0.3">
      <c r="A29" s="422" t="s">
        <v>436</v>
      </c>
      <c r="B29" s="423" t="s">
        <v>287</v>
      </c>
      <c r="C29" s="424">
        <v>0.44700000000000001</v>
      </c>
      <c r="D29" s="424">
        <v>0.46400000000000002</v>
      </c>
      <c r="E29" s="424"/>
      <c r="F29" s="424">
        <v>0.38500000000000001</v>
      </c>
      <c r="G29" s="424">
        <v>0.5890524046070833</v>
      </c>
      <c r="H29" s="424">
        <v>-0.20405240460708329</v>
      </c>
      <c r="I29" s="425">
        <v>0.6535921031623787</v>
      </c>
      <c r="J29" s="426" t="s">
        <v>1</v>
      </c>
    </row>
    <row r="30" spans="1:10" ht="14.4" customHeight="1" x14ac:dyDescent="0.3">
      <c r="A30" s="422" t="s">
        <v>436</v>
      </c>
      <c r="B30" s="423" t="s">
        <v>438</v>
      </c>
      <c r="C30" s="424">
        <v>7.5515000000000008</v>
      </c>
      <c r="D30" s="424">
        <v>21.722859999998001</v>
      </c>
      <c r="E30" s="424"/>
      <c r="F30" s="424">
        <v>17.709210000000002</v>
      </c>
      <c r="G30" s="424">
        <v>27.958824185142916</v>
      </c>
      <c r="H30" s="424">
        <v>-10.249614185142914</v>
      </c>
      <c r="I30" s="425">
        <v>0.63340324624275612</v>
      </c>
      <c r="J30" s="426" t="s">
        <v>434</v>
      </c>
    </row>
    <row r="31" spans="1:10" ht="14.4" customHeight="1" x14ac:dyDescent="0.3">
      <c r="A31" s="422" t="s">
        <v>427</v>
      </c>
      <c r="B31" s="423" t="s">
        <v>427</v>
      </c>
      <c r="C31" s="424" t="s">
        <v>427</v>
      </c>
      <c r="D31" s="424" t="s">
        <v>427</v>
      </c>
      <c r="E31" s="424"/>
      <c r="F31" s="424" t="s">
        <v>427</v>
      </c>
      <c r="G31" s="424" t="s">
        <v>427</v>
      </c>
      <c r="H31" s="424" t="s">
        <v>427</v>
      </c>
      <c r="I31" s="425" t="s">
        <v>427</v>
      </c>
      <c r="J31" s="426" t="s">
        <v>435</v>
      </c>
    </row>
    <row r="32" spans="1:10" ht="14.4" customHeight="1" x14ac:dyDescent="0.3">
      <c r="A32" s="422" t="s">
        <v>811</v>
      </c>
      <c r="B32" s="423" t="s">
        <v>812</v>
      </c>
      <c r="C32" s="424" t="s">
        <v>427</v>
      </c>
      <c r="D32" s="424" t="s">
        <v>427</v>
      </c>
      <c r="E32" s="424"/>
      <c r="F32" s="424" t="s">
        <v>427</v>
      </c>
      <c r="G32" s="424" t="s">
        <v>427</v>
      </c>
      <c r="H32" s="424" t="s">
        <v>427</v>
      </c>
      <c r="I32" s="425" t="s">
        <v>427</v>
      </c>
      <c r="J32" s="426" t="s">
        <v>0</v>
      </c>
    </row>
    <row r="33" spans="1:10" ht="14.4" customHeight="1" x14ac:dyDescent="0.3">
      <c r="A33" s="422" t="s">
        <v>811</v>
      </c>
      <c r="B33" s="423" t="s">
        <v>282</v>
      </c>
      <c r="C33" s="424" t="s">
        <v>427</v>
      </c>
      <c r="D33" s="424">
        <v>0</v>
      </c>
      <c r="E33" s="424"/>
      <c r="F33" s="424">
        <v>0</v>
      </c>
      <c r="G33" s="424">
        <v>0.31459966679083329</v>
      </c>
      <c r="H33" s="424">
        <v>-0.31459966679083329</v>
      </c>
      <c r="I33" s="425">
        <v>0</v>
      </c>
      <c r="J33" s="426" t="s">
        <v>1</v>
      </c>
    </row>
    <row r="34" spans="1:10" ht="14.4" customHeight="1" x14ac:dyDescent="0.3">
      <c r="A34" s="422" t="s">
        <v>811</v>
      </c>
      <c r="B34" s="423" t="s">
        <v>283</v>
      </c>
      <c r="C34" s="424">
        <v>0.38392000000000004</v>
      </c>
      <c r="D34" s="424">
        <v>0.29810999999999999</v>
      </c>
      <c r="E34" s="424"/>
      <c r="F34" s="424">
        <v>0.21666000000000002</v>
      </c>
      <c r="G34" s="424">
        <v>0.31451359734916667</v>
      </c>
      <c r="H34" s="424">
        <v>-9.7853597349166654E-2</v>
      </c>
      <c r="I34" s="425">
        <v>0.68887323736108119</v>
      </c>
      <c r="J34" s="426" t="s">
        <v>1</v>
      </c>
    </row>
    <row r="35" spans="1:10" ht="14.4" customHeight="1" x14ac:dyDescent="0.3">
      <c r="A35" s="422" t="s">
        <v>811</v>
      </c>
      <c r="B35" s="423" t="s">
        <v>284</v>
      </c>
      <c r="C35" s="424">
        <v>4.5791500000000003</v>
      </c>
      <c r="D35" s="424">
        <v>3.8512499999990002</v>
      </c>
      <c r="E35" s="424"/>
      <c r="F35" s="424">
        <v>3.1854000000000005</v>
      </c>
      <c r="G35" s="424">
        <v>4.8143595648516673</v>
      </c>
      <c r="H35" s="424">
        <v>-1.6289595648516668</v>
      </c>
      <c r="I35" s="425">
        <v>0.66164563678536636</v>
      </c>
      <c r="J35" s="426" t="s">
        <v>1</v>
      </c>
    </row>
    <row r="36" spans="1:10" ht="14.4" customHeight="1" x14ac:dyDescent="0.3">
      <c r="A36" s="422" t="s">
        <v>811</v>
      </c>
      <c r="B36" s="423" t="s">
        <v>285</v>
      </c>
      <c r="C36" s="424">
        <v>0</v>
      </c>
      <c r="D36" s="424" t="s">
        <v>427</v>
      </c>
      <c r="E36" s="424"/>
      <c r="F36" s="424" t="s">
        <v>427</v>
      </c>
      <c r="G36" s="424" t="s">
        <v>427</v>
      </c>
      <c r="H36" s="424" t="s">
        <v>427</v>
      </c>
      <c r="I36" s="425" t="s">
        <v>427</v>
      </c>
      <c r="J36" s="426" t="s">
        <v>1</v>
      </c>
    </row>
    <row r="37" spans="1:10" ht="14.4" customHeight="1" x14ac:dyDescent="0.3">
      <c r="A37" s="422" t="s">
        <v>811</v>
      </c>
      <c r="B37" s="423" t="s">
        <v>286</v>
      </c>
      <c r="C37" s="424">
        <v>2.9000000000000001E-2</v>
      </c>
      <c r="D37" s="424">
        <v>0.11699999999999999</v>
      </c>
      <c r="E37" s="424"/>
      <c r="F37" s="424">
        <v>0.41599999999999998</v>
      </c>
      <c r="G37" s="424">
        <v>0.21798585014625002</v>
      </c>
      <c r="H37" s="424">
        <v>0.19801414985374996</v>
      </c>
      <c r="I37" s="425">
        <v>1.9083807491215565</v>
      </c>
      <c r="J37" s="426" t="s">
        <v>1</v>
      </c>
    </row>
    <row r="38" spans="1:10" ht="14.4" customHeight="1" x14ac:dyDescent="0.3">
      <c r="A38" s="422" t="s">
        <v>811</v>
      </c>
      <c r="B38" s="423" t="s">
        <v>287</v>
      </c>
      <c r="C38" s="424">
        <v>0.379</v>
      </c>
      <c r="D38" s="424">
        <v>0.40099999999899999</v>
      </c>
      <c r="E38" s="424"/>
      <c r="F38" s="424">
        <v>0.21999999999999997</v>
      </c>
      <c r="G38" s="424">
        <v>0.52101980981374996</v>
      </c>
      <c r="H38" s="424">
        <v>-0.30101980981374998</v>
      </c>
      <c r="I38" s="425">
        <v>0.42224882021020244</v>
      </c>
      <c r="J38" s="426" t="s">
        <v>1</v>
      </c>
    </row>
    <row r="39" spans="1:10" ht="14.4" customHeight="1" x14ac:dyDescent="0.3">
      <c r="A39" s="422" t="s">
        <v>811</v>
      </c>
      <c r="B39" s="423" t="s">
        <v>813</v>
      </c>
      <c r="C39" s="424">
        <v>5.3710699999999996</v>
      </c>
      <c r="D39" s="424">
        <v>4.6673599999980002</v>
      </c>
      <c r="E39" s="424"/>
      <c r="F39" s="424">
        <v>4.0380600000000006</v>
      </c>
      <c r="G39" s="424">
        <v>6.1824784889516673</v>
      </c>
      <c r="H39" s="424">
        <v>-2.1444184889516666</v>
      </c>
      <c r="I39" s="425">
        <v>0.65314582286314027</v>
      </c>
      <c r="J39" s="426" t="s">
        <v>434</v>
      </c>
    </row>
    <row r="40" spans="1:10" ht="14.4" customHeight="1" x14ac:dyDescent="0.3">
      <c r="A40" s="422" t="s">
        <v>427</v>
      </c>
      <c r="B40" s="423" t="s">
        <v>427</v>
      </c>
      <c r="C40" s="424" t="s">
        <v>427</v>
      </c>
      <c r="D40" s="424" t="s">
        <v>427</v>
      </c>
      <c r="E40" s="424"/>
      <c r="F40" s="424" t="s">
        <v>427</v>
      </c>
      <c r="G40" s="424" t="s">
        <v>427</v>
      </c>
      <c r="H40" s="424" t="s">
        <v>427</v>
      </c>
      <c r="I40" s="425" t="s">
        <v>427</v>
      </c>
      <c r="J40" s="426" t="s">
        <v>435</v>
      </c>
    </row>
    <row r="41" spans="1:10" ht="14.4" customHeight="1" x14ac:dyDescent="0.3">
      <c r="A41" s="422" t="s">
        <v>439</v>
      </c>
      <c r="B41" s="423" t="s">
        <v>440</v>
      </c>
      <c r="C41" s="424" t="s">
        <v>427</v>
      </c>
      <c r="D41" s="424" t="s">
        <v>427</v>
      </c>
      <c r="E41" s="424"/>
      <c r="F41" s="424" t="s">
        <v>427</v>
      </c>
      <c r="G41" s="424" t="s">
        <v>427</v>
      </c>
      <c r="H41" s="424" t="s">
        <v>427</v>
      </c>
      <c r="I41" s="425" t="s">
        <v>427</v>
      </c>
      <c r="J41" s="426" t="s">
        <v>0</v>
      </c>
    </row>
    <row r="42" spans="1:10" ht="14.4" customHeight="1" x14ac:dyDescent="0.3">
      <c r="A42" s="422" t="s">
        <v>439</v>
      </c>
      <c r="B42" s="423" t="s">
        <v>283</v>
      </c>
      <c r="C42" s="424">
        <v>0</v>
      </c>
      <c r="D42" s="424" t="s">
        <v>427</v>
      </c>
      <c r="E42" s="424"/>
      <c r="F42" s="424" t="s">
        <v>427</v>
      </c>
      <c r="G42" s="424" t="s">
        <v>427</v>
      </c>
      <c r="H42" s="424" t="s">
        <v>427</v>
      </c>
      <c r="I42" s="425" t="s">
        <v>427</v>
      </c>
      <c r="J42" s="426" t="s">
        <v>1</v>
      </c>
    </row>
    <row r="43" spans="1:10" ht="14.4" customHeight="1" x14ac:dyDescent="0.3">
      <c r="A43" s="422" t="s">
        <v>439</v>
      </c>
      <c r="B43" s="423" t="s">
        <v>284</v>
      </c>
      <c r="C43" s="424">
        <v>0</v>
      </c>
      <c r="D43" s="424">
        <v>0</v>
      </c>
      <c r="E43" s="424"/>
      <c r="F43" s="424" t="s">
        <v>427</v>
      </c>
      <c r="G43" s="424" t="s">
        <v>427</v>
      </c>
      <c r="H43" s="424" t="s">
        <v>427</v>
      </c>
      <c r="I43" s="425" t="s">
        <v>427</v>
      </c>
      <c r="J43" s="426" t="s">
        <v>1</v>
      </c>
    </row>
    <row r="44" spans="1:10" ht="14.4" customHeight="1" x14ac:dyDescent="0.3">
      <c r="A44" s="422" t="s">
        <v>439</v>
      </c>
      <c r="B44" s="423" t="s">
        <v>286</v>
      </c>
      <c r="C44" s="424" t="s">
        <v>427</v>
      </c>
      <c r="D44" s="424">
        <v>0</v>
      </c>
      <c r="E44" s="424"/>
      <c r="F44" s="424" t="s">
        <v>427</v>
      </c>
      <c r="G44" s="424" t="s">
        <v>427</v>
      </c>
      <c r="H44" s="424" t="s">
        <v>427</v>
      </c>
      <c r="I44" s="425" t="s">
        <v>427</v>
      </c>
      <c r="J44" s="426" t="s">
        <v>1</v>
      </c>
    </row>
    <row r="45" spans="1:10" ht="14.4" customHeight="1" x14ac:dyDescent="0.3">
      <c r="A45" s="422" t="s">
        <v>439</v>
      </c>
      <c r="B45" s="423" t="s">
        <v>441</v>
      </c>
      <c r="C45" s="424">
        <v>0</v>
      </c>
      <c r="D45" s="424">
        <v>0</v>
      </c>
      <c r="E45" s="424"/>
      <c r="F45" s="424" t="s">
        <v>427</v>
      </c>
      <c r="G45" s="424" t="s">
        <v>427</v>
      </c>
      <c r="H45" s="424" t="s">
        <v>427</v>
      </c>
      <c r="I45" s="425" t="s">
        <v>427</v>
      </c>
      <c r="J45" s="426" t="s">
        <v>434</v>
      </c>
    </row>
    <row r="46" spans="1:10" ht="14.4" customHeight="1" x14ac:dyDescent="0.3">
      <c r="A46" s="422" t="s">
        <v>427</v>
      </c>
      <c r="B46" s="423" t="s">
        <v>427</v>
      </c>
      <c r="C46" s="424" t="s">
        <v>427</v>
      </c>
      <c r="D46" s="424" t="s">
        <v>427</v>
      </c>
      <c r="E46" s="424"/>
      <c r="F46" s="424" t="s">
        <v>427</v>
      </c>
      <c r="G46" s="424" t="s">
        <v>427</v>
      </c>
      <c r="H46" s="424" t="s">
        <v>427</v>
      </c>
      <c r="I46" s="425" t="s">
        <v>427</v>
      </c>
      <c r="J46" s="426" t="s">
        <v>435</v>
      </c>
    </row>
    <row r="47" spans="1:10" ht="14.4" customHeight="1" x14ac:dyDescent="0.3">
      <c r="A47" s="422" t="s">
        <v>425</v>
      </c>
      <c r="B47" s="423" t="s">
        <v>429</v>
      </c>
      <c r="C47" s="424">
        <v>35.383789999999998</v>
      </c>
      <c r="D47" s="424">
        <v>26.390219999996003</v>
      </c>
      <c r="E47" s="424"/>
      <c r="F47" s="424">
        <v>21.747270000000004</v>
      </c>
      <c r="G47" s="424">
        <v>34.141302674094582</v>
      </c>
      <c r="H47" s="424">
        <v>-12.394032674094579</v>
      </c>
      <c r="I47" s="425">
        <v>0.63697833113149471</v>
      </c>
      <c r="J47" s="426" t="s">
        <v>430</v>
      </c>
    </row>
  </sheetData>
  <mergeCells count="3">
    <mergeCell ref="A1:I1"/>
    <mergeCell ref="F3:I3"/>
    <mergeCell ref="C4:D4"/>
  </mergeCells>
  <conditionalFormatting sqref="F13 F48:F65537">
    <cfRule type="cellIs" dxfId="19" priority="18" stopIfTrue="1" operator="greaterThan">
      <formula>1</formula>
    </cfRule>
  </conditionalFormatting>
  <conditionalFormatting sqref="H5:H12">
    <cfRule type="expression" dxfId="18" priority="14">
      <formula>$H5&gt;0</formula>
    </cfRule>
  </conditionalFormatting>
  <conditionalFormatting sqref="I5:I12">
    <cfRule type="expression" dxfId="17" priority="15">
      <formula>$I5&gt;1</formula>
    </cfRule>
  </conditionalFormatting>
  <conditionalFormatting sqref="B5:B12">
    <cfRule type="expression" dxfId="16" priority="11">
      <formula>OR($J5="NS",$J5="SumaNS",$J5="Účet")</formula>
    </cfRule>
  </conditionalFormatting>
  <conditionalFormatting sqref="F5:I12 B5:D12">
    <cfRule type="expression" dxfId="15" priority="17">
      <formula>AND($J5&lt;&gt;"",$J5&lt;&gt;"mezeraKL")</formula>
    </cfRule>
  </conditionalFormatting>
  <conditionalFormatting sqref="B5:D12 F5:I12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3" priority="13">
      <formula>OR($J5="SumaNS",$J5="NS")</formula>
    </cfRule>
  </conditionalFormatting>
  <conditionalFormatting sqref="A5:A12">
    <cfRule type="expression" dxfId="12" priority="9">
      <formula>AND($J5&lt;&gt;"mezeraKL",$J5&lt;&gt;"")</formula>
    </cfRule>
  </conditionalFormatting>
  <conditionalFormatting sqref="A5:A12">
    <cfRule type="expression" dxfId="11" priority="10">
      <formula>AND($J5&lt;&gt;"",$J5&lt;&gt;"mezeraKL")</formula>
    </cfRule>
  </conditionalFormatting>
  <conditionalFormatting sqref="H14:H47">
    <cfRule type="expression" dxfId="10" priority="5">
      <formula>$H14&gt;0</formula>
    </cfRule>
  </conditionalFormatting>
  <conditionalFormatting sqref="A14:A47">
    <cfRule type="expression" dxfId="9" priority="2">
      <formula>AND($J14&lt;&gt;"mezeraKL",$J14&lt;&gt;"")</formula>
    </cfRule>
  </conditionalFormatting>
  <conditionalFormatting sqref="I14:I47">
    <cfRule type="expression" dxfId="8" priority="6">
      <formula>$I14&gt;1</formula>
    </cfRule>
  </conditionalFormatting>
  <conditionalFormatting sqref="B14:B47">
    <cfRule type="expression" dxfId="7" priority="1">
      <formula>OR($J14="NS",$J14="SumaNS",$J14="Účet")</formula>
    </cfRule>
  </conditionalFormatting>
  <conditionalFormatting sqref="A14:D47 F14:I47">
    <cfRule type="expression" dxfId="6" priority="8">
      <formula>AND($J14&lt;&gt;"",$J14&lt;&gt;"mezeraKL")</formula>
    </cfRule>
  </conditionalFormatting>
  <conditionalFormatting sqref="B14:D47 F14:I47">
    <cfRule type="expression" dxfId="5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7 F14:I47">
    <cfRule type="expression" dxfId="4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4" bestFit="1" customWidth="1" collapsed="1"/>
    <col min="4" max="4" width="18.77734375" style="218" customWidth="1"/>
    <col min="5" max="5" width="9" style="214" bestFit="1" customWidth="1"/>
    <col min="6" max="6" width="18.77734375" style="218" customWidth="1"/>
    <col min="7" max="7" width="12.44140625" style="214" hidden="1" customWidth="1" outlineLevel="1"/>
    <col min="8" max="8" width="25.77734375" style="214" customWidth="1" collapsed="1"/>
    <col min="9" max="9" width="7.77734375" style="212" customWidth="1"/>
    <col min="10" max="10" width="10" style="212" customWidth="1"/>
    <col min="11" max="11" width="11.109375" style="212" customWidth="1"/>
    <col min="12" max="16384" width="8.88671875" style="133"/>
  </cols>
  <sheetData>
    <row r="1" spans="1:11" ht="18.600000000000001" customHeight="1" thickBot="1" x14ac:dyDescent="0.4">
      <c r="A1" s="346" t="s">
        <v>902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4.4" customHeight="1" thickBot="1" x14ac:dyDescent="0.35">
      <c r="A2" s="240" t="s">
        <v>272</v>
      </c>
      <c r="B2" s="62"/>
      <c r="C2" s="216"/>
      <c r="D2" s="216"/>
      <c r="E2" s="216"/>
      <c r="F2" s="216"/>
      <c r="G2" s="216"/>
      <c r="H2" s="216"/>
      <c r="I2" s="217"/>
      <c r="J2" s="217"/>
      <c r="K2" s="217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45" t="s">
        <v>133</v>
      </c>
      <c r="I3" s="99">
        <f>IF(J3&lt;&gt;0,K3/J3,0)</f>
        <v>3.1513215476017953</v>
      </c>
      <c r="J3" s="99">
        <f>SUBTOTAL(9,J5:J1048576)</f>
        <v>6901</v>
      </c>
      <c r="K3" s="100">
        <f>SUBTOTAL(9,K5:K1048576)</f>
        <v>21747.26999999999</v>
      </c>
    </row>
    <row r="4" spans="1:11" s="213" customFormat="1" ht="14.4" customHeight="1" thickBot="1" x14ac:dyDescent="0.35">
      <c r="A4" s="427" t="s">
        <v>4</v>
      </c>
      <c r="B4" s="428" t="s">
        <v>5</v>
      </c>
      <c r="C4" s="428" t="s">
        <v>0</v>
      </c>
      <c r="D4" s="428" t="s">
        <v>6</v>
      </c>
      <c r="E4" s="428" t="s">
        <v>7</v>
      </c>
      <c r="F4" s="428" t="s">
        <v>1</v>
      </c>
      <c r="G4" s="428" t="s">
        <v>71</v>
      </c>
      <c r="H4" s="429" t="s">
        <v>11</v>
      </c>
      <c r="I4" s="430" t="s">
        <v>148</v>
      </c>
      <c r="J4" s="430" t="s">
        <v>13</v>
      </c>
      <c r="K4" s="431" t="s">
        <v>165</v>
      </c>
    </row>
    <row r="5" spans="1:11" ht="14.4" customHeight="1" x14ac:dyDescent="0.3">
      <c r="A5" s="434" t="s">
        <v>425</v>
      </c>
      <c r="B5" s="435" t="s">
        <v>426</v>
      </c>
      <c r="C5" s="436" t="s">
        <v>436</v>
      </c>
      <c r="D5" s="437" t="s">
        <v>550</v>
      </c>
      <c r="E5" s="436" t="s">
        <v>889</v>
      </c>
      <c r="F5" s="437" t="s">
        <v>890</v>
      </c>
      <c r="G5" s="436" t="s">
        <v>814</v>
      </c>
      <c r="H5" s="436" t="s">
        <v>815</v>
      </c>
      <c r="I5" s="438">
        <v>4.3033333333333337</v>
      </c>
      <c r="J5" s="438">
        <v>18</v>
      </c>
      <c r="K5" s="439">
        <v>77.47</v>
      </c>
    </row>
    <row r="6" spans="1:11" ht="14.4" customHeight="1" x14ac:dyDescent="0.3">
      <c r="A6" s="505" t="s">
        <v>425</v>
      </c>
      <c r="B6" s="506" t="s">
        <v>426</v>
      </c>
      <c r="C6" s="509" t="s">
        <v>436</v>
      </c>
      <c r="D6" s="531" t="s">
        <v>550</v>
      </c>
      <c r="E6" s="509" t="s">
        <v>889</v>
      </c>
      <c r="F6" s="531" t="s">
        <v>890</v>
      </c>
      <c r="G6" s="509" t="s">
        <v>816</v>
      </c>
      <c r="H6" s="509" t="s">
        <v>817</v>
      </c>
      <c r="I6" s="521">
        <v>27.36</v>
      </c>
      <c r="J6" s="521">
        <v>4</v>
      </c>
      <c r="K6" s="522">
        <v>109.44</v>
      </c>
    </row>
    <row r="7" spans="1:11" ht="14.4" customHeight="1" x14ac:dyDescent="0.3">
      <c r="A7" s="505" t="s">
        <v>425</v>
      </c>
      <c r="B7" s="506" t="s">
        <v>426</v>
      </c>
      <c r="C7" s="509" t="s">
        <v>436</v>
      </c>
      <c r="D7" s="531" t="s">
        <v>550</v>
      </c>
      <c r="E7" s="509" t="s">
        <v>889</v>
      </c>
      <c r="F7" s="531" t="s">
        <v>890</v>
      </c>
      <c r="G7" s="509" t="s">
        <v>818</v>
      </c>
      <c r="H7" s="509" t="s">
        <v>819</v>
      </c>
      <c r="I7" s="521">
        <v>13.016666666666666</v>
      </c>
      <c r="J7" s="521">
        <v>12</v>
      </c>
      <c r="K7" s="522">
        <v>156.20999999999998</v>
      </c>
    </row>
    <row r="8" spans="1:11" ht="14.4" customHeight="1" x14ac:dyDescent="0.3">
      <c r="A8" s="505" t="s">
        <v>425</v>
      </c>
      <c r="B8" s="506" t="s">
        <v>426</v>
      </c>
      <c r="C8" s="509" t="s">
        <v>436</v>
      </c>
      <c r="D8" s="531" t="s">
        <v>550</v>
      </c>
      <c r="E8" s="509" t="s">
        <v>889</v>
      </c>
      <c r="F8" s="531" t="s">
        <v>890</v>
      </c>
      <c r="G8" s="509" t="s">
        <v>820</v>
      </c>
      <c r="H8" s="509" t="s">
        <v>821</v>
      </c>
      <c r="I8" s="521">
        <v>28.475000000000001</v>
      </c>
      <c r="J8" s="521">
        <v>2</v>
      </c>
      <c r="K8" s="522">
        <v>56.95</v>
      </c>
    </row>
    <row r="9" spans="1:11" ht="14.4" customHeight="1" x14ac:dyDescent="0.3">
      <c r="A9" s="505" t="s">
        <v>425</v>
      </c>
      <c r="B9" s="506" t="s">
        <v>426</v>
      </c>
      <c r="C9" s="509" t="s">
        <v>436</v>
      </c>
      <c r="D9" s="531" t="s">
        <v>550</v>
      </c>
      <c r="E9" s="509" t="s">
        <v>891</v>
      </c>
      <c r="F9" s="531" t="s">
        <v>892</v>
      </c>
      <c r="G9" s="509" t="s">
        <v>822</v>
      </c>
      <c r="H9" s="509" t="s">
        <v>823</v>
      </c>
      <c r="I9" s="521">
        <v>16.29</v>
      </c>
      <c r="J9" s="521">
        <v>10</v>
      </c>
      <c r="K9" s="522">
        <v>162.9</v>
      </c>
    </row>
    <row r="10" spans="1:11" ht="14.4" customHeight="1" x14ac:dyDescent="0.3">
      <c r="A10" s="505" t="s">
        <v>425</v>
      </c>
      <c r="B10" s="506" t="s">
        <v>426</v>
      </c>
      <c r="C10" s="509" t="s">
        <v>436</v>
      </c>
      <c r="D10" s="531" t="s">
        <v>550</v>
      </c>
      <c r="E10" s="509" t="s">
        <v>891</v>
      </c>
      <c r="F10" s="531" t="s">
        <v>892</v>
      </c>
      <c r="G10" s="509" t="s">
        <v>824</v>
      </c>
      <c r="H10" s="509" t="s">
        <v>825</v>
      </c>
      <c r="I10" s="521">
        <v>1.43</v>
      </c>
      <c r="J10" s="521">
        <v>100</v>
      </c>
      <c r="K10" s="522">
        <v>143</v>
      </c>
    </row>
    <row r="11" spans="1:11" ht="14.4" customHeight="1" x14ac:dyDescent="0.3">
      <c r="A11" s="505" t="s">
        <v>425</v>
      </c>
      <c r="B11" s="506" t="s">
        <v>426</v>
      </c>
      <c r="C11" s="509" t="s">
        <v>436</v>
      </c>
      <c r="D11" s="531" t="s">
        <v>550</v>
      </c>
      <c r="E11" s="509" t="s">
        <v>891</v>
      </c>
      <c r="F11" s="531" t="s">
        <v>892</v>
      </c>
      <c r="G11" s="509" t="s">
        <v>826</v>
      </c>
      <c r="H11" s="509" t="s">
        <v>827</v>
      </c>
      <c r="I11" s="521">
        <v>1.82</v>
      </c>
      <c r="J11" s="521">
        <v>250</v>
      </c>
      <c r="K11" s="522">
        <v>457</v>
      </c>
    </row>
    <row r="12" spans="1:11" ht="14.4" customHeight="1" x14ac:dyDescent="0.3">
      <c r="A12" s="505" t="s">
        <v>425</v>
      </c>
      <c r="B12" s="506" t="s">
        <v>426</v>
      </c>
      <c r="C12" s="509" t="s">
        <v>436</v>
      </c>
      <c r="D12" s="531" t="s">
        <v>550</v>
      </c>
      <c r="E12" s="509" t="s">
        <v>891</v>
      </c>
      <c r="F12" s="531" t="s">
        <v>892</v>
      </c>
      <c r="G12" s="509" t="s">
        <v>828</v>
      </c>
      <c r="H12" s="509" t="s">
        <v>829</v>
      </c>
      <c r="I12" s="521">
        <v>2.79</v>
      </c>
      <c r="J12" s="521">
        <v>10</v>
      </c>
      <c r="K12" s="522">
        <v>27.9</v>
      </c>
    </row>
    <row r="13" spans="1:11" ht="14.4" customHeight="1" x14ac:dyDescent="0.3">
      <c r="A13" s="505" t="s">
        <v>425</v>
      </c>
      <c r="B13" s="506" t="s">
        <v>426</v>
      </c>
      <c r="C13" s="509" t="s">
        <v>436</v>
      </c>
      <c r="D13" s="531" t="s">
        <v>550</v>
      </c>
      <c r="E13" s="509" t="s">
        <v>891</v>
      </c>
      <c r="F13" s="531" t="s">
        <v>892</v>
      </c>
      <c r="G13" s="509" t="s">
        <v>830</v>
      </c>
      <c r="H13" s="509" t="s">
        <v>831</v>
      </c>
      <c r="I13" s="521">
        <v>1.77</v>
      </c>
      <c r="J13" s="521">
        <v>10</v>
      </c>
      <c r="K13" s="522">
        <v>17.7</v>
      </c>
    </row>
    <row r="14" spans="1:11" ht="14.4" customHeight="1" x14ac:dyDescent="0.3">
      <c r="A14" s="505" t="s">
        <v>425</v>
      </c>
      <c r="B14" s="506" t="s">
        <v>426</v>
      </c>
      <c r="C14" s="509" t="s">
        <v>436</v>
      </c>
      <c r="D14" s="531" t="s">
        <v>550</v>
      </c>
      <c r="E14" s="509" t="s">
        <v>891</v>
      </c>
      <c r="F14" s="531" t="s">
        <v>892</v>
      </c>
      <c r="G14" s="509" t="s">
        <v>832</v>
      </c>
      <c r="H14" s="509" t="s">
        <v>833</v>
      </c>
      <c r="I14" s="521">
        <v>0.02</v>
      </c>
      <c r="J14" s="521">
        <v>200</v>
      </c>
      <c r="K14" s="522">
        <v>4</v>
      </c>
    </row>
    <row r="15" spans="1:11" ht="14.4" customHeight="1" x14ac:dyDescent="0.3">
      <c r="A15" s="505" t="s">
        <v>425</v>
      </c>
      <c r="B15" s="506" t="s">
        <v>426</v>
      </c>
      <c r="C15" s="509" t="s">
        <v>436</v>
      </c>
      <c r="D15" s="531" t="s">
        <v>550</v>
      </c>
      <c r="E15" s="509" t="s">
        <v>891</v>
      </c>
      <c r="F15" s="531" t="s">
        <v>892</v>
      </c>
      <c r="G15" s="509" t="s">
        <v>834</v>
      </c>
      <c r="H15" s="509" t="s">
        <v>835</v>
      </c>
      <c r="I15" s="521">
        <v>1.99</v>
      </c>
      <c r="J15" s="521">
        <v>10</v>
      </c>
      <c r="K15" s="522">
        <v>19.899999999999999</v>
      </c>
    </row>
    <row r="16" spans="1:11" ht="14.4" customHeight="1" x14ac:dyDescent="0.3">
      <c r="A16" s="505" t="s">
        <v>425</v>
      </c>
      <c r="B16" s="506" t="s">
        <v>426</v>
      </c>
      <c r="C16" s="509" t="s">
        <v>436</v>
      </c>
      <c r="D16" s="531" t="s">
        <v>550</v>
      </c>
      <c r="E16" s="509" t="s">
        <v>891</v>
      </c>
      <c r="F16" s="531" t="s">
        <v>892</v>
      </c>
      <c r="G16" s="509" t="s">
        <v>836</v>
      </c>
      <c r="H16" s="509" t="s">
        <v>837</v>
      </c>
      <c r="I16" s="521">
        <v>2</v>
      </c>
      <c r="J16" s="521">
        <v>10</v>
      </c>
      <c r="K16" s="522">
        <v>20</v>
      </c>
    </row>
    <row r="17" spans="1:11" ht="14.4" customHeight="1" x14ac:dyDescent="0.3">
      <c r="A17" s="505" t="s">
        <v>425</v>
      </c>
      <c r="B17" s="506" t="s">
        <v>426</v>
      </c>
      <c r="C17" s="509" t="s">
        <v>436</v>
      </c>
      <c r="D17" s="531" t="s">
        <v>550</v>
      </c>
      <c r="E17" s="509" t="s">
        <v>891</v>
      </c>
      <c r="F17" s="531" t="s">
        <v>892</v>
      </c>
      <c r="G17" s="509" t="s">
        <v>838</v>
      </c>
      <c r="H17" s="509" t="s">
        <v>839</v>
      </c>
      <c r="I17" s="521">
        <v>3.14</v>
      </c>
      <c r="J17" s="521">
        <v>5</v>
      </c>
      <c r="K17" s="522">
        <v>15.7</v>
      </c>
    </row>
    <row r="18" spans="1:11" ht="14.4" customHeight="1" x14ac:dyDescent="0.3">
      <c r="A18" s="505" t="s">
        <v>425</v>
      </c>
      <c r="B18" s="506" t="s">
        <v>426</v>
      </c>
      <c r="C18" s="509" t="s">
        <v>436</v>
      </c>
      <c r="D18" s="531" t="s">
        <v>550</v>
      </c>
      <c r="E18" s="509" t="s">
        <v>891</v>
      </c>
      <c r="F18" s="531" t="s">
        <v>892</v>
      </c>
      <c r="G18" s="509" t="s">
        <v>840</v>
      </c>
      <c r="H18" s="509" t="s">
        <v>841</v>
      </c>
      <c r="I18" s="521">
        <v>2.41</v>
      </c>
      <c r="J18" s="521">
        <v>300</v>
      </c>
      <c r="K18" s="522">
        <v>723</v>
      </c>
    </row>
    <row r="19" spans="1:11" ht="14.4" customHeight="1" x14ac:dyDescent="0.3">
      <c r="A19" s="505" t="s">
        <v>425</v>
      </c>
      <c r="B19" s="506" t="s">
        <v>426</v>
      </c>
      <c r="C19" s="509" t="s">
        <v>436</v>
      </c>
      <c r="D19" s="531" t="s">
        <v>550</v>
      </c>
      <c r="E19" s="509" t="s">
        <v>891</v>
      </c>
      <c r="F19" s="531" t="s">
        <v>892</v>
      </c>
      <c r="G19" s="509" t="s">
        <v>842</v>
      </c>
      <c r="H19" s="509" t="s">
        <v>843</v>
      </c>
      <c r="I19" s="521">
        <v>1.68</v>
      </c>
      <c r="J19" s="521">
        <v>20</v>
      </c>
      <c r="K19" s="522">
        <v>33.6</v>
      </c>
    </row>
    <row r="20" spans="1:11" ht="14.4" customHeight="1" x14ac:dyDescent="0.3">
      <c r="A20" s="505" t="s">
        <v>425</v>
      </c>
      <c r="B20" s="506" t="s">
        <v>426</v>
      </c>
      <c r="C20" s="509" t="s">
        <v>436</v>
      </c>
      <c r="D20" s="531" t="s">
        <v>550</v>
      </c>
      <c r="E20" s="509" t="s">
        <v>891</v>
      </c>
      <c r="F20" s="531" t="s">
        <v>892</v>
      </c>
      <c r="G20" s="509" t="s">
        <v>844</v>
      </c>
      <c r="H20" s="509" t="s">
        <v>845</v>
      </c>
      <c r="I20" s="521">
        <v>12.11</v>
      </c>
      <c r="J20" s="521">
        <v>5</v>
      </c>
      <c r="K20" s="522">
        <v>60.55</v>
      </c>
    </row>
    <row r="21" spans="1:11" ht="14.4" customHeight="1" x14ac:dyDescent="0.3">
      <c r="A21" s="505" t="s">
        <v>425</v>
      </c>
      <c r="B21" s="506" t="s">
        <v>426</v>
      </c>
      <c r="C21" s="509" t="s">
        <v>436</v>
      </c>
      <c r="D21" s="531" t="s">
        <v>550</v>
      </c>
      <c r="E21" s="509" t="s">
        <v>891</v>
      </c>
      <c r="F21" s="531" t="s">
        <v>892</v>
      </c>
      <c r="G21" s="509" t="s">
        <v>846</v>
      </c>
      <c r="H21" s="509" t="s">
        <v>847</v>
      </c>
      <c r="I21" s="521">
        <v>2.8899999999999997</v>
      </c>
      <c r="J21" s="521">
        <v>200</v>
      </c>
      <c r="K21" s="522">
        <v>578</v>
      </c>
    </row>
    <row r="22" spans="1:11" ht="14.4" customHeight="1" x14ac:dyDescent="0.3">
      <c r="A22" s="505" t="s">
        <v>425</v>
      </c>
      <c r="B22" s="506" t="s">
        <v>426</v>
      </c>
      <c r="C22" s="509" t="s">
        <v>436</v>
      </c>
      <c r="D22" s="531" t="s">
        <v>550</v>
      </c>
      <c r="E22" s="509" t="s">
        <v>891</v>
      </c>
      <c r="F22" s="531" t="s">
        <v>892</v>
      </c>
      <c r="G22" s="509" t="s">
        <v>848</v>
      </c>
      <c r="H22" s="509" t="s">
        <v>849</v>
      </c>
      <c r="I22" s="521">
        <v>21.23</v>
      </c>
      <c r="J22" s="521">
        <v>10</v>
      </c>
      <c r="K22" s="522">
        <v>212.3</v>
      </c>
    </row>
    <row r="23" spans="1:11" ht="14.4" customHeight="1" x14ac:dyDescent="0.3">
      <c r="A23" s="505" t="s">
        <v>425</v>
      </c>
      <c r="B23" s="506" t="s">
        <v>426</v>
      </c>
      <c r="C23" s="509" t="s">
        <v>436</v>
      </c>
      <c r="D23" s="531" t="s">
        <v>550</v>
      </c>
      <c r="E23" s="509" t="s">
        <v>891</v>
      </c>
      <c r="F23" s="531" t="s">
        <v>892</v>
      </c>
      <c r="G23" s="509" t="s">
        <v>850</v>
      </c>
      <c r="H23" s="509" t="s">
        <v>851</v>
      </c>
      <c r="I23" s="521">
        <v>121</v>
      </c>
      <c r="J23" s="521">
        <v>2</v>
      </c>
      <c r="K23" s="522">
        <v>242</v>
      </c>
    </row>
    <row r="24" spans="1:11" ht="14.4" customHeight="1" x14ac:dyDescent="0.3">
      <c r="A24" s="505" t="s">
        <v>425</v>
      </c>
      <c r="B24" s="506" t="s">
        <v>426</v>
      </c>
      <c r="C24" s="509" t="s">
        <v>436</v>
      </c>
      <c r="D24" s="531" t="s">
        <v>550</v>
      </c>
      <c r="E24" s="509" t="s">
        <v>891</v>
      </c>
      <c r="F24" s="531" t="s">
        <v>892</v>
      </c>
      <c r="G24" s="509" t="s">
        <v>852</v>
      </c>
      <c r="H24" s="509" t="s">
        <v>853</v>
      </c>
      <c r="I24" s="521">
        <v>3.17</v>
      </c>
      <c r="J24" s="521">
        <v>200</v>
      </c>
      <c r="K24" s="522">
        <v>634</v>
      </c>
    </row>
    <row r="25" spans="1:11" ht="14.4" customHeight="1" x14ac:dyDescent="0.3">
      <c r="A25" s="505" t="s">
        <v>425</v>
      </c>
      <c r="B25" s="506" t="s">
        <v>426</v>
      </c>
      <c r="C25" s="509" t="s">
        <v>436</v>
      </c>
      <c r="D25" s="531" t="s">
        <v>550</v>
      </c>
      <c r="E25" s="509" t="s">
        <v>893</v>
      </c>
      <c r="F25" s="531" t="s">
        <v>894</v>
      </c>
      <c r="G25" s="509" t="s">
        <v>854</v>
      </c>
      <c r="H25" s="509" t="s">
        <v>855</v>
      </c>
      <c r="I25" s="521">
        <v>8.17</v>
      </c>
      <c r="J25" s="521">
        <v>400</v>
      </c>
      <c r="K25" s="522">
        <v>3268</v>
      </c>
    </row>
    <row r="26" spans="1:11" ht="14.4" customHeight="1" x14ac:dyDescent="0.3">
      <c r="A26" s="505" t="s">
        <v>425</v>
      </c>
      <c r="B26" s="506" t="s">
        <v>426</v>
      </c>
      <c r="C26" s="509" t="s">
        <v>436</v>
      </c>
      <c r="D26" s="531" t="s">
        <v>550</v>
      </c>
      <c r="E26" s="509" t="s">
        <v>893</v>
      </c>
      <c r="F26" s="531" t="s">
        <v>894</v>
      </c>
      <c r="G26" s="509" t="s">
        <v>854</v>
      </c>
      <c r="H26" s="509" t="s">
        <v>856</v>
      </c>
      <c r="I26" s="521">
        <v>8.1649999999999991</v>
      </c>
      <c r="J26" s="521">
        <v>400</v>
      </c>
      <c r="K26" s="522">
        <v>3266</v>
      </c>
    </row>
    <row r="27" spans="1:11" ht="14.4" customHeight="1" x14ac:dyDescent="0.3">
      <c r="A27" s="505" t="s">
        <v>425</v>
      </c>
      <c r="B27" s="506" t="s">
        <v>426</v>
      </c>
      <c r="C27" s="509" t="s">
        <v>436</v>
      </c>
      <c r="D27" s="531" t="s">
        <v>550</v>
      </c>
      <c r="E27" s="509" t="s">
        <v>895</v>
      </c>
      <c r="F27" s="531" t="s">
        <v>896</v>
      </c>
      <c r="G27" s="509" t="s">
        <v>857</v>
      </c>
      <c r="H27" s="509" t="s">
        <v>858</v>
      </c>
      <c r="I27" s="521">
        <v>0.3</v>
      </c>
      <c r="J27" s="521">
        <v>600</v>
      </c>
      <c r="K27" s="522">
        <v>180</v>
      </c>
    </row>
    <row r="28" spans="1:11" ht="14.4" customHeight="1" x14ac:dyDescent="0.3">
      <c r="A28" s="505" t="s">
        <v>425</v>
      </c>
      <c r="B28" s="506" t="s">
        <v>426</v>
      </c>
      <c r="C28" s="509" t="s">
        <v>436</v>
      </c>
      <c r="D28" s="531" t="s">
        <v>550</v>
      </c>
      <c r="E28" s="509" t="s">
        <v>895</v>
      </c>
      <c r="F28" s="531" t="s">
        <v>896</v>
      </c>
      <c r="G28" s="509" t="s">
        <v>859</v>
      </c>
      <c r="H28" s="509" t="s">
        <v>860</v>
      </c>
      <c r="I28" s="521">
        <v>1.75</v>
      </c>
      <c r="J28" s="521">
        <v>200</v>
      </c>
      <c r="K28" s="522">
        <v>350</v>
      </c>
    </row>
    <row r="29" spans="1:11" ht="14.4" customHeight="1" x14ac:dyDescent="0.3">
      <c r="A29" s="505" t="s">
        <v>425</v>
      </c>
      <c r="B29" s="506" t="s">
        <v>426</v>
      </c>
      <c r="C29" s="509" t="s">
        <v>436</v>
      </c>
      <c r="D29" s="531" t="s">
        <v>550</v>
      </c>
      <c r="E29" s="509" t="s">
        <v>897</v>
      </c>
      <c r="F29" s="531" t="s">
        <v>898</v>
      </c>
      <c r="G29" s="509" t="s">
        <v>861</v>
      </c>
      <c r="H29" s="509" t="s">
        <v>862</v>
      </c>
      <c r="I29" s="521">
        <v>0.77</v>
      </c>
      <c r="J29" s="521">
        <v>500</v>
      </c>
      <c r="K29" s="522">
        <v>385</v>
      </c>
    </row>
    <row r="30" spans="1:11" ht="14.4" customHeight="1" x14ac:dyDescent="0.3">
      <c r="A30" s="505" t="s">
        <v>425</v>
      </c>
      <c r="B30" s="506" t="s">
        <v>426</v>
      </c>
      <c r="C30" s="509" t="s">
        <v>436</v>
      </c>
      <c r="D30" s="531" t="s">
        <v>550</v>
      </c>
      <c r="E30" s="509" t="s">
        <v>899</v>
      </c>
      <c r="F30" s="531" t="s">
        <v>900</v>
      </c>
      <c r="G30" s="509" t="s">
        <v>863</v>
      </c>
      <c r="H30" s="509" t="s">
        <v>864</v>
      </c>
      <c r="I30" s="521">
        <v>191.35285714285709</v>
      </c>
      <c r="J30" s="521">
        <v>34</v>
      </c>
      <c r="K30" s="522">
        <v>6508.5899999999992</v>
      </c>
    </row>
    <row r="31" spans="1:11" ht="14.4" customHeight="1" x14ac:dyDescent="0.3">
      <c r="A31" s="505" t="s">
        <v>425</v>
      </c>
      <c r="B31" s="506" t="s">
        <v>426</v>
      </c>
      <c r="C31" s="509" t="s">
        <v>811</v>
      </c>
      <c r="D31" s="531" t="s">
        <v>901</v>
      </c>
      <c r="E31" s="509" t="s">
        <v>889</v>
      </c>
      <c r="F31" s="531" t="s">
        <v>890</v>
      </c>
      <c r="G31" s="509" t="s">
        <v>814</v>
      </c>
      <c r="H31" s="509" t="s">
        <v>815</v>
      </c>
      <c r="I31" s="521">
        <v>4.3</v>
      </c>
      <c r="J31" s="521">
        <v>7</v>
      </c>
      <c r="K31" s="522">
        <v>30.1</v>
      </c>
    </row>
    <row r="32" spans="1:11" ht="14.4" customHeight="1" x14ac:dyDescent="0.3">
      <c r="A32" s="505" t="s">
        <v>425</v>
      </c>
      <c r="B32" s="506" t="s">
        <v>426</v>
      </c>
      <c r="C32" s="509" t="s">
        <v>811</v>
      </c>
      <c r="D32" s="531" t="s">
        <v>901</v>
      </c>
      <c r="E32" s="509" t="s">
        <v>889</v>
      </c>
      <c r="F32" s="531" t="s">
        <v>890</v>
      </c>
      <c r="G32" s="509" t="s">
        <v>818</v>
      </c>
      <c r="H32" s="509" t="s">
        <v>819</v>
      </c>
      <c r="I32" s="521">
        <v>13.02</v>
      </c>
      <c r="J32" s="521">
        <v>5</v>
      </c>
      <c r="K32" s="522">
        <v>65.099999999999994</v>
      </c>
    </row>
    <row r="33" spans="1:11" ht="14.4" customHeight="1" x14ac:dyDescent="0.3">
      <c r="A33" s="505" t="s">
        <v>425</v>
      </c>
      <c r="B33" s="506" t="s">
        <v>426</v>
      </c>
      <c r="C33" s="509" t="s">
        <v>811</v>
      </c>
      <c r="D33" s="531" t="s">
        <v>901</v>
      </c>
      <c r="E33" s="509" t="s">
        <v>889</v>
      </c>
      <c r="F33" s="531" t="s">
        <v>890</v>
      </c>
      <c r="G33" s="509" t="s">
        <v>820</v>
      </c>
      <c r="H33" s="509" t="s">
        <v>821</v>
      </c>
      <c r="I33" s="521">
        <v>28.020000000000003</v>
      </c>
      <c r="J33" s="521">
        <v>2</v>
      </c>
      <c r="K33" s="522">
        <v>56.040000000000006</v>
      </c>
    </row>
    <row r="34" spans="1:11" ht="14.4" customHeight="1" x14ac:dyDescent="0.3">
      <c r="A34" s="505" t="s">
        <v>425</v>
      </c>
      <c r="B34" s="506" t="s">
        <v>426</v>
      </c>
      <c r="C34" s="509" t="s">
        <v>811</v>
      </c>
      <c r="D34" s="531" t="s">
        <v>901</v>
      </c>
      <c r="E34" s="509" t="s">
        <v>889</v>
      </c>
      <c r="F34" s="531" t="s">
        <v>890</v>
      </c>
      <c r="G34" s="509" t="s">
        <v>865</v>
      </c>
      <c r="H34" s="509" t="s">
        <v>866</v>
      </c>
      <c r="I34" s="521">
        <v>9.7200000000000006</v>
      </c>
      <c r="J34" s="521">
        <v>2</v>
      </c>
      <c r="K34" s="522">
        <v>19.440000000000001</v>
      </c>
    </row>
    <row r="35" spans="1:11" ht="14.4" customHeight="1" x14ac:dyDescent="0.3">
      <c r="A35" s="505" t="s">
        <v>425</v>
      </c>
      <c r="B35" s="506" t="s">
        <v>426</v>
      </c>
      <c r="C35" s="509" t="s">
        <v>811</v>
      </c>
      <c r="D35" s="531" t="s">
        <v>901</v>
      </c>
      <c r="E35" s="509" t="s">
        <v>889</v>
      </c>
      <c r="F35" s="531" t="s">
        <v>890</v>
      </c>
      <c r="G35" s="509" t="s">
        <v>867</v>
      </c>
      <c r="H35" s="509" t="s">
        <v>868</v>
      </c>
      <c r="I35" s="521">
        <v>0.32</v>
      </c>
      <c r="J35" s="521">
        <v>5</v>
      </c>
      <c r="K35" s="522">
        <v>1.6</v>
      </c>
    </row>
    <row r="36" spans="1:11" ht="14.4" customHeight="1" x14ac:dyDescent="0.3">
      <c r="A36" s="505" t="s">
        <v>425</v>
      </c>
      <c r="B36" s="506" t="s">
        <v>426</v>
      </c>
      <c r="C36" s="509" t="s">
        <v>811</v>
      </c>
      <c r="D36" s="531" t="s">
        <v>901</v>
      </c>
      <c r="E36" s="509" t="s">
        <v>889</v>
      </c>
      <c r="F36" s="531" t="s">
        <v>890</v>
      </c>
      <c r="G36" s="509" t="s">
        <v>869</v>
      </c>
      <c r="H36" s="509" t="s">
        <v>870</v>
      </c>
      <c r="I36" s="521">
        <v>14.09</v>
      </c>
      <c r="J36" s="521">
        <v>1</v>
      </c>
      <c r="K36" s="522">
        <v>14.09</v>
      </c>
    </row>
    <row r="37" spans="1:11" ht="14.4" customHeight="1" x14ac:dyDescent="0.3">
      <c r="A37" s="505" t="s">
        <v>425</v>
      </c>
      <c r="B37" s="506" t="s">
        <v>426</v>
      </c>
      <c r="C37" s="509" t="s">
        <v>811</v>
      </c>
      <c r="D37" s="531" t="s">
        <v>901</v>
      </c>
      <c r="E37" s="509" t="s">
        <v>889</v>
      </c>
      <c r="F37" s="531" t="s">
        <v>890</v>
      </c>
      <c r="G37" s="509" t="s">
        <v>871</v>
      </c>
      <c r="H37" s="509" t="s">
        <v>872</v>
      </c>
      <c r="I37" s="521">
        <v>7.1</v>
      </c>
      <c r="J37" s="521">
        <v>2</v>
      </c>
      <c r="K37" s="522">
        <v>14.2</v>
      </c>
    </row>
    <row r="38" spans="1:11" ht="14.4" customHeight="1" x14ac:dyDescent="0.3">
      <c r="A38" s="505" t="s">
        <v>425</v>
      </c>
      <c r="B38" s="506" t="s">
        <v>426</v>
      </c>
      <c r="C38" s="509" t="s">
        <v>811</v>
      </c>
      <c r="D38" s="531" t="s">
        <v>901</v>
      </c>
      <c r="E38" s="509" t="s">
        <v>889</v>
      </c>
      <c r="F38" s="531" t="s">
        <v>890</v>
      </c>
      <c r="G38" s="509" t="s">
        <v>873</v>
      </c>
      <c r="H38" s="509" t="s">
        <v>874</v>
      </c>
      <c r="I38" s="521">
        <v>5.92</v>
      </c>
      <c r="J38" s="521">
        <v>1</v>
      </c>
      <c r="K38" s="522">
        <v>5.92</v>
      </c>
    </row>
    <row r="39" spans="1:11" ht="14.4" customHeight="1" x14ac:dyDescent="0.3">
      <c r="A39" s="505" t="s">
        <v>425</v>
      </c>
      <c r="B39" s="506" t="s">
        <v>426</v>
      </c>
      <c r="C39" s="509" t="s">
        <v>811</v>
      </c>
      <c r="D39" s="531" t="s">
        <v>901</v>
      </c>
      <c r="E39" s="509" t="s">
        <v>889</v>
      </c>
      <c r="F39" s="531" t="s">
        <v>890</v>
      </c>
      <c r="G39" s="509" t="s">
        <v>875</v>
      </c>
      <c r="H39" s="509" t="s">
        <v>876</v>
      </c>
      <c r="I39" s="521">
        <v>2.54</v>
      </c>
      <c r="J39" s="521">
        <v>4</v>
      </c>
      <c r="K39" s="522">
        <v>10.17</v>
      </c>
    </row>
    <row r="40" spans="1:11" ht="14.4" customHeight="1" x14ac:dyDescent="0.3">
      <c r="A40" s="505" t="s">
        <v>425</v>
      </c>
      <c r="B40" s="506" t="s">
        <v>426</v>
      </c>
      <c r="C40" s="509" t="s">
        <v>811</v>
      </c>
      <c r="D40" s="531" t="s">
        <v>901</v>
      </c>
      <c r="E40" s="509" t="s">
        <v>891</v>
      </c>
      <c r="F40" s="531" t="s">
        <v>892</v>
      </c>
      <c r="G40" s="509" t="s">
        <v>877</v>
      </c>
      <c r="H40" s="509" t="s">
        <v>878</v>
      </c>
      <c r="I40" s="521">
        <v>3.51</v>
      </c>
      <c r="J40" s="521">
        <v>20</v>
      </c>
      <c r="K40" s="522">
        <v>70.2</v>
      </c>
    </row>
    <row r="41" spans="1:11" ht="14.4" customHeight="1" x14ac:dyDescent="0.3">
      <c r="A41" s="505" t="s">
        <v>425</v>
      </c>
      <c r="B41" s="506" t="s">
        <v>426</v>
      </c>
      <c r="C41" s="509" t="s">
        <v>811</v>
      </c>
      <c r="D41" s="531" t="s">
        <v>901</v>
      </c>
      <c r="E41" s="509" t="s">
        <v>891</v>
      </c>
      <c r="F41" s="531" t="s">
        <v>892</v>
      </c>
      <c r="G41" s="509" t="s">
        <v>879</v>
      </c>
      <c r="H41" s="509" t="s">
        <v>880</v>
      </c>
      <c r="I41" s="521">
        <v>0.215</v>
      </c>
      <c r="J41" s="521">
        <v>500</v>
      </c>
      <c r="K41" s="522">
        <v>107</v>
      </c>
    </row>
    <row r="42" spans="1:11" ht="14.4" customHeight="1" x14ac:dyDescent="0.3">
      <c r="A42" s="505" t="s">
        <v>425</v>
      </c>
      <c r="B42" s="506" t="s">
        <v>426</v>
      </c>
      <c r="C42" s="509" t="s">
        <v>811</v>
      </c>
      <c r="D42" s="531" t="s">
        <v>901</v>
      </c>
      <c r="E42" s="509" t="s">
        <v>891</v>
      </c>
      <c r="F42" s="531" t="s">
        <v>892</v>
      </c>
      <c r="G42" s="509" t="s">
        <v>881</v>
      </c>
      <c r="H42" s="509" t="s">
        <v>882</v>
      </c>
      <c r="I42" s="521">
        <v>1.81</v>
      </c>
      <c r="J42" s="521">
        <v>50</v>
      </c>
      <c r="K42" s="522">
        <v>90.5</v>
      </c>
    </row>
    <row r="43" spans="1:11" ht="14.4" customHeight="1" x14ac:dyDescent="0.3">
      <c r="A43" s="505" t="s">
        <v>425</v>
      </c>
      <c r="B43" s="506" t="s">
        <v>426</v>
      </c>
      <c r="C43" s="509" t="s">
        <v>811</v>
      </c>
      <c r="D43" s="531" t="s">
        <v>901</v>
      </c>
      <c r="E43" s="509" t="s">
        <v>891</v>
      </c>
      <c r="F43" s="531" t="s">
        <v>892</v>
      </c>
      <c r="G43" s="509" t="s">
        <v>883</v>
      </c>
      <c r="H43" s="509" t="s">
        <v>884</v>
      </c>
      <c r="I43" s="521">
        <v>1.81</v>
      </c>
      <c r="J43" s="521">
        <v>50</v>
      </c>
      <c r="K43" s="522">
        <v>90.5</v>
      </c>
    </row>
    <row r="44" spans="1:11" ht="14.4" customHeight="1" x14ac:dyDescent="0.3">
      <c r="A44" s="505" t="s">
        <v>425</v>
      </c>
      <c r="B44" s="506" t="s">
        <v>426</v>
      </c>
      <c r="C44" s="509" t="s">
        <v>811</v>
      </c>
      <c r="D44" s="531" t="s">
        <v>901</v>
      </c>
      <c r="E44" s="509" t="s">
        <v>891</v>
      </c>
      <c r="F44" s="531" t="s">
        <v>892</v>
      </c>
      <c r="G44" s="509" t="s">
        <v>826</v>
      </c>
      <c r="H44" s="509" t="s">
        <v>827</v>
      </c>
      <c r="I44" s="521">
        <v>1.8399999999999999</v>
      </c>
      <c r="J44" s="521">
        <v>250</v>
      </c>
      <c r="K44" s="522">
        <v>457</v>
      </c>
    </row>
    <row r="45" spans="1:11" ht="14.4" customHeight="1" x14ac:dyDescent="0.3">
      <c r="A45" s="505" t="s">
        <v>425</v>
      </c>
      <c r="B45" s="506" t="s">
        <v>426</v>
      </c>
      <c r="C45" s="509" t="s">
        <v>811</v>
      </c>
      <c r="D45" s="531" t="s">
        <v>901</v>
      </c>
      <c r="E45" s="509" t="s">
        <v>891</v>
      </c>
      <c r="F45" s="531" t="s">
        <v>892</v>
      </c>
      <c r="G45" s="509" t="s">
        <v>828</v>
      </c>
      <c r="H45" s="509" t="s">
        <v>829</v>
      </c>
      <c r="I45" s="521">
        <v>2.9050000000000002</v>
      </c>
      <c r="J45" s="521">
        <v>20</v>
      </c>
      <c r="K45" s="522">
        <v>58.099999999999994</v>
      </c>
    </row>
    <row r="46" spans="1:11" ht="14.4" customHeight="1" x14ac:dyDescent="0.3">
      <c r="A46" s="505" t="s">
        <v>425</v>
      </c>
      <c r="B46" s="506" t="s">
        <v>426</v>
      </c>
      <c r="C46" s="509" t="s">
        <v>811</v>
      </c>
      <c r="D46" s="531" t="s">
        <v>901</v>
      </c>
      <c r="E46" s="509" t="s">
        <v>891</v>
      </c>
      <c r="F46" s="531" t="s">
        <v>892</v>
      </c>
      <c r="G46" s="509" t="s">
        <v>885</v>
      </c>
      <c r="H46" s="509" t="s">
        <v>886</v>
      </c>
      <c r="I46" s="521">
        <v>1.76</v>
      </c>
      <c r="J46" s="521">
        <v>300</v>
      </c>
      <c r="K46" s="522">
        <v>528</v>
      </c>
    </row>
    <row r="47" spans="1:11" ht="14.4" customHeight="1" x14ac:dyDescent="0.3">
      <c r="A47" s="505" t="s">
        <v>425</v>
      </c>
      <c r="B47" s="506" t="s">
        <v>426</v>
      </c>
      <c r="C47" s="509" t="s">
        <v>811</v>
      </c>
      <c r="D47" s="531" t="s">
        <v>901</v>
      </c>
      <c r="E47" s="509" t="s">
        <v>891</v>
      </c>
      <c r="F47" s="531" t="s">
        <v>892</v>
      </c>
      <c r="G47" s="509" t="s">
        <v>832</v>
      </c>
      <c r="H47" s="509" t="s">
        <v>833</v>
      </c>
      <c r="I47" s="521">
        <v>0.01</v>
      </c>
      <c r="J47" s="521">
        <v>300</v>
      </c>
      <c r="K47" s="522">
        <v>3</v>
      </c>
    </row>
    <row r="48" spans="1:11" ht="14.4" customHeight="1" x14ac:dyDescent="0.3">
      <c r="A48" s="505" t="s">
        <v>425</v>
      </c>
      <c r="B48" s="506" t="s">
        <v>426</v>
      </c>
      <c r="C48" s="509" t="s">
        <v>811</v>
      </c>
      <c r="D48" s="531" t="s">
        <v>901</v>
      </c>
      <c r="E48" s="509" t="s">
        <v>891</v>
      </c>
      <c r="F48" s="531" t="s">
        <v>892</v>
      </c>
      <c r="G48" s="509" t="s">
        <v>834</v>
      </c>
      <c r="H48" s="509" t="s">
        <v>835</v>
      </c>
      <c r="I48" s="521">
        <v>2</v>
      </c>
      <c r="J48" s="521">
        <v>10</v>
      </c>
      <c r="K48" s="522">
        <v>20</v>
      </c>
    </row>
    <row r="49" spans="1:11" ht="14.4" customHeight="1" x14ac:dyDescent="0.3">
      <c r="A49" s="505" t="s">
        <v>425</v>
      </c>
      <c r="B49" s="506" t="s">
        <v>426</v>
      </c>
      <c r="C49" s="509" t="s">
        <v>811</v>
      </c>
      <c r="D49" s="531" t="s">
        <v>901</v>
      </c>
      <c r="E49" s="509" t="s">
        <v>891</v>
      </c>
      <c r="F49" s="531" t="s">
        <v>892</v>
      </c>
      <c r="G49" s="509" t="s">
        <v>840</v>
      </c>
      <c r="H49" s="509" t="s">
        <v>841</v>
      </c>
      <c r="I49" s="521">
        <v>2.41</v>
      </c>
      <c r="J49" s="521">
        <v>150</v>
      </c>
      <c r="K49" s="522">
        <v>361.5</v>
      </c>
    </row>
    <row r="50" spans="1:11" ht="14.4" customHeight="1" x14ac:dyDescent="0.3">
      <c r="A50" s="505" t="s">
        <v>425</v>
      </c>
      <c r="B50" s="506" t="s">
        <v>426</v>
      </c>
      <c r="C50" s="509" t="s">
        <v>811</v>
      </c>
      <c r="D50" s="531" t="s">
        <v>901</v>
      </c>
      <c r="E50" s="509" t="s">
        <v>891</v>
      </c>
      <c r="F50" s="531" t="s">
        <v>892</v>
      </c>
      <c r="G50" s="509" t="s">
        <v>844</v>
      </c>
      <c r="H50" s="509" t="s">
        <v>845</v>
      </c>
      <c r="I50" s="521">
        <v>12.11</v>
      </c>
      <c r="J50" s="521">
        <v>10</v>
      </c>
      <c r="K50" s="522">
        <v>121.1</v>
      </c>
    </row>
    <row r="51" spans="1:11" ht="14.4" customHeight="1" x14ac:dyDescent="0.3">
      <c r="A51" s="505" t="s">
        <v>425</v>
      </c>
      <c r="B51" s="506" t="s">
        <v>426</v>
      </c>
      <c r="C51" s="509" t="s">
        <v>811</v>
      </c>
      <c r="D51" s="531" t="s">
        <v>901</v>
      </c>
      <c r="E51" s="509" t="s">
        <v>891</v>
      </c>
      <c r="F51" s="531" t="s">
        <v>892</v>
      </c>
      <c r="G51" s="509" t="s">
        <v>846</v>
      </c>
      <c r="H51" s="509" t="s">
        <v>847</v>
      </c>
      <c r="I51" s="521">
        <v>2.9249999999999998</v>
      </c>
      <c r="J51" s="521">
        <v>100</v>
      </c>
      <c r="K51" s="522">
        <v>292.5</v>
      </c>
    </row>
    <row r="52" spans="1:11" ht="14.4" customHeight="1" x14ac:dyDescent="0.3">
      <c r="A52" s="505" t="s">
        <v>425</v>
      </c>
      <c r="B52" s="506" t="s">
        <v>426</v>
      </c>
      <c r="C52" s="509" t="s">
        <v>811</v>
      </c>
      <c r="D52" s="531" t="s">
        <v>901</v>
      </c>
      <c r="E52" s="509" t="s">
        <v>891</v>
      </c>
      <c r="F52" s="531" t="s">
        <v>892</v>
      </c>
      <c r="G52" s="509" t="s">
        <v>852</v>
      </c>
      <c r="H52" s="509" t="s">
        <v>853</v>
      </c>
      <c r="I52" s="521">
        <v>3.17</v>
      </c>
      <c r="J52" s="521">
        <v>200</v>
      </c>
      <c r="K52" s="522">
        <v>634</v>
      </c>
    </row>
    <row r="53" spans="1:11" ht="14.4" customHeight="1" x14ac:dyDescent="0.3">
      <c r="A53" s="505" t="s">
        <v>425</v>
      </c>
      <c r="B53" s="506" t="s">
        <v>426</v>
      </c>
      <c r="C53" s="509" t="s">
        <v>811</v>
      </c>
      <c r="D53" s="531" t="s">
        <v>901</v>
      </c>
      <c r="E53" s="509" t="s">
        <v>895</v>
      </c>
      <c r="F53" s="531" t="s">
        <v>896</v>
      </c>
      <c r="G53" s="509" t="s">
        <v>857</v>
      </c>
      <c r="H53" s="509" t="s">
        <v>858</v>
      </c>
      <c r="I53" s="521">
        <v>0.3</v>
      </c>
      <c r="J53" s="521">
        <v>800</v>
      </c>
      <c r="K53" s="522">
        <v>240</v>
      </c>
    </row>
    <row r="54" spans="1:11" ht="14.4" customHeight="1" x14ac:dyDescent="0.3">
      <c r="A54" s="505" t="s">
        <v>425</v>
      </c>
      <c r="B54" s="506" t="s">
        <v>426</v>
      </c>
      <c r="C54" s="509" t="s">
        <v>811</v>
      </c>
      <c r="D54" s="531" t="s">
        <v>901</v>
      </c>
      <c r="E54" s="509" t="s">
        <v>895</v>
      </c>
      <c r="F54" s="531" t="s">
        <v>896</v>
      </c>
      <c r="G54" s="509" t="s">
        <v>859</v>
      </c>
      <c r="H54" s="509" t="s">
        <v>860</v>
      </c>
      <c r="I54" s="521">
        <v>1.76</v>
      </c>
      <c r="J54" s="521">
        <v>300</v>
      </c>
      <c r="K54" s="522">
        <v>528</v>
      </c>
    </row>
    <row r="55" spans="1:11" ht="14.4" customHeight="1" x14ac:dyDescent="0.3">
      <c r="A55" s="505" t="s">
        <v>425</v>
      </c>
      <c r="B55" s="506" t="s">
        <v>426</v>
      </c>
      <c r="C55" s="509" t="s">
        <v>811</v>
      </c>
      <c r="D55" s="531" t="s">
        <v>901</v>
      </c>
      <c r="E55" s="509" t="s">
        <v>897</v>
      </c>
      <c r="F55" s="531" t="s">
        <v>898</v>
      </c>
      <c r="G55" s="509" t="s">
        <v>861</v>
      </c>
      <c r="H55" s="509" t="s">
        <v>862</v>
      </c>
      <c r="I55" s="521">
        <v>0.78</v>
      </c>
      <c r="J55" s="521">
        <v>100</v>
      </c>
      <c r="K55" s="522">
        <v>78</v>
      </c>
    </row>
    <row r="56" spans="1:11" ht="14.4" customHeight="1" thickBot="1" x14ac:dyDescent="0.35">
      <c r="A56" s="513" t="s">
        <v>425</v>
      </c>
      <c r="B56" s="514" t="s">
        <v>426</v>
      </c>
      <c r="C56" s="517" t="s">
        <v>811</v>
      </c>
      <c r="D56" s="532" t="s">
        <v>901</v>
      </c>
      <c r="E56" s="517" t="s">
        <v>897</v>
      </c>
      <c r="F56" s="532" t="s">
        <v>898</v>
      </c>
      <c r="G56" s="517" t="s">
        <v>887</v>
      </c>
      <c r="H56" s="517" t="s">
        <v>888</v>
      </c>
      <c r="I56" s="523">
        <v>0.71</v>
      </c>
      <c r="J56" s="523">
        <v>200</v>
      </c>
      <c r="K56" s="524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2" width="13.109375" hidden="1" customWidth="1"/>
    <col min="33" max="33" width="13.109375" customWidth="1"/>
  </cols>
  <sheetData>
    <row r="1" spans="1:34" ht="18.600000000000001" thickBot="1" x14ac:dyDescent="0.4">
      <c r="A1" s="373" t="s">
        <v>108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</row>
    <row r="2" spans="1:34" ht="15" thickBot="1" x14ac:dyDescent="0.35">
      <c r="A2" s="240" t="s">
        <v>272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</row>
    <row r="3" spans="1:34" x14ac:dyDescent="0.3">
      <c r="A3" s="259" t="s">
        <v>232</v>
      </c>
      <c r="B3" s="374" t="s">
        <v>213</v>
      </c>
      <c r="C3" s="242">
        <v>0</v>
      </c>
      <c r="D3" s="243">
        <v>101</v>
      </c>
      <c r="E3" s="243">
        <v>102</v>
      </c>
      <c r="F3" s="262">
        <v>305</v>
      </c>
      <c r="G3" s="262">
        <v>306</v>
      </c>
      <c r="H3" s="262">
        <v>408</v>
      </c>
      <c r="I3" s="262">
        <v>409</v>
      </c>
      <c r="J3" s="262">
        <v>410</v>
      </c>
      <c r="K3" s="262">
        <v>415</v>
      </c>
      <c r="L3" s="262">
        <v>416</v>
      </c>
      <c r="M3" s="262">
        <v>418</v>
      </c>
      <c r="N3" s="262">
        <v>419</v>
      </c>
      <c r="O3" s="262">
        <v>420</v>
      </c>
      <c r="P3" s="262">
        <v>421</v>
      </c>
      <c r="Q3" s="262">
        <v>522</v>
      </c>
      <c r="R3" s="262">
        <v>523</v>
      </c>
      <c r="S3" s="262">
        <v>524</v>
      </c>
      <c r="T3" s="262">
        <v>525</v>
      </c>
      <c r="U3" s="262">
        <v>526</v>
      </c>
      <c r="V3" s="262">
        <v>527</v>
      </c>
      <c r="W3" s="262">
        <v>528</v>
      </c>
      <c r="X3" s="262">
        <v>629</v>
      </c>
      <c r="Y3" s="262">
        <v>630</v>
      </c>
      <c r="Z3" s="262">
        <v>636</v>
      </c>
      <c r="AA3" s="262">
        <v>637</v>
      </c>
      <c r="AB3" s="262">
        <v>640</v>
      </c>
      <c r="AC3" s="262">
        <v>642</v>
      </c>
      <c r="AD3" s="262">
        <v>743</v>
      </c>
      <c r="AE3" s="243">
        <v>745</v>
      </c>
      <c r="AF3" s="243">
        <v>746</v>
      </c>
      <c r="AG3" s="542">
        <v>930</v>
      </c>
      <c r="AH3" s="557"/>
    </row>
    <row r="4" spans="1:34" ht="36.6" outlineLevel="1" thickBot="1" x14ac:dyDescent="0.35">
      <c r="A4" s="260">
        <v>2014</v>
      </c>
      <c r="B4" s="375"/>
      <c r="C4" s="244" t="s">
        <v>214</v>
      </c>
      <c r="D4" s="245" t="s">
        <v>215</v>
      </c>
      <c r="E4" s="245" t="s">
        <v>216</v>
      </c>
      <c r="F4" s="263" t="s">
        <v>244</v>
      </c>
      <c r="G4" s="263" t="s">
        <v>245</v>
      </c>
      <c r="H4" s="263" t="s">
        <v>246</v>
      </c>
      <c r="I4" s="263" t="s">
        <v>247</v>
      </c>
      <c r="J4" s="263" t="s">
        <v>248</v>
      </c>
      <c r="K4" s="263" t="s">
        <v>249</v>
      </c>
      <c r="L4" s="263" t="s">
        <v>250</v>
      </c>
      <c r="M4" s="263" t="s">
        <v>251</v>
      </c>
      <c r="N4" s="263" t="s">
        <v>252</v>
      </c>
      <c r="O4" s="263" t="s">
        <v>253</v>
      </c>
      <c r="P4" s="263" t="s">
        <v>254</v>
      </c>
      <c r="Q4" s="263" t="s">
        <v>255</v>
      </c>
      <c r="R4" s="263" t="s">
        <v>256</v>
      </c>
      <c r="S4" s="263" t="s">
        <v>257</v>
      </c>
      <c r="T4" s="263" t="s">
        <v>258</v>
      </c>
      <c r="U4" s="263" t="s">
        <v>259</v>
      </c>
      <c r="V4" s="263" t="s">
        <v>260</v>
      </c>
      <c r="W4" s="263" t="s">
        <v>269</v>
      </c>
      <c r="X4" s="263" t="s">
        <v>261</v>
      </c>
      <c r="Y4" s="263" t="s">
        <v>270</v>
      </c>
      <c r="Z4" s="263" t="s">
        <v>262</v>
      </c>
      <c r="AA4" s="263" t="s">
        <v>263</v>
      </c>
      <c r="AB4" s="263" t="s">
        <v>264</v>
      </c>
      <c r="AC4" s="263" t="s">
        <v>265</v>
      </c>
      <c r="AD4" s="263" t="s">
        <v>266</v>
      </c>
      <c r="AE4" s="245" t="s">
        <v>267</v>
      </c>
      <c r="AF4" s="245" t="s">
        <v>268</v>
      </c>
      <c r="AG4" s="543" t="s">
        <v>234</v>
      </c>
      <c r="AH4" s="557"/>
    </row>
    <row r="5" spans="1:34" x14ac:dyDescent="0.3">
      <c r="A5" s="246" t="s">
        <v>217</v>
      </c>
      <c r="B5" s="282"/>
      <c r="C5" s="283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544"/>
      <c r="AH5" s="557"/>
    </row>
    <row r="6" spans="1:34" ht="15" collapsed="1" thickBot="1" x14ac:dyDescent="0.35">
      <c r="A6" s="247" t="s">
        <v>73</v>
      </c>
      <c r="B6" s="285">
        <f xml:space="preserve">
TRUNC(IF($A$4&lt;=12,SUMIFS('ON Data'!F:F,'ON Data'!$D:$D,$A$4,'ON Data'!$E:$E,1),SUMIFS('ON Data'!F:F,'ON Data'!$E:$E,1)/'ON Data'!$D$3),1)</f>
        <v>11.7</v>
      </c>
      <c r="C6" s="286">
        <f xml:space="preserve">
TRUNC(IF($A$4&lt;=12,SUMIFS('ON Data'!G:G,'ON Data'!$D:$D,$A$4,'ON Data'!$E:$E,1),SUMIFS('ON Data'!G:G,'ON Data'!$E:$E,1)/'ON Data'!$D$3),1)</f>
        <v>0</v>
      </c>
      <c r="D6" s="287">
        <f xml:space="preserve">
TRUNC(IF($A$4&lt;=12,SUMIFS('ON Data'!H:H,'ON Data'!$D:$D,$A$4,'ON Data'!$E:$E,1),SUMIFS('ON Data'!H:H,'ON Data'!$E:$E,1)/'ON Data'!$D$3),1)</f>
        <v>4.3</v>
      </c>
      <c r="E6" s="287">
        <f xml:space="preserve">
TRUNC(IF($A$4&lt;=12,SUMIFS('ON Data'!I:I,'ON Data'!$D:$D,$A$4,'ON Data'!$E:$E,1),SUMIFS('ON Data'!I:I,'ON Data'!$E:$E,1)/'ON Data'!$D$3),1)</f>
        <v>0</v>
      </c>
      <c r="F6" s="287">
        <f xml:space="preserve">
TRUNC(IF($A$4&lt;=12,SUMIFS('ON Data'!K:K,'ON Data'!$D:$D,$A$4,'ON Data'!$E:$E,1),SUMIFS('ON Data'!K:K,'ON Data'!$E:$E,1)/'ON Data'!$D$3),1)</f>
        <v>5</v>
      </c>
      <c r="G6" s="287">
        <f xml:space="preserve">
TRUNC(IF($A$4&lt;=12,SUMIFS('ON Data'!L:L,'ON Data'!$D:$D,$A$4,'ON Data'!$E:$E,1),SUMIFS('ON Data'!L:L,'ON Data'!$E:$E,1)/'ON Data'!$D$3),1)</f>
        <v>0</v>
      </c>
      <c r="H6" s="287">
        <f xml:space="preserve">
TRUNC(IF($A$4&lt;=12,SUMIFS('ON Data'!M:M,'ON Data'!$D:$D,$A$4,'ON Data'!$E:$E,1),SUMIFS('ON Data'!M:M,'ON Data'!$E:$E,1)/'ON Data'!$D$3),1)</f>
        <v>0</v>
      </c>
      <c r="I6" s="287">
        <f xml:space="preserve">
TRUNC(IF($A$4&lt;=12,SUMIFS('ON Data'!N:N,'ON Data'!$D:$D,$A$4,'ON Data'!$E:$E,1),SUMIFS('ON Data'!N:N,'ON Data'!$E:$E,1)/'ON Data'!$D$3),1)</f>
        <v>0</v>
      </c>
      <c r="J6" s="287">
        <f xml:space="preserve">
TRUNC(IF($A$4&lt;=12,SUMIFS('ON Data'!O:O,'ON Data'!$D:$D,$A$4,'ON Data'!$E:$E,1),SUMIFS('ON Data'!O:O,'ON Data'!$E:$E,1)/'ON Data'!$D$3),1)</f>
        <v>0</v>
      </c>
      <c r="K6" s="287">
        <f xml:space="preserve">
TRUNC(IF($A$4&lt;=12,SUMIFS('ON Data'!P:P,'ON Data'!$D:$D,$A$4,'ON Data'!$E:$E,1),SUMIFS('ON Data'!P:P,'ON Data'!$E:$E,1)/'ON Data'!$D$3),1)</f>
        <v>0</v>
      </c>
      <c r="L6" s="287">
        <f xml:space="preserve">
TRUNC(IF($A$4&lt;=12,SUMIFS('ON Data'!Q:Q,'ON Data'!$D:$D,$A$4,'ON Data'!$E:$E,1),SUMIFS('ON Data'!Q:Q,'ON Data'!$E:$E,1)/'ON Data'!$D$3),1)</f>
        <v>0</v>
      </c>
      <c r="M6" s="287">
        <f xml:space="preserve">
TRUNC(IF($A$4&lt;=12,SUMIFS('ON Data'!R:R,'ON Data'!$D:$D,$A$4,'ON Data'!$E:$E,1),SUMIFS('ON Data'!R:R,'ON Data'!$E:$E,1)/'ON Data'!$D$3),1)</f>
        <v>0</v>
      </c>
      <c r="N6" s="287">
        <f xml:space="preserve">
TRUNC(IF($A$4&lt;=12,SUMIFS('ON Data'!S:S,'ON Data'!$D:$D,$A$4,'ON Data'!$E:$E,1),SUMIFS('ON Data'!S:S,'ON Data'!$E:$E,1)/'ON Data'!$D$3),1)</f>
        <v>0</v>
      </c>
      <c r="O6" s="287">
        <f xml:space="preserve">
TRUNC(IF($A$4&lt;=12,SUMIFS('ON Data'!T:T,'ON Data'!$D:$D,$A$4,'ON Data'!$E:$E,1),SUMIFS('ON Data'!T:T,'ON Data'!$E:$E,1)/'ON Data'!$D$3),1)</f>
        <v>0</v>
      </c>
      <c r="P6" s="287">
        <f xml:space="preserve">
TRUNC(IF($A$4&lt;=12,SUMIFS('ON Data'!U:U,'ON Data'!$D:$D,$A$4,'ON Data'!$E:$E,1),SUMIFS('ON Data'!U:U,'ON Data'!$E:$E,1)/'ON Data'!$D$3),1)</f>
        <v>0</v>
      </c>
      <c r="Q6" s="287">
        <f xml:space="preserve">
TRUNC(IF($A$4&lt;=12,SUMIFS('ON Data'!V:V,'ON Data'!$D:$D,$A$4,'ON Data'!$E:$E,1),SUMIFS('ON Data'!V:V,'ON Data'!$E:$E,1)/'ON Data'!$D$3),1)</f>
        <v>0</v>
      </c>
      <c r="R6" s="287">
        <f xml:space="preserve">
TRUNC(IF($A$4&lt;=12,SUMIFS('ON Data'!W:W,'ON Data'!$D:$D,$A$4,'ON Data'!$E:$E,1),SUMIFS('ON Data'!W:W,'ON Data'!$E:$E,1)/'ON Data'!$D$3),1)</f>
        <v>0</v>
      </c>
      <c r="S6" s="287">
        <f xml:space="preserve">
TRUNC(IF($A$4&lt;=12,SUMIFS('ON Data'!X:X,'ON Data'!$D:$D,$A$4,'ON Data'!$E:$E,1),SUMIFS('ON Data'!X:X,'ON Data'!$E:$E,1)/'ON Data'!$D$3),1)</f>
        <v>0</v>
      </c>
      <c r="T6" s="287">
        <f xml:space="preserve">
TRUNC(IF($A$4&lt;=12,SUMIFS('ON Data'!Y:Y,'ON Data'!$D:$D,$A$4,'ON Data'!$E:$E,1),SUMIFS('ON Data'!Y:Y,'ON Data'!$E:$E,1)/'ON Data'!$D$3),1)</f>
        <v>0</v>
      </c>
      <c r="U6" s="287">
        <f xml:space="preserve">
TRUNC(IF($A$4&lt;=12,SUMIFS('ON Data'!Z:Z,'ON Data'!$D:$D,$A$4,'ON Data'!$E:$E,1),SUMIFS('ON Data'!Z:Z,'ON Data'!$E:$E,1)/'ON Data'!$D$3),1)</f>
        <v>0</v>
      </c>
      <c r="V6" s="287">
        <f xml:space="preserve">
TRUNC(IF($A$4&lt;=12,SUMIFS('ON Data'!AA:AA,'ON Data'!$D:$D,$A$4,'ON Data'!$E:$E,1),SUMIFS('ON Data'!AA:AA,'ON Data'!$E:$E,1)/'ON Data'!$D$3),1)</f>
        <v>0</v>
      </c>
      <c r="W6" s="287">
        <f xml:space="preserve">
TRUNC(IF($A$4&lt;=12,SUMIFS('ON Data'!AB:AB,'ON Data'!$D:$D,$A$4,'ON Data'!$E:$E,1),SUMIFS('ON Data'!AB:AB,'ON Data'!$E:$E,1)/'ON Data'!$D$3),1)</f>
        <v>0</v>
      </c>
      <c r="X6" s="287">
        <f xml:space="preserve">
TRUNC(IF($A$4&lt;=12,SUMIFS('ON Data'!AC:AC,'ON Data'!$D:$D,$A$4,'ON Data'!$E:$E,1),SUMIFS('ON Data'!AC:AC,'ON Data'!$E:$E,1)/'ON Data'!$D$3),1)</f>
        <v>0</v>
      </c>
      <c r="Y6" s="287">
        <f xml:space="preserve">
TRUNC(IF($A$4&lt;=12,SUMIFS('ON Data'!AD:AD,'ON Data'!$D:$D,$A$4,'ON Data'!$E:$E,1),SUMIFS('ON Data'!AD:AD,'ON Data'!$E:$E,1)/'ON Data'!$D$3),1)</f>
        <v>0</v>
      </c>
      <c r="Z6" s="287">
        <f xml:space="preserve">
TRUNC(IF($A$4&lt;=12,SUMIFS('ON Data'!AE:AE,'ON Data'!$D:$D,$A$4,'ON Data'!$E:$E,1),SUMIFS('ON Data'!AE:AE,'ON Data'!$E:$E,1)/'ON Data'!$D$3),1)</f>
        <v>0</v>
      </c>
      <c r="AA6" s="287">
        <f xml:space="preserve">
TRUNC(IF($A$4&lt;=12,SUMIFS('ON Data'!AF:AF,'ON Data'!$D:$D,$A$4,'ON Data'!$E:$E,1),SUMIFS('ON Data'!AF:AF,'ON Data'!$E:$E,1)/'ON Data'!$D$3),1)</f>
        <v>0</v>
      </c>
      <c r="AB6" s="287">
        <f xml:space="preserve">
TRUNC(IF($A$4&lt;=12,SUMIFS('ON Data'!AG:AG,'ON Data'!$D:$D,$A$4,'ON Data'!$E:$E,1),SUMIFS('ON Data'!AG:AG,'ON Data'!$E:$E,1)/'ON Data'!$D$3),1)</f>
        <v>0</v>
      </c>
      <c r="AC6" s="287">
        <f xml:space="preserve">
TRUNC(IF($A$4&lt;=12,SUMIFS('ON Data'!AH:AH,'ON Data'!$D:$D,$A$4,'ON Data'!$E:$E,1),SUMIFS('ON Data'!AH:AH,'ON Data'!$E:$E,1)/'ON Data'!$D$3),1)</f>
        <v>0</v>
      </c>
      <c r="AD6" s="287">
        <f xml:space="preserve">
TRUNC(IF($A$4&lt;=12,SUMIFS('ON Data'!AI:AI,'ON Data'!$D:$D,$A$4,'ON Data'!$E:$E,1),SUMIFS('ON Data'!AI:AI,'ON Data'!$E:$E,1)/'ON Data'!$D$3),1)</f>
        <v>0</v>
      </c>
      <c r="AE6" s="287">
        <f xml:space="preserve">
TRUNC(IF($A$4&lt;=12,SUMIFS('ON Data'!AJ:AJ,'ON Data'!$D:$D,$A$4,'ON Data'!$E:$E,1),SUMIFS('ON Data'!AJ:AJ,'ON Data'!$E:$E,1)/'ON Data'!$D$3),1)</f>
        <v>0</v>
      </c>
      <c r="AF6" s="287">
        <f xml:space="preserve">
TRUNC(IF($A$4&lt;=12,SUMIFS('ON Data'!AK:AK,'ON Data'!$D:$D,$A$4,'ON Data'!$E:$E,1),SUMIFS('ON Data'!AK:AK,'ON Data'!$E:$E,1)/'ON Data'!$D$3),1)</f>
        <v>0</v>
      </c>
      <c r="AG6" s="545">
        <f xml:space="preserve">
TRUNC(IF($A$4&lt;=12,SUMIFS('ON Data'!AM:AM,'ON Data'!$D:$D,$A$4,'ON Data'!$E:$E,1),SUMIFS('ON Data'!AM:AM,'ON Data'!$E:$E,1)/'ON Data'!$D$3),1)</f>
        <v>2.4</v>
      </c>
      <c r="AH6" s="557"/>
    </row>
    <row r="7" spans="1:34" ht="15" hidden="1" outlineLevel="1" thickBot="1" x14ac:dyDescent="0.35">
      <c r="A7" s="247" t="s">
        <v>109</v>
      </c>
      <c r="B7" s="285"/>
      <c r="C7" s="288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545"/>
      <c r="AH7" s="557"/>
    </row>
    <row r="8" spans="1:34" ht="15" hidden="1" outlineLevel="1" thickBot="1" x14ac:dyDescent="0.35">
      <c r="A8" s="247" t="s">
        <v>75</v>
      </c>
      <c r="B8" s="285"/>
      <c r="C8" s="288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545"/>
      <c r="AH8" s="557"/>
    </row>
    <row r="9" spans="1:34" ht="15" hidden="1" outlineLevel="1" thickBot="1" x14ac:dyDescent="0.35">
      <c r="A9" s="248" t="s">
        <v>68</v>
      </c>
      <c r="B9" s="289"/>
      <c r="C9" s="290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546"/>
      <c r="AH9" s="557"/>
    </row>
    <row r="10" spans="1:34" x14ac:dyDescent="0.3">
      <c r="A10" s="249" t="s">
        <v>218</v>
      </c>
      <c r="B10" s="264"/>
      <c r="C10" s="265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547"/>
      <c r="AH10" s="557"/>
    </row>
    <row r="11" spans="1:34" x14ac:dyDescent="0.3">
      <c r="A11" s="250" t="s">
        <v>219</v>
      </c>
      <c r="B11" s="267">
        <f xml:space="preserve">
IF($A$4&lt;=12,SUMIFS('ON Data'!F:F,'ON Data'!$D:$D,$A$4,'ON Data'!$E:$E,2),SUMIFS('ON Data'!F:F,'ON Data'!$E:$E,2))</f>
        <v>9052.4</v>
      </c>
      <c r="C11" s="268">
        <f xml:space="preserve">
IF($A$4&lt;=12,SUMIFS('ON Data'!G:G,'ON Data'!$D:$D,$A$4,'ON Data'!$E:$E,2),SUMIFS('ON Data'!G:G,'ON Data'!$E:$E,2))</f>
        <v>0</v>
      </c>
      <c r="D11" s="269">
        <f xml:space="preserve">
IF($A$4&lt;=12,SUMIFS('ON Data'!H:H,'ON Data'!$D:$D,$A$4,'ON Data'!$E:$E,2),SUMIFS('ON Data'!H:H,'ON Data'!$E:$E,2))</f>
        <v>3612.3999999999996</v>
      </c>
      <c r="E11" s="269">
        <f xml:space="preserve">
IF($A$4&lt;=12,SUMIFS('ON Data'!I:I,'ON Data'!$D:$D,$A$4,'ON Data'!$E:$E,2),SUMIFS('ON Data'!I:I,'ON Data'!$E:$E,2))</f>
        <v>0</v>
      </c>
      <c r="F11" s="269">
        <f xml:space="preserve">
IF($A$4&lt;=12,SUMIFS('ON Data'!K:K,'ON Data'!$D:$D,$A$4,'ON Data'!$E:$E,2),SUMIFS('ON Data'!K:K,'ON Data'!$E:$E,2))</f>
        <v>4040</v>
      </c>
      <c r="G11" s="269">
        <f xml:space="preserve">
IF($A$4&lt;=12,SUMIFS('ON Data'!L:L,'ON Data'!$D:$D,$A$4,'ON Data'!$E:$E,2),SUMIFS('ON Data'!L:L,'ON Data'!$E:$E,2))</f>
        <v>0</v>
      </c>
      <c r="H11" s="269">
        <f xml:space="preserve">
IF($A$4&lt;=12,SUMIFS('ON Data'!M:M,'ON Data'!$D:$D,$A$4,'ON Data'!$E:$E,2),SUMIFS('ON Data'!M:M,'ON Data'!$E:$E,2))</f>
        <v>0</v>
      </c>
      <c r="I11" s="269">
        <f xml:space="preserve">
IF($A$4&lt;=12,SUMIFS('ON Data'!N:N,'ON Data'!$D:$D,$A$4,'ON Data'!$E:$E,2),SUMIFS('ON Data'!N:N,'ON Data'!$E:$E,2))</f>
        <v>0</v>
      </c>
      <c r="J11" s="269">
        <f xml:space="preserve">
IF($A$4&lt;=12,SUMIFS('ON Data'!O:O,'ON Data'!$D:$D,$A$4,'ON Data'!$E:$E,2),SUMIFS('ON Data'!O:O,'ON Data'!$E:$E,2))</f>
        <v>0</v>
      </c>
      <c r="K11" s="269">
        <f xml:space="preserve">
IF($A$4&lt;=12,SUMIFS('ON Data'!P:P,'ON Data'!$D:$D,$A$4,'ON Data'!$E:$E,2),SUMIFS('ON Data'!P:P,'ON Data'!$E:$E,2))</f>
        <v>0</v>
      </c>
      <c r="L11" s="269">
        <f xml:space="preserve">
IF($A$4&lt;=12,SUMIFS('ON Data'!Q:Q,'ON Data'!$D:$D,$A$4,'ON Data'!$E:$E,2),SUMIFS('ON Data'!Q:Q,'ON Data'!$E:$E,2))</f>
        <v>0</v>
      </c>
      <c r="M11" s="269">
        <f xml:space="preserve">
IF($A$4&lt;=12,SUMIFS('ON Data'!R:R,'ON Data'!$D:$D,$A$4,'ON Data'!$E:$E,2),SUMIFS('ON Data'!R:R,'ON Data'!$E:$E,2))</f>
        <v>0</v>
      </c>
      <c r="N11" s="269">
        <f xml:space="preserve">
IF($A$4&lt;=12,SUMIFS('ON Data'!S:S,'ON Data'!$D:$D,$A$4,'ON Data'!$E:$E,2),SUMIFS('ON Data'!S:S,'ON Data'!$E:$E,2))</f>
        <v>0</v>
      </c>
      <c r="O11" s="269">
        <f xml:space="preserve">
IF($A$4&lt;=12,SUMIFS('ON Data'!T:T,'ON Data'!$D:$D,$A$4,'ON Data'!$E:$E,2),SUMIFS('ON Data'!T:T,'ON Data'!$E:$E,2))</f>
        <v>0</v>
      </c>
      <c r="P11" s="269">
        <f xml:space="preserve">
IF($A$4&lt;=12,SUMIFS('ON Data'!U:U,'ON Data'!$D:$D,$A$4,'ON Data'!$E:$E,2),SUMIFS('ON Data'!U:U,'ON Data'!$E:$E,2))</f>
        <v>0</v>
      </c>
      <c r="Q11" s="269">
        <f xml:space="preserve">
IF($A$4&lt;=12,SUMIFS('ON Data'!V:V,'ON Data'!$D:$D,$A$4,'ON Data'!$E:$E,2),SUMIFS('ON Data'!V:V,'ON Data'!$E:$E,2))</f>
        <v>0</v>
      </c>
      <c r="R11" s="269">
        <f xml:space="preserve">
IF($A$4&lt;=12,SUMIFS('ON Data'!W:W,'ON Data'!$D:$D,$A$4,'ON Data'!$E:$E,2),SUMIFS('ON Data'!W:W,'ON Data'!$E:$E,2))</f>
        <v>0</v>
      </c>
      <c r="S11" s="269">
        <f xml:space="preserve">
IF($A$4&lt;=12,SUMIFS('ON Data'!X:X,'ON Data'!$D:$D,$A$4,'ON Data'!$E:$E,2),SUMIFS('ON Data'!X:X,'ON Data'!$E:$E,2))</f>
        <v>0</v>
      </c>
      <c r="T11" s="269">
        <f xml:space="preserve">
IF($A$4&lt;=12,SUMIFS('ON Data'!Y:Y,'ON Data'!$D:$D,$A$4,'ON Data'!$E:$E,2),SUMIFS('ON Data'!Y:Y,'ON Data'!$E:$E,2))</f>
        <v>0</v>
      </c>
      <c r="U11" s="269">
        <f xml:space="preserve">
IF($A$4&lt;=12,SUMIFS('ON Data'!Z:Z,'ON Data'!$D:$D,$A$4,'ON Data'!$E:$E,2),SUMIFS('ON Data'!Z:Z,'ON Data'!$E:$E,2))</f>
        <v>0</v>
      </c>
      <c r="V11" s="269">
        <f xml:space="preserve">
IF($A$4&lt;=12,SUMIFS('ON Data'!AA:AA,'ON Data'!$D:$D,$A$4,'ON Data'!$E:$E,2),SUMIFS('ON Data'!AA:AA,'ON Data'!$E:$E,2))</f>
        <v>0</v>
      </c>
      <c r="W11" s="269">
        <f xml:space="preserve">
IF($A$4&lt;=12,SUMIFS('ON Data'!AB:AB,'ON Data'!$D:$D,$A$4,'ON Data'!$E:$E,2),SUMIFS('ON Data'!AB:AB,'ON Data'!$E:$E,2))</f>
        <v>0</v>
      </c>
      <c r="X11" s="269">
        <f xml:space="preserve">
IF($A$4&lt;=12,SUMIFS('ON Data'!AC:AC,'ON Data'!$D:$D,$A$4,'ON Data'!$E:$E,2),SUMIFS('ON Data'!AC:AC,'ON Data'!$E:$E,2))</f>
        <v>0</v>
      </c>
      <c r="Y11" s="269">
        <f xml:space="preserve">
IF($A$4&lt;=12,SUMIFS('ON Data'!AD:AD,'ON Data'!$D:$D,$A$4,'ON Data'!$E:$E,2),SUMIFS('ON Data'!AD:AD,'ON Data'!$E:$E,2))</f>
        <v>0</v>
      </c>
      <c r="Z11" s="269">
        <f xml:space="preserve">
IF($A$4&lt;=12,SUMIFS('ON Data'!AE:AE,'ON Data'!$D:$D,$A$4,'ON Data'!$E:$E,2),SUMIFS('ON Data'!AE:AE,'ON Data'!$E:$E,2))</f>
        <v>0</v>
      </c>
      <c r="AA11" s="269">
        <f xml:space="preserve">
IF($A$4&lt;=12,SUMIFS('ON Data'!AF:AF,'ON Data'!$D:$D,$A$4,'ON Data'!$E:$E,2),SUMIFS('ON Data'!AF:AF,'ON Data'!$E:$E,2))</f>
        <v>0</v>
      </c>
      <c r="AB11" s="269">
        <f xml:space="preserve">
IF($A$4&lt;=12,SUMIFS('ON Data'!AG:AG,'ON Data'!$D:$D,$A$4,'ON Data'!$E:$E,2),SUMIFS('ON Data'!AG:AG,'ON Data'!$E:$E,2))</f>
        <v>0</v>
      </c>
      <c r="AC11" s="269">
        <f xml:space="preserve">
IF($A$4&lt;=12,SUMIFS('ON Data'!AH:AH,'ON Data'!$D:$D,$A$4,'ON Data'!$E:$E,2),SUMIFS('ON Data'!AH:AH,'ON Data'!$E:$E,2))</f>
        <v>0</v>
      </c>
      <c r="AD11" s="269">
        <f xml:space="preserve">
IF($A$4&lt;=12,SUMIFS('ON Data'!AI:AI,'ON Data'!$D:$D,$A$4,'ON Data'!$E:$E,2),SUMIFS('ON Data'!AI:AI,'ON Data'!$E:$E,2))</f>
        <v>0</v>
      </c>
      <c r="AE11" s="269">
        <f xml:space="preserve">
IF($A$4&lt;=12,SUMIFS('ON Data'!AJ:AJ,'ON Data'!$D:$D,$A$4,'ON Data'!$E:$E,2),SUMIFS('ON Data'!AJ:AJ,'ON Data'!$E:$E,2))</f>
        <v>0</v>
      </c>
      <c r="AF11" s="269">
        <f xml:space="preserve">
IF($A$4&lt;=12,SUMIFS('ON Data'!AK:AK,'ON Data'!$D:$D,$A$4,'ON Data'!$E:$E,2),SUMIFS('ON Data'!AK:AK,'ON Data'!$E:$E,2))</f>
        <v>0</v>
      </c>
      <c r="AG11" s="548">
        <f xml:space="preserve">
IF($A$4&lt;=12,SUMIFS('ON Data'!AM:AM,'ON Data'!$D:$D,$A$4,'ON Data'!$E:$E,2),SUMIFS('ON Data'!AM:AM,'ON Data'!$E:$E,2))</f>
        <v>1400</v>
      </c>
      <c r="AH11" s="557"/>
    </row>
    <row r="12" spans="1:34" x14ac:dyDescent="0.3">
      <c r="A12" s="250" t="s">
        <v>220</v>
      </c>
      <c r="B12" s="267">
        <f xml:space="preserve">
IF($A$4&lt;=12,SUMIFS('ON Data'!F:F,'ON Data'!$D:$D,$A$4,'ON Data'!$E:$E,3),SUMIFS('ON Data'!F:F,'ON Data'!$E:$E,3))</f>
        <v>0</v>
      </c>
      <c r="C12" s="268">
        <f xml:space="preserve">
IF($A$4&lt;=12,SUMIFS('ON Data'!G:G,'ON Data'!$D:$D,$A$4,'ON Data'!$E:$E,3),SUMIFS('ON Data'!G:G,'ON Data'!$E:$E,3))</f>
        <v>0</v>
      </c>
      <c r="D12" s="269">
        <f xml:space="preserve">
IF($A$4&lt;=12,SUMIFS('ON Data'!H:H,'ON Data'!$D:$D,$A$4,'ON Data'!$E:$E,3),SUMIFS('ON Data'!H:H,'ON Data'!$E:$E,3))</f>
        <v>0</v>
      </c>
      <c r="E12" s="269">
        <f xml:space="preserve">
IF($A$4&lt;=12,SUMIFS('ON Data'!I:I,'ON Data'!$D:$D,$A$4,'ON Data'!$E:$E,3),SUMIFS('ON Data'!I:I,'ON Data'!$E:$E,3))</f>
        <v>0</v>
      </c>
      <c r="F12" s="269">
        <f xml:space="preserve">
IF($A$4&lt;=12,SUMIFS('ON Data'!K:K,'ON Data'!$D:$D,$A$4,'ON Data'!$E:$E,3),SUMIFS('ON Data'!K:K,'ON Data'!$E:$E,3))</f>
        <v>0</v>
      </c>
      <c r="G12" s="269">
        <f xml:space="preserve">
IF($A$4&lt;=12,SUMIFS('ON Data'!L:L,'ON Data'!$D:$D,$A$4,'ON Data'!$E:$E,3),SUMIFS('ON Data'!L:L,'ON Data'!$E:$E,3))</f>
        <v>0</v>
      </c>
      <c r="H12" s="269">
        <f xml:space="preserve">
IF($A$4&lt;=12,SUMIFS('ON Data'!M:M,'ON Data'!$D:$D,$A$4,'ON Data'!$E:$E,3),SUMIFS('ON Data'!M:M,'ON Data'!$E:$E,3))</f>
        <v>0</v>
      </c>
      <c r="I12" s="269">
        <f xml:space="preserve">
IF($A$4&lt;=12,SUMIFS('ON Data'!N:N,'ON Data'!$D:$D,$A$4,'ON Data'!$E:$E,3),SUMIFS('ON Data'!N:N,'ON Data'!$E:$E,3))</f>
        <v>0</v>
      </c>
      <c r="J12" s="269">
        <f xml:space="preserve">
IF($A$4&lt;=12,SUMIFS('ON Data'!O:O,'ON Data'!$D:$D,$A$4,'ON Data'!$E:$E,3),SUMIFS('ON Data'!O:O,'ON Data'!$E:$E,3))</f>
        <v>0</v>
      </c>
      <c r="K12" s="269">
        <f xml:space="preserve">
IF($A$4&lt;=12,SUMIFS('ON Data'!P:P,'ON Data'!$D:$D,$A$4,'ON Data'!$E:$E,3),SUMIFS('ON Data'!P:P,'ON Data'!$E:$E,3))</f>
        <v>0</v>
      </c>
      <c r="L12" s="269">
        <f xml:space="preserve">
IF($A$4&lt;=12,SUMIFS('ON Data'!Q:Q,'ON Data'!$D:$D,$A$4,'ON Data'!$E:$E,3),SUMIFS('ON Data'!Q:Q,'ON Data'!$E:$E,3))</f>
        <v>0</v>
      </c>
      <c r="M12" s="269">
        <f xml:space="preserve">
IF($A$4&lt;=12,SUMIFS('ON Data'!R:R,'ON Data'!$D:$D,$A$4,'ON Data'!$E:$E,3),SUMIFS('ON Data'!R:R,'ON Data'!$E:$E,3))</f>
        <v>0</v>
      </c>
      <c r="N12" s="269">
        <f xml:space="preserve">
IF($A$4&lt;=12,SUMIFS('ON Data'!S:S,'ON Data'!$D:$D,$A$4,'ON Data'!$E:$E,3),SUMIFS('ON Data'!S:S,'ON Data'!$E:$E,3))</f>
        <v>0</v>
      </c>
      <c r="O12" s="269">
        <f xml:space="preserve">
IF($A$4&lt;=12,SUMIFS('ON Data'!T:T,'ON Data'!$D:$D,$A$4,'ON Data'!$E:$E,3),SUMIFS('ON Data'!T:T,'ON Data'!$E:$E,3))</f>
        <v>0</v>
      </c>
      <c r="P12" s="269">
        <f xml:space="preserve">
IF($A$4&lt;=12,SUMIFS('ON Data'!U:U,'ON Data'!$D:$D,$A$4,'ON Data'!$E:$E,3),SUMIFS('ON Data'!U:U,'ON Data'!$E:$E,3))</f>
        <v>0</v>
      </c>
      <c r="Q12" s="269">
        <f xml:space="preserve">
IF($A$4&lt;=12,SUMIFS('ON Data'!V:V,'ON Data'!$D:$D,$A$4,'ON Data'!$E:$E,3),SUMIFS('ON Data'!V:V,'ON Data'!$E:$E,3))</f>
        <v>0</v>
      </c>
      <c r="R12" s="269">
        <f xml:space="preserve">
IF($A$4&lt;=12,SUMIFS('ON Data'!W:W,'ON Data'!$D:$D,$A$4,'ON Data'!$E:$E,3),SUMIFS('ON Data'!W:W,'ON Data'!$E:$E,3))</f>
        <v>0</v>
      </c>
      <c r="S12" s="269">
        <f xml:space="preserve">
IF($A$4&lt;=12,SUMIFS('ON Data'!X:X,'ON Data'!$D:$D,$A$4,'ON Data'!$E:$E,3),SUMIFS('ON Data'!X:X,'ON Data'!$E:$E,3))</f>
        <v>0</v>
      </c>
      <c r="T12" s="269">
        <f xml:space="preserve">
IF($A$4&lt;=12,SUMIFS('ON Data'!Y:Y,'ON Data'!$D:$D,$A$4,'ON Data'!$E:$E,3),SUMIFS('ON Data'!Y:Y,'ON Data'!$E:$E,3))</f>
        <v>0</v>
      </c>
      <c r="U12" s="269">
        <f xml:space="preserve">
IF($A$4&lt;=12,SUMIFS('ON Data'!Z:Z,'ON Data'!$D:$D,$A$4,'ON Data'!$E:$E,3),SUMIFS('ON Data'!Z:Z,'ON Data'!$E:$E,3))</f>
        <v>0</v>
      </c>
      <c r="V12" s="269">
        <f xml:space="preserve">
IF($A$4&lt;=12,SUMIFS('ON Data'!AA:AA,'ON Data'!$D:$D,$A$4,'ON Data'!$E:$E,3),SUMIFS('ON Data'!AA:AA,'ON Data'!$E:$E,3))</f>
        <v>0</v>
      </c>
      <c r="W12" s="269">
        <f xml:space="preserve">
IF($A$4&lt;=12,SUMIFS('ON Data'!AB:AB,'ON Data'!$D:$D,$A$4,'ON Data'!$E:$E,3),SUMIFS('ON Data'!AB:AB,'ON Data'!$E:$E,3))</f>
        <v>0</v>
      </c>
      <c r="X12" s="269">
        <f xml:space="preserve">
IF($A$4&lt;=12,SUMIFS('ON Data'!AC:AC,'ON Data'!$D:$D,$A$4,'ON Data'!$E:$E,3),SUMIFS('ON Data'!AC:AC,'ON Data'!$E:$E,3))</f>
        <v>0</v>
      </c>
      <c r="Y12" s="269">
        <f xml:space="preserve">
IF($A$4&lt;=12,SUMIFS('ON Data'!AD:AD,'ON Data'!$D:$D,$A$4,'ON Data'!$E:$E,3),SUMIFS('ON Data'!AD:AD,'ON Data'!$E:$E,3))</f>
        <v>0</v>
      </c>
      <c r="Z12" s="269">
        <f xml:space="preserve">
IF($A$4&lt;=12,SUMIFS('ON Data'!AE:AE,'ON Data'!$D:$D,$A$4,'ON Data'!$E:$E,3),SUMIFS('ON Data'!AE:AE,'ON Data'!$E:$E,3))</f>
        <v>0</v>
      </c>
      <c r="AA12" s="269">
        <f xml:space="preserve">
IF($A$4&lt;=12,SUMIFS('ON Data'!AF:AF,'ON Data'!$D:$D,$A$4,'ON Data'!$E:$E,3),SUMIFS('ON Data'!AF:AF,'ON Data'!$E:$E,3))</f>
        <v>0</v>
      </c>
      <c r="AB12" s="269">
        <f xml:space="preserve">
IF($A$4&lt;=12,SUMIFS('ON Data'!AG:AG,'ON Data'!$D:$D,$A$4,'ON Data'!$E:$E,3),SUMIFS('ON Data'!AG:AG,'ON Data'!$E:$E,3))</f>
        <v>0</v>
      </c>
      <c r="AC12" s="269">
        <f xml:space="preserve">
IF($A$4&lt;=12,SUMIFS('ON Data'!AH:AH,'ON Data'!$D:$D,$A$4,'ON Data'!$E:$E,3),SUMIFS('ON Data'!AH:AH,'ON Data'!$E:$E,3))</f>
        <v>0</v>
      </c>
      <c r="AD12" s="269">
        <f xml:space="preserve">
IF($A$4&lt;=12,SUMIFS('ON Data'!AI:AI,'ON Data'!$D:$D,$A$4,'ON Data'!$E:$E,3),SUMIFS('ON Data'!AI:AI,'ON Data'!$E:$E,3))</f>
        <v>0</v>
      </c>
      <c r="AE12" s="269">
        <f xml:space="preserve">
IF($A$4&lt;=12,SUMIFS('ON Data'!AJ:AJ,'ON Data'!$D:$D,$A$4,'ON Data'!$E:$E,3),SUMIFS('ON Data'!AJ:AJ,'ON Data'!$E:$E,3))</f>
        <v>0</v>
      </c>
      <c r="AF12" s="269">
        <f xml:space="preserve">
IF($A$4&lt;=12,SUMIFS('ON Data'!AK:AK,'ON Data'!$D:$D,$A$4,'ON Data'!$E:$E,3),SUMIFS('ON Data'!AK:AK,'ON Data'!$E:$E,3))</f>
        <v>0</v>
      </c>
      <c r="AG12" s="548">
        <f xml:space="preserve">
IF($A$4&lt;=12,SUMIFS('ON Data'!AM:AM,'ON Data'!$D:$D,$A$4,'ON Data'!$E:$E,3),SUMIFS('ON Data'!AM:AM,'ON Data'!$E:$E,3))</f>
        <v>0</v>
      </c>
      <c r="AH12" s="557"/>
    </row>
    <row r="13" spans="1:34" x14ac:dyDescent="0.3">
      <c r="A13" s="250" t="s">
        <v>227</v>
      </c>
      <c r="B13" s="267">
        <f xml:space="preserve">
IF($A$4&lt;=12,SUMIFS('ON Data'!F:F,'ON Data'!$D:$D,$A$4,'ON Data'!$E:$E,4),SUMIFS('ON Data'!F:F,'ON Data'!$E:$E,4))</f>
        <v>0</v>
      </c>
      <c r="C13" s="268">
        <f xml:space="preserve">
IF($A$4&lt;=12,SUMIFS('ON Data'!G:G,'ON Data'!$D:$D,$A$4,'ON Data'!$E:$E,4),SUMIFS('ON Data'!G:G,'ON Data'!$E:$E,4))</f>
        <v>0</v>
      </c>
      <c r="D13" s="269">
        <f xml:space="preserve">
IF($A$4&lt;=12,SUMIFS('ON Data'!H:H,'ON Data'!$D:$D,$A$4,'ON Data'!$E:$E,4),SUMIFS('ON Data'!H:H,'ON Data'!$E:$E,4))</f>
        <v>0</v>
      </c>
      <c r="E13" s="269">
        <f xml:space="preserve">
IF($A$4&lt;=12,SUMIFS('ON Data'!I:I,'ON Data'!$D:$D,$A$4,'ON Data'!$E:$E,4),SUMIFS('ON Data'!I:I,'ON Data'!$E:$E,4))</f>
        <v>0</v>
      </c>
      <c r="F13" s="269">
        <f xml:space="preserve">
IF($A$4&lt;=12,SUMIFS('ON Data'!K:K,'ON Data'!$D:$D,$A$4,'ON Data'!$E:$E,4),SUMIFS('ON Data'!K:K,'ON Data'!$E:$E,4))</f>
        <v>0</v>
      </c>
      <c r="G13" s="269">
        <f xml:space="preserve">
IF($A$4&lt;=12,SUMIFS('ON Data'!L:L,'ON Data'!$D:$D,$A$4,'ON Data'!$E:$E,4),SUMIFS('ON Data'!L:L,'ON Data'!$E:$E,4))</f>
        <v>0</v>
      </c>
      <c r="H13" s="269">
        <f xml:space="preserve">
IF($A$4&lt;=12,SUMIFS('ON Data'!M:M,'ON Data'!$D:$D,$A$4,'ON Data'!$E:$E,4),SUMIFS('ON Data'!M:M,'ON Data'!$E:$E,4))</f>
        <v>0</v>
      </c>
      <c r="I13" s="269">
        <f xml:space="preserve">
IF($A$4&lt;=12,SUMIFS('ON Data'!N:N,'ON Data'!$D:$D,$A$4,'ON Data'!$E:$E,4),SUMIFS('ON Data'!N:N,'ON Data'!$E:$E,4))</f>
        <v>0</v>
      </c>
      <c r="J13" s="269">
        <f xml:space="preserve">
IF($A$4&lt;=12,SUMIFS('ON Data'!O:O,'ON Data'!$D:$D,$A$4,'ON Data'!$E:$E,4),SUMIFS('ON Data'!O:O,'ON Data'!$E:$E,4))</f>
        <v>0</v>
      </c>
      <c r="K13" s="269">
        <f xml:space="preserve">
IF($A$4&lt;=12,SUMIFS('ON Data'!P:P,'ON Data'!$D:$D,$A$4,'ON Data'!$E:$E,4),SUMIFS('ON Data'!P:P,'ON Data'!$E:$E,4))</f>
        <v>0</v>
      </c>
      <c r="L13" s="269">
        <f xml:space="preserve">
IF($A$4&lt;=12,SUMIFS('ON Data'!Q:Q,'ON Data'!$D:$D,$A$4,'ON Data'!$E:$E,4),SUMIFS('ON Data'!Q:Q,'ON Data'!$E:$E,4))</f>
        <v>0</v>
      </c>
      <c r="M13" s="269">
        <f xml:space="preserve">
IF($A$4&lt;=12,SUMIFS('ON Data'!R:R,'ON Data'!$D:$D,$A$4,'ON Data'!$E:$E,4),SUMIFS('ON Data'!R:R,'ON Data'!$E:$E,4))</f>
        <v>0</v>
      </c>
      <c r="N13" s="269">
        <f xml:space="preserve">
IF($A$4&lt;=12,SUMIFS('ON Data'!S:S,'ON Data'!$D:$D,$A$4,'ON Data'!$E:$E,4),SUMIFS('ON Data'!S:S,'ON Data'!$E:$E,4))</f>
        <v>0</v>
      </c>
      <c r="O13" s="269">
        <f xml:space="preserve">
IF($A$4&lt;=12,SUMIFS('ON Data'!T:T,'ON Data'!$D:$D,$A$4,'ON Data'!$E:$E,4),SUMIFS('ON Data'!T:T,'ON Data'!$E:$E,4))</f>
        <v>0</v>
      </c>
      <c r="P13" s="269">
        <f xml:space="preserve">
IF($A$4&lt;=12,SUMIFS('ON Data'!U:U,'ON Data'!$D:$D,$A$4,'ON Data'!$E:$E,4),SUMIFS('ON Data'!U:U,'ON Data'!$E:$E,4))</f>
        <v>0</v>
      </c>
      <c r="Q13" s="269">
        <f xml:space="preserve">
IF($A$4&lt;=12,SUMIFS('ON Data'!V:V,'ON Data'!$D:$D,$A$4,'ON Data'!$E:$E,4),SUMIFS('ON Data'!V:V,'ON Data'!$E:$E,4))</f>
        <v>0</v>
      </c>
      <c r="R13" s="269">
        <f xml:space="preserve">
IF($A$4&lt;=12,SUMIFS('ON Data'!W:W,'ON Data'!$D:$D,$A$4,'ON Data'!$E:$E,4),SUMIFS('ON Data'!W:W,'ON Data'!$E:$E,4))</f>
        <v>0</v>
      </c>
      <c r="S13" s="269">
        <f xml:space="preserve">
IF($A$4&lt;=12,SUMIFS('ON Data'!X:X,'ON Data'!$D:$D,$A$4,'ON Data'!$E:$E,4),SUMIFS('ON Data'!X:X,'ON Data'!$E:$E,4))</f>
        <v>0</v>
      </c>
      <c r="T13" s="269">
        <f xml:space="preserve">
IF($A$4&lt;=12,SUMIFS('ON Data'!Y:Y,'ON Data'!$D:$D,$A$4,'ON Data'!$E:$E,4),SUMIFS('ON Data'!Y:Y,'ON Data'!$E:$E,4))</f>
        <v>0</v>
      </c>
      <c r="U13" s="269">
        <f xml:space="preserve">
IF($A$4&lt;=12,SUMIFS('ON Data'!Z:Z,'ON Data'!$D:$D,$A$4,'ON Data'!$E:$E,4),SUMIFS('ON Data'!Z:Z,'ON Data'!$E:$E,4))</f>
        <v>0</v>
      </c>
      <c r="V13" s="269">
        <f xml:space="preserve">
IF($A$4&lt;=12,SUMIFS('ON Data'!AA:AA,'ON Data'!$D:$D,$A$4,'ON Data'!$E:$E,4),SUMIFS('ON Data'!AA:AA,'ON Data'!$E:$E,4))</f>
        <v>0</v>
      </c>
      <c r="W13" s="269">
        <f xml:space="preserve">
IF($A$4&lt;=12,SUMIFS('ON Data'!AB:AB,'ON Data'!$D:$D,$A$4,'ON Data'!$E:$E,4),SUMIFS('ON Data'!AB:AB,'ON Data'!$E:$E,4))</f>
        <v>0</v>
      </c>
      <c r="X13" s="269">
        <f xml:space="preserve">
IF($A$4&lt;=12,SUMIFS('ON Data'!AC:AC,'ON Data'!$D:$D,$A$4,'ON Data'!$E:$E,4),SUMIFS('ON Data'!AC:AC,'ON Data'!$E:$E,4))</f>
        <v>0</v>
      </c>
      <c r="Y13" s="269">
        <f xml:space="preserve">
IF($A$4&lt;=12,SUMIFS('ON Data'!AD:AD,'ON Data'!$D:$D,$A$4,'ON Data'!$E:$E,4),SUMIFS('ON Data'!AD:AD,'ON Data'!$E:$E,4))</f>
        <v>0</v>
      </c>
      <c r="Z13" s="269">
        <f xml:space="preserve">
IF($A$4&lt;=12,SUMIFS('ON Data'!AE:AE,'ON Data'!$D:$D,$A$4,'ON Data'!$E:$E,4),SUMIFS('ON Data'!AE:AE,'ON Data'!$E:$E,4))</f>
        <v>0</v>
      </c>
      <c r="AA13" s="269">
        <f xml:space="preserve">
IF($A$4&lt;=12,SUMIFS('ON Data'!AF:AF,'ON Data'!$D:$D,$A$4,'ON Data'!$E:$E,4),SUMIFS('ON Data'!AF:AF,'ON Data'!$E:$E,4))</f>
        <v>0</v>
      </c>
      <c r="AB13" s="269">
        <f xml:space="preserve">
IF($A$4&lt;=12,SUMIFS('ON Data'!AG:AG,'ON Data'!$D:$D,$A$4,'ON Data'!$E:$E,4),SUMIFS('ON Data'!AG:AG,'ON Data'!$E:$E,4))</f>
        <v>0</v>
      </c>
      <c r="AC13" s="269">
        <f xml:space="preserve">
IF($A$4&lt;=12,SUMIFS('ON Data'!AH:AH,'ON Data'!$D:$D,$A$4,'ON Data'!$E:$E,4),SUMIFS('ON Data'!AH:AH,'ON Data'!$E:$E,4))</f>
        <v>0</v>
      </c>
      <c r="AD13" s="269">
        <f xml:space="preserve">
IF($A$4&lt;=12,SUMIFS('ON Data'!AI:AI,'ON Data'!$D:$D,$A$4,'ON Data'!$E:$E,4),SUMIFS('ON Data'!AI:AI,'ON Data'!$E:$E,4))</f>
        <v>0</v>
      </c>
      <c r="AE13" s="269">
        <f xml:space="preserve">
IF($A$4&lt;=12,SUMIFS('ON Data'!AJ:AJ,'ON Data'!$D:$D,$A$4,'ON Data'!$E:$E,4),SUMIFS('ON Data'!AJ:AJ,'ON Data'!$E:$E,4))</f>
        <v>0</v>
      </c>
      <c r="AF13" s="269">
        <f xml:space="preserve">
IF($A$4&lt;=12,SUMIFS('ON Data'!AK:AK,'ON Data'!$D:$D,$A$4,'ON Data'!$E:$E,4),SUMIFS('ON Data'!AK:AK,'ON Data'!$E:$E,4))</f>
        <v>0</v>
      </c>
      <c r="AG13" s="548">
        <f xml:space="preserve">
IF($A$4&lt;=12,SUMIFS('ON Data'!AM:AM,'ON Data'!$D:$D,$A$4,'ON Data'!$E:$E,4),SUMIFS('ON Data'!AM:AM,'ON Data'!$E:$E,4))</f>
        <v>0</v>
      </c>
      <c r="AH13" s="557"/>
    </row>
    <row r="14" spans="1:34" ht="15" thickBot="1" x14ac:dyDescent="0.35">
      <c r="A14" s="251" t="s">
        <v>221</v>
      </c>
      <c r="B14" s="270">
        <f xml:space="preserve">
IF($A$4&lt;=12,SUMIFS('ON Data'!F:F,'ON Data'!$D:$D,$A$4,'ON Data'!$E:$E,5),SUMIFS('ON Data'!F:F,'ON Data'!$E:$E,5))</f>
        <v>0</v>
      </c>
      <c r="C14" s="271">
        <f xml:space="preserve">
IF($A$4&lt;=12,SUMIFS('ON Data'!G:G,'ON Data'!$D:$D,$A$4,'ON Data'!$E:$E,5),SUMIFS('ON Data'!G:G,'ON Data'!$E:$E,5))</f>
        <v>0</v>
      </c>
      <c r="D14" s="272">
        <f xml:space="preserve">
IF($A$4&lt;=12,SUMIFS('ON Data'!H:H,'ON Data'!$D:$D,$A$4,'ON Data'!$E:$E,5),SUMIFS('ON Data'!H:H,'ON Data'!$E:$E,5))</f>
        <v>0</v>
      </c>
      <c r="E14" s="272">
        <f xml:space="preserve">
IF($A$4&lt;=12,SUMIFS('ON Data'!I:I,'ON Data'!$D:$D,$A$4,'ON Data'!$E:$E,5),SUMIFS('ON Data'!I:I,'ON Data'!$E:$E,5))</f>
        <v>0</v>
      </c>
      <c r="F14" s="272">
        <f xml:space="preserve">
IF($A$4&lt;=12,SUMIFS('ON Data'!K:K,'ON Data'!$D:$D,$A$4,'ON Data'!$E:$E,5),SUMIFS('ON Data'!K:K,'ON Data'!$E:$E,5))</f>
        <v>0</v>
      </c>
      <c r="G14" s="272">
        <f xml:space="preserve">
IF($A$4&lt;=12,SUMIFS('ON Data'!L:L,'ON Data'!$D:$D,$A$4,'ON Data'!$E:$E,5),SUMIFS('ON Data'!L:L,'ON Data'!$E:$E,5))</f>
        <v>0</v>
      </c>
      <c r="H14" s="272">
        <f xml:space="preserve">
IF($A$4&lt;=12,SUMIFS('ON Data'!M:M,'ON Data'!$D:$D,$A$4,'ON Data'!$E:$E,5),SUMIFS('ON Data'!M:M,'ON Data'!$E:$E,5))</f>
        <v>0</v>
      </c>
      <c r="I14" s="272">
        <f xml:space="preserve">
IF($A$4&lt;=12,SUMIFS('ON Data'!N:N,'ON Data'!$D:$D,$A$4,'ON Data'!$E:$E,5),SUMIFS('ON Data'!N:N,'ON Data'!$E:$E,5))</f>
        <v>0</v>
      </c>
      <c r="J14" s="272">
        <f xml:space="preserve">
IF($A$4&lt;=12,SUMIFS('ON Data'!O:O,'ON Data'!$D:$D,$A$4,'ON Data'!$E:$E,5),SUMIFS('ON Data'!O:O,'ON Data'!$E:$E,5))</f>
        <v>0</v>
      </c>
      <c r="K14" s="272">
        <f xml:space="preserve">
IF($A$4&lt;=12,SUMIFS('ON Data'!P:P,'ON Data'!$D:$D,$A$4,'ON Data'!$E:$E,5),SUMIFS('ON Data'!P:P,'ON Data'!$E:$E,5))</f>
        <v>0</v>
      </c>
      <c r="L14" s="272">
        <f xml:space="preserve">
IF($A$4&lt;=12,SUMIFS('ON Data'!Q:Q,'ON Data'!$D:$D,$A$4,'ON Data'!$E:$E,5),SUMIFS('ON Data'!Q:Q,'ON Data'!$E:$E,5))</f>
        <v>0</v>
      </c>
      <c r="M14" s="272">
        <f xml:space="preserve">
IF($A$4&lt;=12,SUMIFS('ON Data'!R:R,'ON Data'!$D:$D,$A$4,'ON Data'!$E:$E,5),SUMIFS('ON Data'!R:R,'ON Data'!$E:$E,5))</f>
        <v>0</v>
      </c>
      <c r="N14" s="272">
        <f xml:space="preserve">
IF($A$4&lt;=12,SUMIFS('ON Data'!S:S,'ON Data'!$D:$D,$A$4,'ON Data'!$E:$E,5),SUMIFS('ON Data'!S:S,'ON Data'!$E:$E,5))</f>
        <v>0</v>
      </c>
      <c r="O14" s="272">
        <f xml:space="preserve">
IF($A$4&lt;=12,SUMIFS('ON Data'!T:T,'ON Data'!$D:$D,$A$4,'ON Data'!$E:$E,5),SUMIFS('ON Data'!T:T,'ON Data'!$E:$E,5))</f>
        <v>0</v>
      </c>
      <c r="P14" s="272">
        <f xml:space="preserve">
IF($A$4&lt;=12,SUMIFS('ON Data'!U:U,'ON Data'!$D:$D,$A$4,'ON Data'!$E:$E,5),SUMIFS('ON Data'!U:U,'ON Data'!$E:$E,5))</f>
        <v>0</v>
      </c>
      <c r="Q14" s="272">
        <f xml:space="preserve">
IF($A$4&lt;=12,SUMIFS('ON Data'!V:V,'ON Data'!$D:$D,$A$4,'ON Data'!$E:$E,5),SUMIFS('ON Data'!V:V,'ON Data'!$E:$E,5))</f>
        <v>0</v>
      </c>
      <c r="R14" s="272">
        <f xml:space="preserve">
IF($A$4&lt;=12,SUMIFS('ON Data'!W:W,'ON Data'!$D:$D,$A$4,'ON Data'!$E:$E,5),SUMIFS('ON Data'!W:W,'ON Data'!$E:$E,5))</f>
        <v>0</v>
      </c>
      <c r="S14" s="272">
        <f xml:space="preserve">
IF($A$4&lt;=12,SUMIFS('ON Data'!X:X,'ON Data'!$D:$D,$A$4,'ON Data'!$E:$E,5),SUMIFS('ON Data'!X:X,'ON Data'!$E:$E,5))</f>
        <v>0</v>
      </c>
      <c r="T14" s="272">
        <f xml:space="preserve">
IF($A$4&lt;=12,SUMIFS('ON Data'!Y:Y,'ON Data'!$D:$D,$A$4,'ON Data'!$E:$E,5),SUMIFS('ON Data'!Y:Y,'ON Data'!$E:$E,5))</f>
        <v>0</v>
      </c>
      <c r="U14" s="272">
        <f xml:space="preserve">
IF($A$4&lt;=12,SUMIFS('ON Data'!Z:Z,'ON Data'!$D:$D,$A$4,'ON Data'!$E:$E,5),SUMIFS('ON Data'!Z:Z,'ON Data'!$E:$E,5))</f>
        <v>0</v>
      </c>
      <c r="V14" s="272">
        <f xml:space="preserve">
IF($A$4&lt;=12,SUMIFS('ON Data'!AA:AA,'ON Data'!$D:$D,$A$4,'ON Data'!$E:$E,5),SUMIFS('ON Data'!AA:AA,'ON Data'!$E:$E,5))</f>
        <v>0</v>
      </c>
      <c r="W14" s="272">
        <f xml:space="preserve">
IF($A$4&lt;=12,SUMIFS('ON Data'!AB:AB,'ON Data'!$D:$D,$A$4,'ON Data'!$E:$E,5),SUMIFS('ON Data'!AB:AB,'ON Data'!$E:$E,5))</f>
        <v>0</v>
      </c>
      <c r="X14" s="272">
        <f xml:space="preserve">
IF($A$4&lt;=12,SUMIFS('ON Data'!AC:AC,'ON Data'!$D:$D,$A$4,'ON Data'!$E:$E,5),SUMIFS('ON Data'!AC:AC,'ON Data'!$E:$E,5))</f>
        <v>0</v>
      </c>
      <c r="Y14" s="272">
        <f xml:space="preserve">
IF($A$4&lt;=12,SUMIFS('ON Data'!AD:AD,'ON Data'!$D:$D,$A$4,'ON Data'!$E:$E,5),SUMIFS('ON Data'!AD:AD,'ON Data'!$E:$E,5))</f>
        <v>0</v>
      </c>
      <c r="Z14" s="272">
        <f xml:space="preserve">
IF($A$4&lt;=12,SUMIFS('ON Data'!AE:AE,'ON Data'!$D:$D,$A$4,'ON Data'!$E:$E,5),SUMIFS('ON Data'!AE:AE,'ON Data'!$E:$E,5))</f>
        <v>0</v>
      </c>
      <c r="AA14" s="272">
        <f xml:space="preserve">
IF($A$4&lt;=12,SUMIFS('ON Data'!AF:AF,'ON Data'!$D:$D,$A$4,'ON Data'!$E:$E,5),SUMIFS('ON Data'!AF:AF,'ON Data'!$E:$E,5))</f>
        <v>0</v>
      </c>
      <c r="AB14" s="272">
        <f xml:space="preserve">
IF($A$4&lt;=12,SUMIFS('ON Data'!AG:AG,'ON Data'!$D:$D,$A$4,'ON Data'!$E:$E,5),SUMIFS('ON Data'!AG:AG,'ON Data'!$E:$E,5))</f>
        <v>0</v>
      </c>
      <c r="AC14" s="272">
        <f xml:space="preserve">
IF($A$4&lt;=12,SUMIFS('ON Data'!AH:AH,'ON Data'!$D:$D,$A$4,'ON Data'!$E:$E,5),SUMIFS('ON Data'!AH:AH,'ON Data'!$E:$E,5))</f>
        <v>0</v>
      </c>
      <c r="AD14" s="272">
        <f xml:space="preserve">
IF($A$4&lt;=12,SUMIFS('ON Data'!AI:AI,'ON Data'!$D:$D,$A$4,'ON Data'!$E:$E,5),SUMIFS('ON Data'!AI:AI,'ON Data'!$E:$E,5))</f>
        <v>0</v>
      </c>
      <c r="AE14" s="272">
        <f xml:space="preserve">
IF($A$4&lt;=12,SUMIFS('ON Data'!AJ:AJ,'ON Data'!$D:$D,$A$4,'ON Data'!$E:$E,5),SUMIFS('ON Data'!AJ:AJ,'ON Data'!$E:$E,5))</f>
        <v>0</v>
      </c>
      <c r="AF14" s="272">
        <f xml:space="preserve">
IF($A$4&lt;=12,SUMIFS('ON Data'!AK:AK,'ON Data'!$D:$D,$A$4,'ON Data'!$E:$E,5),SUMIFS('ON Data'!AK:AK,'ON Data'!$E:$E,5))</f>
        <v>0</v>
      </c>
      <c r="AG14" s="549">
        <f xml:space="preserve">
IF($A$4&lt;=12,SUMIFS('ON Data'!AM:AM,'ON Data'!$D:$D,$A$4,'ON Data'!$E:$E,5),SUMIFS('ON Data'!AM:AM,'ON Data'!$E:$E,5))</f>
        <v>0</v>
      </c>
      <c r="AH14" s="557"/>
    </row>
    <row r="15" spans="1:34" x14ac:dyDescent="0.3">
      <c r="A15" s="166" t="s">
        <v>231</v>
      </c>
      <c r="B15" s="273"/>
      <c r="C15" s="274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550"/>
      <c r="AH15" s="557"/>
    </row>
    <row r="16" spans="1:34" x14ac:dyDescent="0.3">
      <c r="A16" s="252" t="s">
        <v>222</v>
      </c>
      <c r="B16" s="267">
        <f xml:space="preserve">
IF($A$4&lt;=12,SUMIFS('ON Data'!F:F,'ON Data'!$D:$D,$A$4,'ON Data'!$E:$E,7),SUMIFS('ON Data'!F:F,'ON Data'!$E:$E,7))</f>
        <v>0</v>
      </c>
      <c r="C16" s="268">
        <f xml:space="preserve">
IF($A$4&lt;=12,SUMIFS('ON Data'!G:G,'ON Data'!$D:$D,$A$4,'ON Data'!$E:$E,7),SUMIFS('ON Data'!G:G,'ON Data'!$E:$E,7))</f>
        <v>0</v>
      </c>
      <c r="D16" s="269">
        <f xml:space="preserve">
IF($A$4&lt;=12,SUMIFS('ON Data'!H:H,'ON Data'!$D:$D,$A$4,'ON Data'!$E:$E,7),SUMIFS('ON Data'!H:H,'ON Data'!$E:$E,7))</f>
        <v>0</v>
      </c>
      <c r="E16" s="269">
        <f xml:space="preserve">
IF($A$4&lt;=12,SUMIFS('ON Data'!I:I,'ON Data'!$D:$D,$A$4,'ON Data'!$E:$E,7),SUMIFS('ON Data'!I:I,'ON Data'!$E:$E,7))</f>
        <v>0</v>
      </c>
      <c r="F16" s="269">
        <f xml:space="preserve">
IF($A$4&lt;=12,SUMIFS('ON Data'!K:K,'ON Data'!$D:$D,$A$4,'ON Data'!$E:$E,7),SUMIFS('ON Data'!K:K,'ON Data'!$E:$E,7))</f>
        <v>0</v>
      </c>
      <c r="G16" s="269">
        <f xml:space="preserve">
IF($A$4&lt;=12,SUMIFS('ON Data'!L:L,'ON Data'!$D:$D,$A$4,'ON Data'!$E:$E,7),SUMIFS('ON Data'!L:L,'ON Data'!$E:$E,7))</f>
        <v>0</v>
      </c>
      <c r="H16" s="269">
        <f xml:space="preserve">
IF($A$4&lt;=12,SUMIFS('ON Data'!M:M,'ON Data'!$D:$D,$A$4,'ON Data'!$E:$E,7),SUMIFS('ON Data'!M:M,'ON Data'!$E:$E,7))</f>
        <v>0</v>
      </c>
      <c r="I16" s="269">
        <f xml:space="preserve">
IF($A$4&lt;=12,SUMIFS('ON Data'!N:N,'ON Data'!$D:$D,$A$4,'ON Data'!$E:$E,7),SUMIFS('ON Data'!N:N,'ON Data'!$E:$E,7))</f>
        <v>0</v>
      </c>
      <c r="J16" s="269">
        <f xml:space="preserve">
IF($A$4&lt;=12,SUMIFS('ON Data'!O:O,'ON Data'!$D:$D,$A$4,'ON Data'!$E:$E,7),SUMIFS('ON Data'!O:O,'ON Data'!$E:$E,7))</f>
        <v>0</v>
      </c>
      <c r="K16" s="269">
        <f xml:space="preserve">
IF($A$4&lt;=12,SUMIFS('ON Data'!P:P,'ON Data'!$D:$D,$A$4,'ON Data'!$E:$E,7),SUMIFS('ON Data'!P:P,'ON Data'!$E:$E,7))</f>
        <v>0</v>
      </c>
      <c r="L16" s="269">
        <f xml:space="preserve">
IF($A$4&lt;=12,SUMIFS('ON Data'!Q:Q,'ON Data'!$D:$D,$A$4,'ON Data'!$E:$E,7),SUMIFS('ON Data'!Q:Q,'ON Data'!$E:$E,7))</f>
        <v>0</v>
      </c>
      <c r="M16" s="269">
        <f xml:space="preserve">
IF($A$4&lt;=12,SUMIFS('ON Data'!R:R,'ON Data'!$D:$D,$A$4,'ON Data'!$E:$E,7),SUMIFS('ON Data'!R:R,'ON Data'!$E:$E,7))</f>
        <v>0</v>
      </c>
      <c r="N16" s="269">
        <f xml:space="preserve">
IF($A$4&lt;=12,SUMIFS('ON Data'!S:S,'ON Data'!$D:$D,$A$4,'ON Data'!$E:$E,7),SUMIFS('ON Data'!S:S,'ON Data'!$E:$E,7))</f>
        <v>0</v>
      </c>
      <c r="O16" s="269">
        <f xml:space="preserve">
IF($A$4&lt;=12,SUMIFS('ON Data'!T:T,'ON Data'!$D:$D,$A$4,'ON Data'!$E:$E,7),SUMIFS('ON Data'!T:T,'ON Data'!$E:$E,7))</f>
        <v>0</v>
      </c>
      <c r="P16" s="269">
        <f xml:space="preserve">
IF($A$4&lt;=12,SUMIFS('ON Data'!U:U,'ON Data'!$D:$D,$A$4,'ON Data'!$E:$E,7),SUMIFS('ON Data'!U:U,'ON Data'!$E:$E,7))</f>
        <v>0</v>
      </c>
      <c r="Q16" s="269">
        <f xml:space="preserve">
IF($A$4&lt;=12,SUMIFS('ON Data'!V:V,'ON Data'!$D:$D,$A$4,'ON Data'!$E:$E,7),SUMIFS('ON Data'!V:V,'ON Data'!$E:$E,7))</f>
        <v>0</v>
      </c>
      <c r="R16" s="269">
        <f xml:space="preserve">
IF($A$4&lt;=12,SUMIFS('ON Data'!W:W,'ON Data'!$D:$D,$A$4,'ON Data'!$E:$E,7),SUMIFS('ON Data'!W:W,'ON Data'!$E:$E,7))</f>
        <v>0</v>
      </c>
      <c r="S16" s="269">
        <f xml:space="preserve">
IF($A$4&lt;=12,SUMIFS('ON Data'!X:X,'ON Data'!$D:$D,$A$4,'ON Data'!$E:$E,7),SUMIFS('ON Data'!X:X,'ON Data'!$E:$E,7))</f>
        <v>0</v>
      </c>
      <c r="T16" s="269">
        <f xml:space="preserve">
IF($A$4&lt;=12,SUMIFS('ON Data'!Y:Y,'ON Data'!$D:$D,$A$4,'ON Data'!$E:$E,7),SUMIFS('ON Data'!Y:Y,'ON Data'!$E:$E,7))</f>
        <v>0</v>
      </c>
      <c r="U16" s="269">
        <f xml:space="preserve">
IF($A$4&lt;=12,SUMIFS('ON Data'!Z:Z,'ON Data'!$D:$D,$A$4,'ON Data'!$E:$E,7),SUMIFS('ON Data'!Z:Z,'ON Data'!$E:$E,7))</f>
        <v>0</v>
      </c>
      <c r="V16" s="269">
        <f xml:space="preserve">
IF($A$4&lt;=12,SUMIFS('ON Data'!AA:AA,'ON Data'!$D:$D,$A$4,'ON Data'!$E:$E,7),SUMIFS('ON Data'!AA:AA,'ON Data'!$E:$E,7))</f>
        <v>0</v>
      </c>
      <c r="W16" s="269">
        <f xml:space="preserve">
IF($A$4&lt;=12,SUMIFS('ON Data'!AB:AB,'ON Data'!$D:$D,$A$4,'ON Data'!$E:$E,7),SUMIFS('ON Data'!AB:AB,'ON Data'!$E:$E,7))</f>
        <v>0</v>
      </c>
      <c r="X16" s="269">
        <f xml:space="preserve">
IF($A$4&lt;=12,SUMIFS('ON Data'!AC:AC,'ON Data'!$D:$D,$A$4,'ON Data'!$E:$E,7),SUMIFS('ON Data'!AC:AC,'ON Data'!$E:$E,7))</f>
        <v>0</v>
      </c>
      <c r="Y16" s="269">
        <f xml:space="preserve">
IF($A$4&lt;=12,SUMIFS('ON Data'!AD:AD,'ON Data'!$D:$D,$A$4,'ON Data'!$E:$E,7),SUMIFS('ON Data'!AD:AD,'ON Data'!$E:$E,7))</f>
        <v>0</v>
      </c>
      <c r="Z16" s="269">
        <f xml:space="preserve">
IF($A$4&lt;=12,SUMIFS('ON Data'!AE:AE,'ON Data'!$D:$D,$A$4,'ON Data'!$E:$E,7),SUMIFS('ON Data'!AE:AE,'ON Data'!$E:$E,7))</f>
        <v>0</v>
      </c>
      <c r="AA16" s="269">
        <f xml:space="preserve">
IF($A$4&lt;=12,SUMIFS('ON Data'!AF:AF,'ON Data'!$D:$D,$A$4,'ON Data'!$E:$E,7),SUMIFS('ON Data'!AF:AF,'ON Data'!$E:$E,7))</f>
        <v>0</v>
      </c>
      <c r="AB16" s="269">
        <f xml:space="preserve">
IF($A$4&lt;=12,SUMIFS('ON Data'!AG:AG,'ON Data'!$D:$D,$A$4,'ON Data'!$E:$E,7),SUMIFS('ON Data'!AG:AG,'ON Data'!$E:$E,7))</f>
        <v>0</v>
      </c>
      <c r="AC16" s="269">
        <f xml:space="preserve">
IF($A$4&lt;=12,SUMIFS('ON Data'!AH:AH,'ON Data'!$D:$D,$A$4,'ON Data'!$E:$E,7),SUMIFS('ON Data'!AH:AH,'ON Data'!$E:$E,7))</f>
        <v>0</v>
      </c>
      <c r="AD16" s="269">
        <f xml:space="preserve">
IF($A$4&lt;=12,SUMIFS('ON Data'!AI:AI,'ON Data'!$D:$D,$A$4,'ON Data'!$E:$E,7),SUMIFS('ON Data'!AI:AI,'ON Data'!$E:$E,7))</f>
        <v>0</v>
      </c>
      <c r="AE16" s="269">
        <f xml:space="preserve">
IF($A$4&lt;=12,SUMIFS('ON Data'!AJ:AJ,'ON Data'!$D:$D,$A$4,'ON Data'!$E:$E,7),SUMIFS('ON Data'!AJ:AJ,'ON Data'!$E:$E,7))</f>
        <v>0</v>
      </c>
      <c r="AF16" s="269">
        <f xml:space="preserve">
IF($A$4&lt;=12,SUMIFS('ON Data'!AK:AK,'ON Data'!$D:$D,$A$4,'ON Data'!$E:$E,7),SUMIFS('ON Data'!AK:AK,'ON Data'!$E:$E,7))</f>
        <v>0</v>
      </c>
      <c r="AG16" s="548">
        <f xml:space="preserve">
IF($A$4&lt;=12,SUMIFS('ON Data'!AM:AM,'ON Data'!$D:$D,$A$4,'ON Data'!$E:$E,7),SUMIFS('ON Data'!AM:AM,'ON Data'!$E:$E,7))</f>
        <v>0</v>
      </c>
      <c r="AH16" s="557"/>
    </row>
    <row r="17" spans="1:34" x14ac:dyDescent="0.3">
      <c r="A17" s="252" t="s">
        <v>223</v>
      </c>
      <c r="B17" s="267">
        <f xml:space="preserve">
IF($A$4&lt;=12,SUMIFS('ON Data'!F:F,'ON Data'!$D:$D,$A$4,'ON Data'!$E:$E,8),SUMIFS('ON Data'!F:F,'ON Data'!$E:$E,8))</f>
        <v>0</v>
      </c>
      <c r="C17" s="268">
        <f xml:space="preserve">
IF($A$4&lt;=12,SUMIFS('ON Data'!G:G,'ON Data'!$D:$D,$A$4,'ON Data'!$E:$E,8),SUMIFS('ON Data'!G:G,'ON Data'!$E:$E,8))</f>
        <v>0</v>
      </c>
      <c r="D17" s="269">
        <f xml:space="preserve">
IF($A$4&lt;=12,SUMIFS('ON Data'!H:H,'ON Data'!$D:$D,$A$4,'ON Data'!$E:$E,8),SUMIFS('ON Data'!H:H,'ON Data'!$E:$E,8))</f>
        <v>0</v>
      </c>
      <c r="E17" s="269">
        <f xml:space="preserve">
IF($A$4&lt;=12,SUMIFS('ON Data'!I:I,'ON Data'!$D:$D,$A$4,'ON Data'!$E:$E,8),SUMIFS('ON Data'!I:I,'ON Data'!$E:$E,8))</f>
        <v>0</v>
      </c>
      <c r="F17" s="269">
        <f xml:space="preserve">
IF($A$4&lt;=12,SUMIFS('ON Data'!K:K,'ON Data'!$D:$D,$A$4,'ON Data'!$E:$E,8),SUMIFS('ON Data'!K:K,'ON Data'!$E:$E,8))</f>
        <v>0</v>
      </c>
      <c r="G17" s="269">
        <f xml:space="preserve">
IF($A$4&lt;=12,SUMIFS('ON Data'!L:L,'ON Data'!$D:$D,$A$4,'ON Data'!$E:$E,8),SUMIFS('ON Data'!L:L,'ON Data'!$E:$E,8))</f>
        <v>0</v>
      </c>
      <c r="H17" s="269">
        <f xml:space="preserve">
IF($A$4&lt;=12,SUMIFS('ON Data'!M:M,'ON Data'!$D:$D,$A$4,'ON Data'!$E:$E,8),SUMIFS('ON Data'!M:M,'ON Data'!$E:$E,8))</f>
        <v>0</v>
      </c>
      <c r="I17" s="269">
        <f xml:space="preserve">
IF($A$4&lt;=12,SUMIFS('ON Data'!N:N,'ON Data'!$D:$D,$A$4,'ON Data'!$E:$E,8),SUMIFS('ON Data'!N:N,'ON Data'!$E:$E,8))</f>
        <v>0</v>
      </c>
      <c r="J17" s="269">
        <f xml:space="preserve">
IF($A$4&lt;=12,SUMIFS('ON Data'!O:O,'ON Data'!$D:$D,$A$4,'ON Data'!$E:$E,8),SUMIFS('ON Data'!O:O,'ON Data'!$E:$E,8))</f>
        <v>0</v>
      </c>
      <c r="K17" s="269">
        <f xml:space="preserve">
IF($A$4&lt;=12,SUMIFS('ON Data'!P:P,'ON Data'!$D:$D,$A$4,'ON Data'!$E:$E,8),SUMIFS('ON Data'!P:P,'ON Data'!$E:$E,8))</f>
        <v>0</v>
      </c>
      <c r="L17" s="269">
        <f xml:space="preserve">
IF($A$4&lt;=12,SUMIFS('ON Data'!Q:Q,'ON Data'!$D:$D,$A$4,'ON Data'!$E:$E,8),SUMIFS('ON Data'!Q:Q,'ON Data'!$E:$E,8))</f>
        <v>0</v>
      </c>
      <c r="M17" s="269">
        <f xml:space="preserve">
IF($A$4&lt;=12,SUMIFS('ON Data'!R:R,'ON Data'!$D:$D,$A$4,'ON Data'!$E:$E,8),SUMIFS('ON Data'!R:R,'ON Data'!$E:$E,8))</f>
        <v>0</v>
      </c>
      <c r="N17" s="269">
        <f xml:space="preserve">
IF($A$4&lt;=12,SUMIFS('ON Data'!S:S,'ON Data'!$D:$D,$A$4,'ON Data'!$E:$E,8),SUMIFS('ON Data'!S:S,'ON Data'!$E:$E,8))</f>
        <v>0</v>
      </c>
      <c r="O17" s="269">
        <f xml:space="preserve">
IF($A$4&lt;=12,SUMIFS('ON Data'!T:T,'ON Data'!$D:$D,$A$4,'ON Data'!$E:$E,8),SUMIFS('ON Data'!T:T,'ON Data'!$E:$E,8))</f>
        <v>0</v>
      </c>
      <c r="P17" s="269">
        <f xml:space="preserve">
IF($A$4&lt;=12,SUMIFS('ON Data'!U:U,'ON Data'!$D:$D,$A$4,'ON Data'!$E:$E,8),SUMIFS('ON Data'!U:U,'ON Data'!$E:$E,8))</f>
        <v>0</v>
      </c>
      <c r="Q17" s="269">
        <f xml:space="preserve">
IF($A$4&lt;=12,SUMIFS('ON Data'!V:V,'ON Data'!$D:$D,$A$4,'ON Data'!$E:$E,8),SUMIFS('ON Data'!V:V,'ON Data'!$E:$E,8))</f>
        <v>0</v>
      </c>
      <c r="R17" s="269">
        <f xml:space="preserve">
IF($A$4&lt;=12,SUMIFS('ON Data'!W:W,'ON Data'!$D:$D,$A$4,'ON Data'!$E:$E,8),SUMIFS('ON Data'!W:W,'ON Data'!$E:$E,8))</f>
        <v>0</v>
      </c>
      <c r="S17" s="269">
        <f xml:space="preserve">
IF($A$4&lt;=12,SUMIFS('ON Data'!X:X,'ON Data'!$D:$D,$A$4,'ON Data'!$E:$E,8),SUMIFS('ON Data'!X:X,'ON Data'!$E:$E,8))</f>
        <v>0</v>
      </c>
      <c r="T17" s="269">
        <f xml:space="preserve">
IF($A$4&lt;=12,SUMIFS('ON Data'!Y:Y,'ON Data'!$D:$D,$A$4,'ON Data'!$E:$E,8),SUMIFS('ON Data'!Y:Y,'ON Data'!$E:$E,8))</f>
        <v>0</v>
      </c>
      <c r="U17" s="269">
        <f xml:space="preserve">
IF($A$4&lt;=12,SUMIFS('ON Data'!Z:Z,'ON Data'!$D:$D,$A$4,'ON Data'!$E:$E,8),SUMIFS('ON Data'!Z:Z,'ON Data'!$E:$E,8))</f>
        <v>0</v>
      </c>
      <c r="V17" s="269">
        <f xml:space="preserve">
IF($A$4&lt;=12,SUMIFS('ON Data'!AA:AA,'ON Data'!$D:$D,$A$4,'ON Data'!$E:$E,8),SUMIFS('ON Data'!AA:AA,'ON Data'!$E:$E,8))</f>
        <v>0</v>
      </c>
      <c r="W17" s="269">
        <f xml:space="preserve">
IF($A$4&lt;=12,SUMIFS('ON Data'!AB:AB,'ON Data'!$D:$D,$A$4,'ON Data'!$E:$E,8),SUMIFS('ON Data'!AB:AB,'ON Data'!$E:$E,8))</f>
        <v>0</v>
      </c>
      <c r="X17" s="269">
        <f xml:space="preserve">
IF($A$4&lt;=12,SUMIFS('ON Data'!AC:AC,'ON Data'!$D:$D,$A$4,'ON Data'!$E:$E,8),SUMIFS('ON Data'!AC:AC,'ON Data'!$E:$E,8))</f>
        <v>0</v>
      </c>
      <c r="Y17" s="269">
        <f xml:space="preserve">
IF($A$4&lt;=12,SUMIFS('ON Data'!AD:AD,'ON Data'!$D:$D,$A$4,'ON Data'!$E:$E,8),SUMIFS('ON Data'!AD:AD,'ON Data'!$E:$E,8))</f>
        <v>0</v>
      </c>
      <c r="Z17" s="269">
        <f xml:space="preserve">
IF($A$4&lt;=12,SUMIFS('ON Data'!AE:AE,'ON Data'!$D:$D,$A$4,'ON Data'!$E:$E,8),SUMIFS('ON Data'!AE:AE,'ON Data'!$E:$E,8))</f>
        <v>0</v>
      </c>
      <c r="AA17" s="269">
        <f xml:space="preserve">
IF($A$4&lt;=12,SUMIFS('ON Data'!AF:AF,'ON Data'!$D:$D,$A$4,'ON Data'!$E:$E,8),SUMIFS('ON Data'!AF:AF,'ON Data'!$E:$E,8))</f>
        <v>0</v>
      </c>
      <c r="AB17" s="269">
        <f xml:space="preserve">
IF($A$4&lt;=12,SUMIFS('ON Data'!AG:AG,'ON Data'!$D:$D,$A$4,'ON Data'!$E:$E,8),SUMIFS('ON Data'!AG:AG,'ON Data'!$E:$E,8))</f>
        <v>0</v>
      </c>
      <c r="AC17" s="269">
        <f xml:space="preserve">
IF($A$4&lt;=12,SUMIFS('ON Data'!AH:AH,'ON Data'!$D:$D,$A$4,'ON Data'!$E:$E,8),SUMIFS('ON Data'!AH:AH,'ON Data'!$E:$E,8))</f>
        <v>0</v>
      </c>
      <c r="AD17" s="269">
        <f xml:space="preserve">
IF($A$4&lt;=12,SUMIFS('ON Data'!AI:AI,'ON Data'!$D:$D,$A$4,'ON Data'!$E:$E,8),SUMIFS('ON Data'!AI:AI,'ON Data'!$E:$E,8))</f>
        <v>0</v>
      </c>
      <c r="AE17" s="269">
        <f xml:space="preserve">
IF($A$4&lt;=12,SUMIFS('ON Data'!AJ:AJ,'ON Data'!$D:$D,$A$4,'ON Data'!$E:$E,8),SUMIFS('ON Data'!AJ:AJ,'ON Data'!$E:$E,8))</f>
        <v>0</v>
      </c>
      <c r="AF17" s="269">
        <f xml:space="preserve">
IF($A$4&lt;=12,SUMIFS('ON Data'!AK:AK,'ON Data'!$D:$D,$A$4,'ON Data'!$E:$E,8),SUMIFS('ON Data'!AK:AK,'ON Data'!$E:$E,8))</f>
        <v>0</v>
      </c>
      <c r="AG17" s="548">
        <f xml:space="preserve">
IF($A$4&lt;=12,SUMIFS('ON Data'!AM:AM,'ON Data'!$D:$D,$A$4,'ON Data'!$E:$E,8),SUMIFS('ON Data'!AM:AM,'ON Data'!$E:$E,8))</f>
        <v>0</v>
      </c>
      <c r="AH17" s="557"/>
    </row>
    <row r="18" spans="1:34" x14ac:dyDescent="0.3">
      <c r="A18" s="252" t="s">
        <v>224</v>
      </c>
      <c r="B18" s="267">
        <f xml:space="preserve">
B19-B16-B17</f>
        <v>8434</v>
      </c>
      <c r="C18" s="268">
        <f t="shared" ref="C18" si="0" xml:space="preserve">
C19-C16-C17</f>
        <v>0</v>
      </c>
      <c r="D18" s="269">
        <f t="shared" ref="D18:AG18" si="1" xml:space="preserve">
D19-D16-D17</f>
        <v>8000</v>
      </c>
      <c r="E18" s="269">
        <f t="shared" si="1"/>
        <v>0</v>
      </c>
      <c r="F18" s="269">
        <f t="shared" si="1"/>
        <v>0</v>
      </c>
      <c r="G18" s="269">
        <f t="shared" si="1"/>
        <v>0</v>
      </c>
      <c r="H18" s="269">
        <f t="shared" si="1"/>
        <v>0</v>
      </c>
      <c r="I18" s="269">
        <f t="shared" si="1"/>
        <v>0</v>
      </c>
      <c r="J18" s="269">
        <f t="shared" si="1"/>
        <v>0</v>
      </c>
      <c r="K18" s="269">
        <f t="shared" si="1"/>
        <v>0</v>
      </c>
      <c r="L18" s="269">
        <f t="shared" si="1"/>
        <v>0</v>
      </c>
      <c r="M18" s="269">
        <f t="shared" si="1"/>
        <v>0</v>
      </c>
      <c r="N18" s="269">
        <f t="shared" si="1"/>
        <v>0</v>
      </c>
      <c r="O18" s="269">
        <f t="shared" si="1"/>
        <v>0</v>
      </c>
      <c r="P18" s="269">
        <f t="shared" si="1"/>
        <v>0</v>
      </c>
      <c r="Q18" s="269">
        <f t="shared" si="1"/>
        <v>0</v>
      </c>
      <c r="R18" s="269">
        <f t="shared" si="1"/>
        <v>0</v>
      </c>
      <c r="S18" s="269">
        <f t="shared" si="1"/>
        <v>0</v>
      </c>
      <c r="T18" s="269">
        <f t="shared" si="1"/>
        <v>0</v>
      </c>
      <c r="U18" s="269">
        <f t="shared" si="1"/>
        <v>0</v>
      </c>
      <c r="V18" s="269">
        <f t="shared" si="1"/>
        <v>0</v>
      </c>
      <c r="W18" s="269">
        <f t="shared" si="1"/>
        <v>0</v>
      </c>
      <c r="X18" s="269">
        <f t="shared" si="1"/>
        <v>0</v>
      </c>
      <c r="Y18" s="269">
        <f t="shared" si="1"/>
        <v>0</v>
      </c>
      <c r="Z18" s="269">
        <f t="shared" si="1"/>
        <v>0</v>
      </c>
      <c r="AA18" s="269">
        <f t="shared" si="1"/>
        <v>0</v>
      </c>
      <c r="AB18" s="269">
        <f t="shared" si="1"/>
        <v>0</v>
      </c>
      <c r="AC18" s="269">
        <f t="shared" si="1"/>
        <v>0</v>
      </c>
      <c r="AD18" s="269">
        <f t="shared" si="1"/>
        <v>0</v>
      </c>
      <c r="AE18" s="269">
        <f t="shared" si="1"/>
        <v>0</v>
      </c>
      <c r="AF18" s="269">
        <f t="shared" si="1"/>
        <v>0</v>
      </c>
      <c r="AG18" s="548">
        <f t="shared" si="1"/>
        <v>434</v>
      </c>
      <c r="AH18" s="557"/>
    </row>
    <row r="19" spans="1:34" ht="15" thickBot="1" x14ac:dyDescent="0.35">
      <c r="A19" s="253" t="s">
        <v>225</v>
      </c>
      <c r="B19" s="276">
        <f xml:space="preserve">
IF($A$4&lt;=12,SUMIFS('ON Data'!F:F,'ON Data'!$D:$D,$A$4,'ON Data'!$E:$E,9),SUMIFS('ON Data'!F:F,'ON Data'!$E:$E,9))</f>
        <v>8434</v>
      </c>
      <c r="C19" s="277">
        <f xml:space="preserve">
IF($A$4&lt;=12,SUMIFS('ON Data'!G:G,'ON Data'!$D:$D,$A$4,'ON Data'!$E:$E,9),SUMIFS('ON Data'!G:G,'ON Data'!$E:$E,9))</f>
        <v>0</v>
      </c>
      <c r="D19" s="278">
        <f xml:space="preserve">
IF($A$4&lt;=12,SUMIFS('ON Data'!H:H,'ON Data'!$D:$D,$A$4,'ON Data'!$E:$E,9),SUMIFS('ON Data'!H:H,'ON Data'!$E:$E,9))</f>
        <v>8000</v>
      </c>
      <c r="E19" s="278">
        <f xml:space="preserve">
IF($A$4&lt;=12,SUMIFS('ON Data'!I:I,'ON Data'!$D:$D,$A$4,'ON Data'!$E:$E,9),SUMIFS('ON Data'!I:I,'ON Data'!$E:$E,9))</f>
        <v>0</v>
      </c>
      <c r="F19" s="278">
        <f xml:space="preserve">
IF($A$4&lt;=12,SUMIFS('ON Data'!K:K,'ON Data'!$D:$D,$A$4,'ON Data'!$E:$E,9),SUMIFS('ON Data'!K:K,'ON Data'!$E:$E,9))</f>
        <v>0</v>
      </c>
      <c r="G19" s="278">
        <f xml:space="preserve">
IF($A$4&lt;=12,SUMIFS('ON Data'!L:L,'ON Data'!$D:$D,$A$4,'ON Data'!$E:$E,9),SUMIFS('ON Data'!L:L,'ON Data'!$E:$E,9))</f>
        <v>0</v>
      </c>
      <c r="H19" s="278">
        <f xml:space="preserve">
IF($A$4&lt;=12,SUMIFS('ON Data'!M:M,'ON Data'!$D:$D,$A$4,'ON Data'!$E:$E,9),SUMIFS('ON Data'!M:M,'ON Data'!$E:$E,9))</f>
        <v>0</v>
      </c>
      <c r="I19" s="278">
        <f xml:space="preserve">
IF($A$4&lt;=12,SUMIFS('ON Data'!N:N,'ON Data'!$D:$D,$A$4,'ON Data'!$E:$E,9),SUMIFS('ON Data'!N:N,'ON Data'!$E:$E,9))</f>
        <v>0</v>
      </c>
      <c r="J19" s="278">
        <f xml:space="preserve">
IF($A$4&lt;=12,SUMIFS('ON Data'!O:O,'ON Data'!$D:$D,$A$4,'ON Data'!$E:$E,9),SUMIFS('ON Data'!O:O,'ON Data'!$E:$E,9))</f>
        <v>0</v>
      </c>
      <c r="K19" s="278">
        <f xml:space="preserve">
IF($A$4&lt;=12,SUMIFS('ON Data'!P:P,'ON Data'!$D:$D,$A$4,'ON Data'!$E:$E,9),SUMIFS('ON Data'!P:P,'ON Data'!$E:$E,9))</f>
        <v>0</v>
      </c>
      <c r="L19" s="278">
        <f xml:space="preserve">
IF($A$4&lt;=12,SUMIFS('ON Data'!Q:Q,'ON Data'!$D:$D,$A$4,'ON Data'!$E:$E,9),SUMIFS('ON Data'!Q:Q,'ON Data'!$E:$E,9))</f>
        <v>0</v>
      </c>
      <c r="M19" s="278">
        <f xml:space="preserve">
IF($A$4&lt;=12,SUMIFS('ON Data'!R:R,'ON Data'!$D:$D,$A$4,'ON Data'!$E:$E,9),SUMIFS('ON Data'!R:R,'ON Data'!$E:$E,9))</f>
        <v>0</v>
      </c>
      <c r="N19" s="278">
        <f xml:space="preserve">
IF($A$4&lt;=12,SUMIFS('ON Data'!S:S,'ON Data'!$D:$D,$A$4,'ON Data'!$E:$E,9),SUMIFS('ON Data'!S:S,'ON Data'!$E:$E,9))</f>
        <v>0</v>
      </c>
      <c r="O19" s="278">
        <f xml:space="preserve">
IF($A$4&lt;=12,SUMIFS('ON Data'!T:T,'ON Data'!$D:$D,$A$4,'ON Data'!$E:$E,9),SUMIFS('ON Data'!T:T,'ON Data'!$E:$E,9))</f>
        <v>0</v>
      </c>
      <c r="P19" s="278">
        <f xml:space="preserve">
IF($A$4&lt;=12,SUMIFS('ON Data'!U:U,'ON Data'!$D:$D,$A$4,'ON Data'!$E:$E,9),SUMIFS('ON Data'!U:U,'ON Data'!$E:$E,9))</f>
        <v>0</v>
      </c>
      <c r="Q19" s="278">
        <f xml:space="preserve">
IF($A$4&lt;=12,SUMIFS('ON Data'!V:V,'ON Data'!$D:$D,$A$4,'ON Data'!$E:$E,9),SUMIFS('ON Data'!V:V,'ON Data'!$E:$E,9))</f>
        <v>0</v>
      </c>
      <c r="R19" s="278">
        <f xml:space="preserve">
IF($A$4&lt;=12,SUMIFS('ON Data'!W:W,'ON Data'!$D:$D,$A$4,'ON Data'!$E:$E,9),SUMIFS('ON Data'!W:W,'ON Data'!$E:$E,9))</f>
        <v>0</v>
      </c>
      <c r="S19" s="278">
        <f xml:space="preserve">
IF($A$4&lt;=12,SUMIFS('ON Data'!X:X,'ON Data'!$D:$D,$A$4,'ON Data'!$E:$E,9),SUMIFS('ON Data'!X:X,'ON Data'!$E:$E,9))</f>
        <v>0</v>
      </c>
      <c r="T19" s="278">
        <f xml:space="preserve">
IF($A$4&lt;=12,SUMIFS('ON Data'!Y:Y,'ON Data'!$D:$D,$A$4,'ON Data'!$E:$E,9),SUMIFS('ON Data'!Y:Y,'ON Data'!$E:$E,9))</f>
        <v>0</v>
      </c>
      <c r="U19" s="278">
        <f xml:space="preserve">
IF($A$4&lt;=12,SUMIFS('ON Data'!Z:Z,'ON Data'!$D:$D,$A$4,'ON Data'!$E:$E,9),SUMIFS('ON Data'!Z:Z,'ON Data'!$E:$E,9))</f>
        <v>0</v>
      </c>
      <c r="V19" s="278">
        <f xml:space="preserve">
IF($A$4&lt;=12,SUMIFS('ON Data'!AA:AA,'ON Data'!$D:$D,$A$4,'ON Data'!$E:$E,9),SUMIFS('ON Data'!AA:AA,'ON Data'!$E:$E,9))</f>
        <v>0</v>
      </c>
      <c r="W19" s="278">
        <f xml:space="preserve">
IF($A$4&lt;=12,SUMIFS('ON Data'!AB:AB,'ON Data'!$D:$D,$A$4,'ON Data'!$E:$E,9),SUMIFS('ON Data'!AB:AB,'ON Data'!$E:$E,9))</f>
        <v>0</v>
      </c>
      <c r="X19" s="278">
        <f xml:space="preserve">
IF($A$4&lt;=12,SUMIFS('ON Data'!AC:AC,'ON Data'!$D:$D,$A$4,'ON Data'!$E:$E,9),SUMIFS('ON Data'!AC:AC,'ON Data'!$E:$E,9))</f>
        <v>0</v>
      </c>
      <c r="Y19" s="278">
        <f xml:space="preserve">
IF($A$4&lt;=12,SUMIFS('ON Data'!AD:AD,'ON Data'!$D:$D,$A$4,'ON Data'!$E:$E,9),SUMIFS('ON Data'!AD:AD,'ON Data'!$E:$E,9))</f>
        <v>0</v>
      </c>
      <c r="Z19" s="278">
        <f xml:space="preserve">
IF($A$4&lt;=12,SUMIFS('ON Data'!AE:AE,'ON Data'!$D:$D,$A$4,'ON Data'!$E:$E,9),SUMIFS('ON Data'!AE:AE,'ON Data'!$E:$E,9))</f>
        <v>0</v>
      </c>
      <c r="AA19" s="278">
        <f xml:space="preserve">
IF($A$4&lt;=12,SUMIFS('ON Data'!AF:AF,'ON Data'!$D:$D,$A$4,'ON Data'!$E:$E,9),SUMIFS('ON Data'!AF:AF,'ON Data'!$E:$E,9))</f>
        <v>0</v>
      </c>
      <c r="AB19" s="278">
        <f xml:space="preserve">
IF($A$4&lt;=12,SUMIFS('ON Data'!AG:AG,'ON Data'!$D:$D,$A$4,'ON Data'!$E:$E,9),SUMIFS('ON Data'!AG:AG,'ON Data'!$E:$E,9))</f>
        <v>0</v>
      </c>
      <c r="AC19" s="278">
        <f xml:space="preserve">
IF($A$4&lt;=12,SUMIFS('ON Data'!AH:AH,'ON Data'!$D:$D,$A$4,'ON Data'!$E:$E,9),SUMIFS('ON Data'!AH:AH,'ON Data'!$E:$E,9))</f>
        <v>0</v>
      </c>
      <c r="AD19" s="278">
        <f xml:space="preserve">
IF($A$4&lt;=12,SUMIFS('ON Data'!AI:AI,'ON Data'!$D:$D,$A$4,'ON Data'!$E:$E,9),SUMIFS('ON Data'!AI:AI,'ON Data'!$E:$E,9))</f>
        <v>0</v>
      </c>
      <c r="AE19" s="278">
        <f xml:space="preserve">
IF($A$4&lt;=12,SUMIFS('ON Data'!AJ:AJ,'ON Data'!$D:$D,$A$4,'ON Data'!$E:$E,9),SUMIFS('ON Data'!AJ:AJ,'ON Data'!$E:$E,9))</f>
        <v>0</v>
      </c>
      <c r="AF19" s="278">
        <f xml:space="preserve">
IF($A$4&lt;=12,SUMIFS('ON Data'!AK:AK,'ON Data'!$D:$D,$A$4,'ON Data'!$E:$E,9),SUMIFS('ON Data'!AK:AK,'ON Data'!$E:$E,9))</f>
        <v>0</v>
      </c>
      <c r="AG19" s="551">
        <f xml:space="preserve">
IF($A$4&lt;=12,SUMIFS('ON Data'!AM:AM,'ON Data'!$D:$D,$A$4,'ON Data'!$E:$E,9),SUMIFS('ON Data'!AM:AM,'ON Data'!$E:$E,9))</f>
        <v>434</v>
      </c>
      <c r="AH19" s="557"/>
    </row>
    <row r="20" spans="1:34" ht="15" collapsed="1" thickBot="1" x14ac:dyDescent="0.35">
      <c r="A20" s="254" t="s">
        <v>73</v>
      </c>
      <c r="B20" s="279">
        <f xml:space="preserve">
IF($A$4&lt;=12,SUMIFS('ON Data'!F:F,'ON Data'!$D:$D,$A$4,'ON Data'!$E:$E,6),SUMIFS('ON Data'!F:F,'ON Data'!$E:$E,6))</f>
        <v>1956125</v>
      </c>
      <c r="C20" s="280">
        <f xml:space="preserve">
IF($A$4&lt;=12,SUMIFS('ON Data'!G:G,'ON Data'!$D:$D,$A$4,'ON Data'!$E:$E,6),SUMIFS('ON Data'!G:G,'ON Data'!$E:$E,6))</f>
        <v>0</v>
      </c>
      <c r="D20" s="281">
        <f xml:space="preserve">
IF($A$4&lt;=12,SUMIFS('ON Data'!H:H,'ON Data'!$D:$D,$A$4,'ON Data'!$E:$E,6),SUMIFS('ON Data'!H:H,'ON Data'!$E:$E,6))</f>
        <v>1104919</v>
      </c>
      <c r="E20" s="281">
        <f xml:space="preserve">
IF($A$4&lt;=12,SUMIFS('ON Data'!I:I,'ON Data'!$D:$D,$A$4,'ON Data'!$E:$E,6),SUMIFS('ON Data'!I:I,'ON Data'!$E:$E,6))</f>
        <v>0</v>
      </c>
      <c r="F20" s="281">
        <f xml:space="preserve">
IF($A$4&lt;=12,SUMIFS('ON Data'!K:K,'ON Data'!$D:$D,$A$4,'ON Data'!$E:$E,6),SUMIFS('ON Data'!K:K,'ON Data'!$E:$E,6))</f>
        <v>678301</v>
      </c>
      <c r="G20" s="281">
        <f xml:space="preserve">
IF($A$4&lt;=12,SUMIFS('ON Data'!L:L,'ON Data'!$D:$D,$A$4,'ON Data'!$E:$E,6),SUMIFS('ON Data'!L:L,'ON Data'!$E:$E,6))</f>
        <v>0</v>
      </c>
      <c r="H20" s="281">
        <f xml:space="preserve">
IF($A$4&lt;=12,SUMIFS('ON Data'!M:M,'ON Data'!$D:$D,$A$4,'ON Data'!$E:$E,6),SUMIFS('ON Data'!M:M,'ON Data'!$E:$E,6))</f>
        <v>0</v>
      </c>
      <c r="I20" s="281">
        <f xml:space="preserve">
IF($A$4&lt;=12,SUMIFS('ON Data'!N:N,'ON Data'!$D:$D,$A$4,'ON Data'!$E:$E,6),SUMIFS('ON Data'!N:N,'ON Data'!$E:$E,6))</f>
        <v>0</v>
      </c>
      <c r="J20" s="281">
        <f xml:space="preserve">
IF($A$4&lt;=12,SUMIFS('ON Data'!O:O,'ON Data'!$D:$D,$A$4,'ON Data'!$E:$E,6),SUMIFS('ON Data'!O:O,'ON Data'!$E:$E,6))</f>
        <v>0</v>
      </c>
      <c r="K20" s="281">
        <f xml:space="preserve">
IF($A$4&lt;=12,SUMIFS('ON Data'!P:P,'ON Data'!$D:$D,$A$4,'ON Data'!$E:$E,6),SUMIFS('ON Data'!P:P,'ON Data'!$E:$E,6))</f>
        <v>0</v>
      </c>
      <c r="L20" s="281">
        <f xml:space="preserve">
IF($A$4&lt;=12,SUMIFS('ON Data'!Q:Q,'ON Data'!$D:$D,$A$4,'ON Data'!$E:$E,6),SUMIFS('ON Data'!Q:Q,'ON Data'!$E:$E,6))</f>
        <v>0</v>
      </c>
      <c r="M20" s="281">
        <f xml:space="preserve">
IF($A$4&lt;=12,SUMIFS('ON Data'!R:R,'ON Data'!$D:$D,$A$4,'ON Data'!$E:$E,6),SUMIFS('ON Data'!R:R,'ON Data'!$E:$E,6))</f>
        <v>0</v>
      </c>
      <c r="N20" s="281">
        <f xml:space="preserve">
IF($A$4&lt;=12,SUMIFS('ON Data'!S:S,'ON Data'!$D:$D,$A$4,'ON Data'!$E:$E,6),SUMIFS('ON Data'!S:S,'ON Data'!$E:$E,6))</f>
        <v>0</v>
      </c>
      <c r="O20" s="281">
        <f xml:space="preserve">
IF($A$4&lt;=12,SUMIFS('ON Data'!T:T,'ON Data'!$D:$D,$A$4,'ON Data'!$E:$E,6),SUMIFS('ON Data'!T:T,'ON Data'!$E:$E,6))</f>
        <v>0</v>
      </c>
      <c r="P20" s="281">
        <f xml:space="preserve">
IF($A$4&lt;=12,SUMIFS('ON Data'!U:U,'ON Data'!$D:$D,$A$4,'ON Data'!$E:$E,6),SUMIFS('ON Data'!U:U,'ON Data'!$E:$E,6))</f>
        <v>0</v>
      </c>
      <c r="Q20" s="281">
        <f xml:space="preserve">
IF($A$4&lt;=12,SUMIFS('ON Data'!V:V,'ON Data'!$D:$D,$A$4,'ON Data'!$E:$E,6),SUMIFS('ON Data'!V:V,'ON Data'!$E:$E,6))</f>
        <v>0</v>
      </c>
      <c r="R20" s="281">
        <f xml:space="preserve">
IF($A$4&lt;=12,SUMIFS('ON Data'!W:W,'ON Data'!$D:$D,$A$4,'ON Data'!$E:$E,6),SUMIFS('ON Data'!W:W,'ON Data'!$E:$E,6))</f>
        <v>0</v>
      </c>
      <c r="S20" s="281">
        <f xml:space="preserve">
IF($A$4&lt;=12,SUMIFS('ON Data'!X:X,'ON Data'!$D:$D,$A$4,'ON Data'!$E:$E,6),SUMIFS('ON Data'!X:X,'ON Data'!$E:$E,6))</f>
        <v>0</v>
      </c>
      <c r="T20" s="281">
        <f xml:space="preserve">
IF($A$4&lt;=12,SUMIFS('ON Data'!Y:Y,'ON Data'!$D:$D,$A$4,'ON Data'!$E:$E,6),SUMIFS('ON Data'!Y:Y,'ON Data'!$E:$E,6))</f>
        <v>0</v>
      </c>
      <c r="U20" s="281">
        <f xml:space="preserve">
IF($A$4&lt;=12,SUMIFS('ON Data'!Z:Z,'ON Data'!$D:$D,$A$4,'ON Data'!$E:$E,6),SUMIFS('ON Data'!Z:Z,'ON Data'!$E:$E,6))</f>
        <v>0</v>
      </c>
      <c r="V20" s="281">
        <f xml:space="preserve">
IF($A$4&lt;=12,SUMIFS('ON Data'!AA:AA,'ON Data'!$D:$D,$A$4,'ON Data'!$E:$E,6),SUMIFS('ON Data'!AA:AA,'ON Data'!$E:$E,6))</f>
        <v>0</v>
      </c>
      <c r="W20" s="281">
        <f xml:space="preserve">
IF($A$4&lt;=12,SUMIFS('ON Data'!AB:AB,'ON Data'!$D:$D,$A$4,'ON Data'!$E:$E,6),SUMIFS('ON Data'!AB:AB,'ON Data'!$E:$E,6))</f>
        <v>0</v>
      </c>
      <c r="X20" s="281">
        <f xml:space="preserve">
IF($A$4&lt;=12,SUMIFS('ON Data'!AC:AC,'ON Data'!$D:$D,$A$4,'ON Data'!$E:$E,6),SUMIFS('ON Data'!AC:AC,'ON Data'!$E:$E,6))</f>
        <v>0</v>
      </c>
      <c r="Y20" s="281">
        <f xml:space="preserve">
IF($A$4&lt;=12,SUMIFS('ON Data'!AD:AD,'ON Data'!$D:$D,$A$4,'ON Data'!$E:$E,6),SUMIFS('ON Data'!AD:AD,'ON Data'!$E:$E,6))</f>
        <v>0</v>
      </c>
      <c r="Z20" s="281">
        <f xml:space="preserve">
IF($A$4&lt;=12,SUMIFS('ON Data'!AE:AE,'ON Data'!$D:$D,$A$4,'ON Data'!$E:$E,6),SUMIFS('ON Data'!AE:AE,'ON Data'!$E:$E,6))</f>
        <v>0</v>
      </c>
      <c r="AA20" s="281">
        <f xml:space="preserve">
IF($A$4&lt;=12,SUMIFS('ON Data'!AF:AF,'ON Data'!$D:$D,$A$4,'ON Data'!$E:$E,6),SUMIFS('ON Data'!AF:AF,'ON Data'!$E:$E,6))</f>
        <v>0</v>
      </c>
      <c r="AB20" s="281">
        <f xml:space="preserve">
IF($A$4&lt;=12,SUMIFS('ON Data'!AG:AG,'ON Data'!$D:$D,$A$4,'ON Data'!$E:$E,6),SUMIFS('ON Data'!AG:AG,'ON Data'!$E:$E,6))</f>
        <v>0</v>
      </c>
      <c r="AC20" s="281">
        <f xml:space="preserve">
IF($A$4&lt;=12,SUMIFS('ON Data'!AH:AH,'ON Data'!$D:$D,$A$4,'ON Data'!$E:$E,6),SUMIFS('ON Data'!AH:AH,'ON Data'!$E:$E,6))</f>
        <v>0</v>
      </c>
      <c r="AD20" s="281">
        <f xml:space="preserve">
IF($A$4&lt;=12,SUMIFS('ON Data'!AI:AI,'ON Data'!$D:$D,$A$4,'ON Data'!$E:$E,6),SUMIFS('ON Data'!AI:AI,'ON Data'!$E:$E,6))</f>
        <v>0</v>
      </c>
      <c r="AE20" s="281">
        <f xml:space="preserve">
IF($A$4&lt;=12,SUMIFS('ON Data'!AJ:AJ,'ON Data'!$D:$D,$A$4,'ON Data'!$E:$E,6),SUMIFS('ON Data'!AJ:AJ,'ON Data'!$E:$E,6))</f>
        <v>0</v>
      </c>
      <c r="AF20" s="281">
        <f xml:space="preserve">
IF($A$4&lt;=12,SUMIFS('ON Data'!AK:AK,'ON Data'!$D:$D,$A$4,'ON Data'!$E:$E,6),SUMIFS('ON Data'!AK:AK,'ON Data'!$E:$E,6))</f>
        <v>0</v>
      </c>
      <c r="AG20" s="552">
        <f xml:space="preserve">
IF($A$4&lt;=12,SUMIFS('ON Data'!AM:AM,'ON Data'!$D:$D,$A$4,'ON Data'!$E:$E,6),SUMIFS('ON Data'!AM:AM,'ON Data'!$E:$E,6))</f>
        <v>172905</v>
      </c>
      <c r="AH20" s="557"/>
    </row>
    <row r="21" spans="1:34" ht="15" hidden="1" outlineLevel="1" thickBot="1" x14ac:dyDescent="0.35">
      <c r="A21" s="247" t="s">
        <v>109</v>
      </c>
      <c r="B21" s="267"/>
      <c r="C21" s="268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548"/>
      <c r="AH21" s="557"/>
    </row>
    <row r="22" spans="1:34" ht="15" hidden="1" outlineLevel="1" thickBot="1" x14ac:dyDescent="0.35">
      <c r="A22" s="247" t="s">
        <v>75</v>
      </c>
      <c r="B22" s="267"/>
      <c r="C22" s="268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548"/>
      <c r="AH22" s="557"/>
    </row>
    <row r="23" spans="1:34" ht="15" hidden="1" outlineLevel="1" thickBot="1" x14ac:dyDescent="0.35">
      <c r="A23" s="255" t="s">
        <v>68</v>
      </c>
      <c r="B23" s="270"/>
      <c r="C23" s="271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549"/>
      <c r="AH23" s="557"/>
    </row>
    <row r="24" spans="1:34" x14ac:dyDescent="0.3">
      <c r="A24" s="249" t="s">
        <v>226</v>
      </c>
      <c r="B24" s="296" t="s">
        <v>3</v>
      </c>
      <c r="C24" s="558" t="s">
        <v>237</v>
      </c>
      <c r="D24" s="533"/>
      <c r="E24" s="534"/>
      <c r="F24" s="534" t="s">
        <v>238</v>
      </c>
      <c r="G24" s="534"/>
      <c r="H24" s="534"/>
      <c r="I24" s="534"/>
      <c r="J24" s="534"/>
      <c r="K24" s="534"/>
      <c r="L24" s="534"/>
      <c r="M24" s="534"/>
      <c r="N24" s="534"/>
      <c r="O24" s="534"/>
      <c r="P24" s="534"/>
      <c r="Q24" s="534"/>
      <c r="R24" s="534"/>
      <c r="S24" s="534"/>
      <c r="T24" s="534"/>
      <c r="U24" s="534"/>
      <c r="V24" s="534"/>
      <c r="W24" s="534"/>
      <c r="X24" s="534"/>
      <c r="Y24" s="534"/>
      <c r="Z24" s="534"/>
      <c r="AA24" s="534"/>
      <c r="AB24" s="534"/>
      <c r="AC24" s="534"/>
      <c r="AD24" s="534"/>
      <c r="AE24" s="534"/>
      <c r="AF24" s="534"/>
      <c r="AG24" s="553" t="s">
        <v>239</v>
      </c>
      <c r="AH24" s="557"/>
    </row>
    <row r="25" spans="1:34" x14ac:dyDescent="0.3">
      <c r="A25" s="250" t="s">
        <v>73</v>
      </c>
      <c r="B25" s="267">
        <f xml:space="preserve">
SUM(C25:AG25)</f>
        <v>0</v>
      </c>
      <c r="C25" s="559">
        <f xml:space="preserve">
IF($A$4&lt;=12,SUMIFS('ON Data'!H:H,'ON Data'!$D:$D,$A$4,'ON Data'!$E:$E,10),SUMIFS('ON Data'!H:H,'ON Data'!$E:$E,10))</f>
        <v>0</v>
      </c>
      <c r="D25" s="535"/>
      <c r="E25" s="536"/>
      <c r="F25" s="536">
        <f xml:space="preserve">
IF($A$4&lt;=12,SUMIFS('ON Data'!K:K,'ON Data'!$D:$D,$A$4,'ON Data'!$E:$E,10),SUMIFS('ON Data'!K:K,'ON Data'!$E:$E,10))</f>
        <v>0</v>
      </c>
      <c r="G25" s="536"/>
      <c r="H25" s="536"/>
      <c r="I25" s="536"/>
      <c r="J25" s="536"/>
      <c r="K25" s="536"/>
      <c r="L25" s="536"/>
      <c r="M25" s="536"/>
      <c r="N25" s="536"/>
      <c r="O25" s="536"/>
      <c r="P25" s="536"/>
      <c r="Q25" s="536"/>
      <c r="R25" s="536"/>
      <c r="S25" s="536"/>
      <c r="T25" s="536"/>
      <c r="U25" s="536"/>
      <c r="V25" s="536"/>
      <c r="W25" s="536"/>
      <c r="X25" s="536"/>
      <c r="Y25" s="536"/>
      <c r="Z25" s="536"/>
      <c r="AA25" s="536"/>
      <c r="AB25" s="536"/>
      <c r="AC25" s="536"/>
      <c r="AD25" s="536"/>
      <c r="AE25" s="536"/>
      <c r="AF25" s="536"/>
      <c r="AG25" s="554">
        <f xml:space="preserve">
IF($A$4&lt;=12,SUMIFS('ON Data'!AM:AM,'ON Data'!$D:$D,$A$4,'ON Data'!$E:$E,10),SUMIFS('ON Data'!AM:AM,'ON Data'!$E:$E,10))</f>
        <v>0</v>
      </c>
      <c r="AH25" s="557"/>
    </row>
    <row r="26" spans="1:34" x14ac:dyDescent="0.3">
      <c r="A26" s="256" t="s">
        <v>236</v>
      </c>
      <c r="B26" s="276">
        <f xml:space="preserve">
SUM(C26:AG26)</f>
        <v>6860.4166666666661</v>
      </c>
      <c r="C26" s="559">
        <f xml:space="preserve">
IF($A$4&lt;=12,SUMIFS('ON Data'!H:H,'ON Data'!$D:$D,$A$4,'ON Data'!$E:$E,11),SUMIFS('ON Data'!H:H,'ON Data'!$E:$E,11))</f>
        <v>6860.4166666666661</v>
      </c>
      <c r="D26" s="535"/>
      <c r="E26" s="536"/>
      <c r="F26" s="537">
        <f xml:space="preserve">
IF($A$4&lt;=12,SUMIFS('ON Data'!K:K,'ON Data'!$D:$D,$A$4,'ON Data'!$E:$E,11),SUMIFS('ON Data'!K:K,'ON Data'!$E:$E,11))</f>
        <v>0</v>
      </c>
      <c r="G26" s="537"/>
      <c r="H26" s="537"/>
      <c r="I26" s="537"/>
      <c r="J26" s="537"/>
      <c r="K26" s="537"/>
      <c r="L26" s="537"/>
      <c r="M26" s="537"/>
      <c r="N26" s="537"/>
      <c r="O26" s="537"/>
      <c r="P26" s="537"/>
      <c r="Q26" s="537"/>
      <c r="R26" s="537"/>
      <c r="S26" s="537"/>
      <c r="T26" s="537"/>
      <c r="U26" s="537"/>
      <c r="V26" s="537"/>
      <c r="W26" s="537"/>
      <c r="X26" s="537"/>
      <c r="Y26" s="537"/>
      <c r="Z26" s="537"/>
      <c r="AA26" s="537"/>
      <c r="AB26" s="537"/>
      <c r="AC26" s="537"/>
      <c r="AD26" s="537"/>
      <c r="AE26" s="537"/>
      <c r="AF26" s="537"/>
      <c r="AG26" s="554">
        <f xml:space="preserve">
IF($A$4&lt;=12,SUMIFS('ON Data'!AM:AM,'ON Data'!$D:$D,$A$4,'ON Data'!$E:$E,11),SUMIFS('ON Data'!AM:AM,'ON Data'!$E:$E,11))</f>
        <v>0</v>
      </c>
      <c r="AH26" s="557"/>
    </row>
    <row r="27" spans="1:34" x14ac:dyDescent="0.3">
      <c r="A27" s="256" t="s">
        <v>75</v>
      </c>
      <c r="B27" s="297">
        <f xml:space="preserve">
IF(B26=0,0,B25/B26)</f>
        <v>0</v>
      </c>
      <c r="C27" s="560">
        <f xml:space="preserve">
IF(C26=0,0,C25/C26)</f>
        <v>0</v>
      </c>
      <c r="D27" s="538"/>
      <c r="E27" s="539"/>
      <c r="F27" s="539">
        <f xml:space="preserve">
IF(F26=0,0,F25/F26)</f>
        <v>0</v>
      </c>
      <c r="G27" s="539"/>
      <c r="H27" s="539"/>
      <c r="I27" s="539"/>
      <c r="J27" s="539"/>
      <c r="K27" s="539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9"/>
      <c r="AA27" s="539"/>
      <c r="AB27" s="539"/>
      <c r="AC27" s="539"/>
      <c r="AD27" s="539"/>
      <c r="AE27" s="539"/>
      <c r="AF27" s="539"/>
      <c r="AG27" s="555">
        <f xml:space="preserve">
IF(AG26=0,0,AG25/AG26)</f>
        <v>0</v>
      </c>
      <c r="AH27" s="557"/>
    </row>
    <row r="28" spans="1:34" ht="15" thickBot="1" x14ac:dyDescent="0.35">
      <c r="A28" s="256" t="s">
        <v>235</v>
      </c>
      <c r="B28" s="276">
        <f xml:space="preserve">
SUM(C28:AG28)</f>
        <v>6860.4166666666661</v>
      </c>
      <c r="C28" s="561">
        <f xml:space="preserve">
C26-C25</f>
        <v>6860.4166666666661</v>
      </c>
      <c r="D28" s="540"/>
      <c r="E28" s="541"/>
      <c r="F28" s="541">
        <f xml:space="preserve">
F26-F25</f>
        <v>0</v>
      </c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1"/>
      <c r="T28" s="541"/>
      <c r="U28" s="541"/>
      <c r="V28" s="541"/>
      <c r="W28" s="541"/>
      <c r="X28" s="541"/>
      <c r="Y28" s="541"/>
      <c r="Z28" s="541"/>
      <c r="AA28" s="541"/>
      <c r="AB28" s="541"/>
      <c r="AC28" s="541"/>
      <c r="AD28" s="541"/>
      <c r="AE28" s="541"/>
      <c r="AF28" s="541"/>
      <c r="AG28" s="556">
        <f xml:space="preserve">
AG26-AG25</f>
        <v>0</v>
      </c>
      <c r="AH28" s="557"/>
    </row>
    <row r="29" spans="1:34" x14ac:dyDescent="0.3">
      <c r="A29" s="257"/>
      <c r="B29" s="257"/>
      <c r="C29" s="258"/>
      <c r="D29" s="257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7"/>
      <c r="AF29" s="257"/>
      <c r="AG29" s="257"/>
    </row>
    <row r="30" spans="1:34" x14ac:dyDescent="0.3">
      <c r="A30" s="116" t="s">
        <v>166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54"/>
    </row>
    <row r="31" spans="1:34" x14ac:dyDescent="0.3">
      <c r="A31" s="117" t="s">
        <v>233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54"/>
    </row>
    <row r="32" spans="1:34" ht="14.4" customHeight="1" x14ac:dyDescent="0.3">
      <c r="A32" s="293" t="s">
        <v>230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</row>
    <row r="33" spans="1:1" x14ac:dyDescent="0.3">
      <c r="A33" s="295" t="s">
        <v>240</v>
      </c>
    </row>
    <row r="34" spans="1:1" x14ac:dyDescent="0.3">
      <c r="A34" s="295" t="s">
        <v>241</v>
      </c>
    </row>
    <row r="35" spans="1:1" x14ac:dyDescent="0.3">
      <c r="A35" s="295" t="s">
        <v>242</v>
      </c>
    </row>
    <row r="36" spans="1:1" x14ac:dyDescent="0.3">
      <c r="A36" s="295" t="s">
        <v>243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3" priority="2" operator="greaterThan">
      <formula>1</formula>
    </cfRule>
  </conditionalFormatting>
  <conditionalFormatting sqref="C28 AG28 F28">
    <cfRule type="cellIs" dxfId="2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6"/>
  <sheetViews>
    <sheetView showGridLines="0" showRowColHeaders="0" workbookViewId="0"/>
  </sheetViews>
  <sheetFormatPr defaultRowHeight="14.4" x14ac:dyDescent="0.3"/>
  <cols>
    <col min="1" max="16384" width="8.88671875" style="236"/>
  </cols>
  <sheetData>
    <row r="1" spans="1:40" x14ac:dyDescent="0.3">
      <c r="A1" s="236" t="s">
        <v>903</v>
      </c>
    </row>
    <row r="2" spans="1:40" x14ac:dyDescent="0.3">
      <c r="A2" s="240" t="s">
        <v>272</v>
      </c>
    </row>
    <row r="3" spans="1:40" x14ac:dyDescent="0.3">
      <c r="A3" s="236" t="s">
        <v>200</v>
      </c>
      <c r="B3" s="261">
        <v>2014</v>
      </c>
      <c r="D3" s="237">
        <f>MAX(D5:D1048576)</f>
        <v>5</v>
      </c>
      <c r="F3" s="237">
        <f>SUMIF($E5:$E1048576,"&lt;10",F5:F1048576)</f>
        <v>1973670.1500000004</v>
      </c>
      <c r="G3" s="237">
        <f t="shared" ref="G3:AN3" si="0">SUMIF($E5:$E1048576,"&lt;10",G5:G1048576)</f>
        <v>0</v>
      </c>
      <c r="H3" s="237">
        <f t="shared" si="0"/>
        <v>1116553.1499999999</v>
      </c>
      <c r="I3" s="237">
        <f t="shared" si="0"/>
        <v>0</v>
      </c>
      <c r="J3" s="237">
        <f t="shared" si="0"/>
        <v>0</v>
      </c>
      <c r="K3" s="237">
        <f t="shared" si="0"/>
        <v>682366</v>
      </c>
      <c r="L3" s="237">
        <f t="shared" si="0"/>
        <v>0</v>
      </c>
      <c r="M3" s="237">
        <f t="shared" si="0"/>
        <v>0</v>
      </c>
      <c r="N3" s="237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7">
        <f t="shared" si="0"/>
        <v>0</v>
      </c>
      <c r="T3" s="237">
        <f t="shared" si="0"/>
        <v>0</v>
      </c>
      <c r="U3" s="237">
        <f t="shared" si="0"/>
        <v>0</v>
      </c>
      <c r="V3" s="237">
        <f t="shared" si="0"/>
        <v>0</v>
      </c>
      <c r="W3" s="237">
        <f t="shared" si="0"/>
        <v>0</v>
      </c>
      <c r="X3" s="237">
        <f t="shared" si="0"/>
        <v>0</v>
      </c>
      <c r="Y3" s="237">
        <f t="shared" si="0"/>
        <v>0</v>
      </c>
      <c r="Z3" s="237">
        <f t="shared" si="0"/>
        <v>0</v>
      </c>
      <c r="AA3" s="237">
        <f t="shared" si="0"/>
        <v>0</v>
      </c>
      <c r="AB3" s="237">
        <f t="shared" si="0"/>
        <v>0</v>
      </c>
      <c r="AC3" s="237">
        <f t="shared" si="0"/>
        <v>0</v>
      </c>
      <c r="AD3" s="237">
        <f t="shared" si="0"/>
        <v>0</v>
      </c>
      <c r="AE3" s="237">
        <f t="shared" si="0"/>
        <v>0</v>
      </c>
      <c r="AF3" s="237">
        <f t="shared" si="0"/>
        <v>0</v>
      </c>
      <c r="AG3" s="237">
        <f t="shared" si="0"/>
        <v>0</v>
      </c>
      <c r="AH3" s="237">
        <f t="shared" si="0"/>
        <v>0</v>
      </c>
      <c r="AI3" s="237">
        <f t="shared" si="0"/>
        <v>0</v>
      </c>
      <c r="AJ3" s="237">
        <f t="shared" si="0"/>
        <v>0</v>
      </c>
      <c r="AK3" s="237">
        <f t="shared" si="0"/>
        <v>0</v>
      </c>
      <c r="AL3" s="237">
        <f t="shared" si="0"/>
        <v>0</v>
      </c>
      <c r="AM3" s="237">
        <f t="shared" si="0"/>
        <v>174751</v>
      </c>
      <c r="AN3" s="237">
        <f t="shared" si="0"/>
        <v>0</v>
      </c>
    </row>
    <row r="4" spans="1:40" x14ac:dyDescent="0.3">
      <c r="A4" s="236" t="s">
        <v>201</v>
      </c>
      <c r="B4" s="261">
        <v>1</v>
      </c>
      <c r="C4" s="238" t="s">
        <v>5</v>
      </c>
      <c r="D4" s="239" t="s">
        <v>67</v>
      </c>
      <c r="E4" s="239" t="s">
        <v>195</v>
      </c>
      <c r="F4" s="239" t="s">
        <v>3</v>
      </c>
      <c r="G4" s="239" t="s">
        <v>196</v>
      </c>
      <c r="H4" s="239" t="s">
        <v>197</v>
      </c>
      <c r="I4" s="239" t="s">
        <v>198</v>
      </c>
      <c r="J4" s="239" t="s">
        <v>199</v>
      </c>
      <c r="K4" s="239">
        <v>305</v>
      </c>
      <c r="L4" s="239">
        <v>306</v>
      </c>
      <c r="M4" s="239">
        <v>408</v>
      </c>
      <c r="N4" s="239">
        <v>409</v>
      </c>
      <c r="O4" s="239">
        <v>410</v>
      </c>
      <c r="P4" s="239">
        <v>415</v>
      </c>
      <c r="Q4" s="239">
        <v>416</v>
      </c>
      <c r="R4" s="239">
        <v>418</v>
      </c>
      <c r="S4" s="239">
        <v>419</v>
      </c>
      <c r="T4" s="239">
        <v>420</v>
      </c>
      <c r="U4" s="239">
        <v>421</v>
      </c>
      <c r="V4" s="239">
        <v>522</v>
      </c>
      <c r="W4" s="239">
        <v>523</v>
      </c>
      <c r="X4" s="239">
        <v>524</v>
      </c>
      <c r="Y4" s="239">
        <v>525</v>
      </c>
      <c r="Z4" s="239">
        <v>526</v>
      </c>
      <c r="AA4" s="239">
        <v>527</v>
      </c>
      <c r="AB4" s="239">
        <v>528</v>
      </c>
      <c r="AC4" s="239">
        <v>629</v>
      </c>
      <c r="AD4" s="239">
        <v>630</v>
      </c>
      <c r="AE4" s="239">
        <v>636</v>
      </c>
      <c r="AF4" s="239">
        <v>637</v>
      </c>
      <c r="AG4" s="239">
        <v>640</v>
      </c>
      <c r="AH4" s="239">
        <v>642</v>
      </c>
      <c r="AI4" s="239">
        <v>743</v>
      </c>
      <c r="AJ4" s="239">
        <v>745</v>
      </c>
      <c r="AK4" s="239">
        <v>746</v>
      </c>
      <c r="AL4" s="239">
        <v>747</v>
      </c>
      <c r="AM4" s="239">
        <v>930</v>
      </c>
      <c r="AN4" s="239">
        <v>940</v>
      </c>
    </row>
    <row r="5" spans="1:40" x14ac:dyDescent="0.3">
      <c r="A5" s="236" t="s">
        <v>202</v>
      </c>
      <c r="B5" s="261">
        <v>2</v>
      </c>
      <c r="C5" s="236">
        <v>19</v>
      </c>
      <c r="D5" s="236">
        <v>1</v>
      </c>
      <c r="E5" s="236">
        <v>1</v>
      </c>
      <c r="F5" s="236">
        <v>11.35</v>
      </c>
      <c r="G5" s="236">
        <v>0</v>
      </c>
      <c r="H5" s="236">
        <v>4.3499999999999996</v>
      </c>
      <c r="I5" s="236">
        <v>0</v>
      </c>
      <c r="J5" s="236">
        <v>0</v>
      </c>
      <c r="K5" s="236">
        <v>5</v>
      </c>
      <c r="L5" s="236">
        <v>0</v>
      </c>
      <c r="M5" s="236">
        <v>0</v>
      </c>
      <c r="N5" s="236">
        <v>0</v>
      </c>
      <c r="O5" s="236">
        <v>0</v>
      </c>
      <c r="P5" s="236">
        <v>0</v>
      </c>
      <c r="Q5" s="236">
        <v>0</v>
      </c>
      <c r="R5" s="236">
        <v>0</v>
      </c>
      <c r="S5" s="236">
        <v>0</v>
      </c>
      <c r="T5" s="236">
        <v>0</v>
      </c>
      <c r="U5" s="236">
        <v>0</v>
      </c>
      <c r="V5" s="236">
        <v>0</v>
      </c>
      <c r="W5" s="236">
        <v>0</v>
      </c>
      <c r="X5" s="236">
        <v>0</v>
      </c>
      <c r="Y5" s="236">
        <v>0</v>
      </c>
      <c r="Z5" s="236">
        <v>0</v>
      </c>
      <c r="AA5" s="236">
        <v>0</v>
      </c>
      <c r="AB5" s="236">
        <v>0</v>
      </c>
      <c r="AC5" s="236">
        <v>0</v>
      </c>
      <c r="AD5" s="236">
        <v>0</v>
      </c>
      <c r="AE5" s="236">
        <v>0</v>
      </c>
      <c r="AF5" s="236">
        <v>0</v>
      </c>
      <c r="AG5" s="236">
        <v>0</v>
      </c>
      <c r="AH5" s="236">
        <v>0</v>
      </c>
      <c r="AI5" s="236">
        <v>0</v>
      </c>
      <c r="AJ5" s="236">
        <v>0</v>
      </c>
      <c r="AK5" s="236">
        <v>0</v>
      </c>
      <c r="AL5" s="236">
        <v>0</v>
      </c>
      <c r="AM5" s="236">
        <v>2</v>
      </c>
      <c r="AN5" s="236">
        <v>0</v>
      </c>
    </row>
    <row r="6" spans="1:40" x14ac:dyDescent="0.3">
      <c r="A6" s="236" t="s">
        <v>203</v>
      </c>
      <c r="B6" s="261">
        <v>3</v>
      </c>
      <c r="C6" s="236">
        <v>19</v>
      </c>
      <c r="D6" s="236">
        <v>1</v>
      </c>
      <c r="E6" s="236">
        <v>2</v>
      </c>
      <c r="F6" s="236">
        <v>2008.4</v>
      </c>
      <c r="G6" s="236">
        <v>0</v>
      </c>
      <c r="H6" s="236">
        <v>784.4</v>
      </c>
      <c r="I6" s="236">
        <v>0</v>
      </c>
      <c r="J6" s="236">
        <v>0</v>
      </c>
      <c r="K6" s="236">
        <v>880</v>
      </c>
      <c r="L6" s="236">
        <v>0</v>
      </c>
      <c r="M6" s="236">
        <v>0</v>
      </c>
      <c r="N6" s="236">
        <v>0</v>
      </c>
      <c r="O6" s="236">
        <v>0</v>
      </c>
      <c r="P6" s="236">
        <v>0</v>
      </c>
      <c r="Q6" s="236">
        <v>0</v>
      </c>
      <c r="R6" s="236">
        <v>0</v>
      </c>
      <c r="S6" s="236">
        <v>0</v>
      </c>
      <c r="T6" s="236">
        <v>0</v>
      </c>
      <c r="U6" s="236">
        <v>0</v>
      </c>
      <c r="V6" s="236">
        <v>0</v>
      </c>
      <c r="W6" s="236">
        <v>0</v>
      </c>
      <c r="X6" s="236">
        <v>0</v>
      </c>
      <c r="Y6" s="236">
        <v>0</v>
      </c>
      <c r="Z6" s="236">
        <v>0</v>
      </c>
      <c r="AA6" s="236">
        <v>0</v>
      </c>
      <c r="AB6" s="236">
        <v>0</v>
      </c>
      <c r="AC6" s="236">
        <v>0</v>
      </c>
      <c r="AD6" s="236">
        <v>0</v>
      </c>
      <c r="AE6" s="236">
        <v>0</v>
      </c>
      <c r="AF6" s="236">
        <v>0</v>
      </c>
      <c r="AG6" s="236">
        <v>0</v>
      </c>
      <c r="AH6" s="236">
        <v>0</v>
      </c>
      <c r="AI6" s="236">
        <v>0</v>
      </c>
      <c r="AJ6" s="236">
        <v>0</v>
      </c>
      <c r="AK6" s="236">
        <v>0</v>
      </c>
      <c r="AL6" s="236">
        <v>0</v>
      </c>
      <c r="AM6" s="236">
        <v>344</v>
      </c>
      <c r="AN6" s="236">
        <v>0</v>
      </c>
    </row>
    <row r="7" spans="1:40" x14ac:dyDescent="0.3">
      <c r="A7" s="236" t="s">
        <v>204</v>
      </c>
      <c r="B7" s="261">
        <v>4</v>
      </c>
      <c r="C7" s="236">
        <v>19</v>
      </c>
      <c r="D7" s="236">
        <v>1</v>
      </c>
      <c r="E7" s="236">
        <v>6</v>
      </c>
      <c r="F7" s="236">
        <v>395123</v>
      </c>
      <c r="G7" s="236">
        <v>0</v>
      </c>
      <c r="H7" s="236">
        <v>219346</v>
      </c>
      <c r="I7" s="236">
        <v>0</v>
      </c>
      <c r="J7" s="236">
        <v>0</v>
      </c>
      <c r="K7" s="236">
        <v>134988</v>
      </c>
      <c r="L7" s="236">
        <v>0</v>
      </c>
      <c r="M7" s="236">
        <v>0</v>
      </c>
      <c r="N7" s="236">
        <v>0</v>
      </c>
      <c r="O7" s="236">
        <v>0</v>
      </c>
      <c r="P7" s="236">
        <v>0</v>
      </c>
      <c r="Q7" s="236">
        <v>0</v>
      </c>
      <c r="R7" s="236">
        <v>0</v>
      </c>
      <c r="S7" s="236">
        <v>0</v>
      </c>
      <c r="T7" s="236">
        <v>0</v>
      </c>
      <c r="U7" s="236">
        <v>0</v>
      </c>
      <c r="V7" s="236">
        <v>0</v>
      </c>
      <c r="W7" s="236">
        <v>0</v>
      </c>
      <c r="X7" s="236">
        <v>0</v>
      </c>
      <c r="Y7" s="236">
        <v>0</v>
      </c>
      <c r="Z7" s="236">
        <v>0</v>
      </c>
      <c r="AA7" s="236">
        <v>0</v>
      </c>
      <c r="AB7" s="236">
        <v>0</v>
      </c>
      <c r="AC7" s="236">
        <v>0</v>
      </c>
      <c r="AD7" s="236">
        <v>0</v>
      </c>
      <c r="AE7" s="236">
        <v>0</v>
      </c>
      <c r="AF7" s="236">
        <v>0</v>
      </c>
      <c r="AG7" s="236">
        <v>0</v>
      </c>
      <c r="AH7" s="236">
        <v>0</v>
      </c>
      <c r="AI7" s="236">
        <v>0</v>
      </c>
      <c r="AJ7" s="236">
        <v>0</v>
      </c>
      <c r="AK7" s="236">
        <v>0</v>
      </c>
      <c r="AL7" s="236">
        <v>0</v>
      </c>
      <c r="AM7" s="236">
        <v>40789</v>
      </c>
      <c r="AN7" s="236">
        <v>0</v>
      </c>
    </row>
    <row r="8" spans="1:40" x14ac:dyDescent="0.3">
      <c r="A8" s="236" t="s">
        <v>205</v>
      </c>
      <c r="B8" s="261">
        <v>5</v>
      </c>
      <c r="C8" s="236">
        <v>19</v>
      </c>
      <c r="D8" s="236">
        <v>1</v>
      </c>
      <c r="E8" s="236">
        <v>11</v>
      </c>
      <c r="F8" s="236">
        <v>1372.0833333333333</v>
      </c>
      <c r="G8" s="236">
        <v>0</v>
      </c>
      <c r="H8" s="236">
        <v>1372.0833333333333</v>
      </c>
      <c r="I8" s="236">
        <v>0</v>
      </c>
      <c r="J8" s="236">
        <v>0</v>
      </c>
      <c r="K8" s="236">
        <v>0</v>
      </c>
      <c r="L8" s="236">
        <v>0</v>
      </c>
      <c r="M8" s="236">
        <v>0</v>
      </c>
      <c r="N8" s="236">
        <v>0</v>
      </c>
      <c r="O8" s="236">
        <v>0</v>
      </c>
      <c r="P8" s="236">
        <v>0</v>
      </c>
      <c r="Q8" s="236">
        <v>0</v>
      </c>
      <c r="R8" s="236">
        <v>0</v>
      </c>
      <c r="S8" s="236">
        <v>0</v>
      </c>
      <c r="T8" s="236">
        <v>0</v>
      </c>
      <c r="U8" s="236">
        <v>0</v>
      </c>
      <c r="V8" s="236">
        <v>0</v>
      </c>
      <c r="W8" s="236">
        <v>0</v>
      </c>
      <c r="X8" s="236">
        <v>0</v>
      </c>
      <c r="Y8" s="236">
        <v>0</v>
      </c>
      <c r="Z8" s="236">
        <v>0</v>
      </c>
      <c r="AA8" s="236">
        <v>0</v>
      </c>
      <c r="AB8" s="236">
        <v>0</v>
      </c>
      <c r="AC8" s="236">
        <v>0</v>
      </c>
      <c r="AD8" s="236">
        <v>0</v>
      </c>
      <c r="AE8" s="236">
        <v>0</v>
      </c>
      <c r="AF8" s="236">
        <v>0</v>
      </c>
      <c r="AG8" s="236">
        <v>0</v>
      </c>
      <c r="AH8" s="236">
        <v>0</v>
      </c>
      <c r="AI8" s="236">
        <v>0</v>
      </c>
      <c r="AJ8" s="236">
        <v>0</v>
      </c>
      <c r="AK8" s="236">
        <v>0</v>
      </c>
      <c r="AL8" s="236">
        <v>0</v>
      </c>
      <c r="AM8" s="236">
        <v>0</v>
      </c>
      <c r="AN8" s="236">
        <v>0</v>
      </c>
    </row>
    <row r="9" spans="1:40" x14ac:dyDescent="0.3">
      <c r="A9" s="236" t="s">
        <v>206</v>
      </c>
      <c r="B9" s="261">
        <v>6</v>
      </c>
      <c r="C9" s="236">
        <v>19</v>
      </c>
      <c r="D9" s="236">
        <v>2</v>
      </c>
      <c r="E9" s="236">
        <v>1</v>
      </c>
      <c r="F9" s="236">
        <v>11.35</v>
      </c>
      <c r="G9" s="236">
        <v>0</v>
      </c>
      <c r="H9" s="236">
        <v>4.3499999999999996</v>
      </c>
      <c r="I9" s="236">
        <v>0</v>
      </c>
      <c r="J9" s="236">
        <v>0</v>
      </c>
      <c r="K9" s="236">
        <v>5</v>
      </c>
      <c r="L9" s="236">
        <v>0</v>
      </c>
      <c r="M9" s="236">
        <v>0</v>
      </c>
      <c r="N9" s="236">
        <v>0</v>
      </c>
      <c r="O9" s="236">
        <v>0</v>
      </c>
      <c r="P9" s="236">
        <v>0</v>
      </c>
      <c r="Q9" s="236">
        <v>0</v>
      </c>
      <c r="R9" s="236">
        <v>0</v>
      </c>
      <c r="S9" s="236">
        <v>0</v>
      </c>
      <c r="T9" s="236">
        <v>0</v>
      </c>
      <c r="U9" s="236">
        <v>0</v>
      </c>
      <c r="V9" s="236">
        <v>0</v>
      </c>
      <c r="W9" s="236">
        <v>0</v>
      </c>
      <c r="X9" s="236">
        <v>0</v>
      </c>
      <c r="Y9" s="236">
        <v>0</v>
      </c>
      <c r="Z9" s="236">
        <v>0</v>
      </c>
      <c r="AA9" s="236">
        <v>0</v>
      </c>
      <c r="AB9" s="236">
        <v>0</v>
      </c>
      <c r="AC9" s="236">
        <v>0</v>
      </c>
      <c r="AD9" s="236">
        <v>0</v>
      </c>
      <c r="AE9" s="236">
        <v>0</v>
      </c>
      <c r="AF9" s="236">
        <v>0</v>
      </c>
      <c r="AG9" s="236">
        <v>0</v>
      </c>
      <c r="AH9" s="236">
        <v>0</v>
      </c>
      <c r="AI9" s="236">
        <v>0</v>
      </c>
      <c r="AJ9" s="236">
        <v>0</v>
      </c>
      <c r="AK9" s="236">
        <v>0</v>
      </c>
      <c r="AL9" s="236">
        <v>0</v>
      </c>
      <c r="AM9" s="236">
        <v>2</v>
      </c>
      <c r="AN9" s="236">
        <v>0</v>
      </c>
    </row>
    <row r="10" spans="1:40" x14ac:dyDescent="0.3">
      <c r="A10" s="236" t="s">
        <v>207</v>
      </c>
      <c r="B10" s="261">
        <v>7</v>
      </c>
      <c r="C10" s="236">
        <v>19</v>
      </c>
      <c r="D10" s="236">
        <v>2</v>
      </c>
      <c r="E10" s="236">
        <v>2</v>
      </c>
      <c r="F10" s="236">
        <v>1526</v>
      </c>
      <c r="G10" s="236">
        <v>0</v>
      </c>
      <c r="H10" s="236">
        <v>638</v>
      </c>
      <c r="I10" s="236">
        <v>0</v>
      </c>
      <c r="J10" s="236">
        <v>0</v>
      </c>
      <c r="K10" s="236">
        <v>680</v>
      </c>
      <c r="L10" s="236">
        <v>0</v>
      </c>
      <c r="M10" s="236">
        <v>0</v>
      </c>
      <c r="N10" s="236">
        <v>0</v>
      </c>
      <c r="O10" s="236">
        <v>0</v>
      </c>
      <c r="P10" s="236">
        <v>0</v>
      </c>
      <c r="Q10" s="236">
        <v>0</v>
      </c>
      <c r="R10" s="236">
        <v>0</v>
      </c>
      <c r="S10" s="236">
        <v>0</v>
      </c>
      <c r="T10" s="236">
        <v>0</v>
      </c>
      <c r="U10" s="236">
        <v>0</v>
      </c>
      <c r="V10" s="236">
        <v>0</v>
      </c>
      <c r="W10" s="236">
        <v>0</v>
      </c>
      <c r="X10" s="236">
        <v>0</v>
      </c>
      <c r="Y10" s="236">
        <v>0</v>
      </c>
      <c r="Z10" s="236">
        <v>0</v>
      </c>
      <c r="AA10" s="236">
        <v>0</v>
      </c>
      <c r="AB10" s="236">
        <v>0</v>
      </c>
      <c r="AC10" s="236">
        <v>0</v>
      </c>
      <c r="AD10" s="236">
        <v>0</v>
      </c>
      <c r="AE10" s="236">
        <v>0</v>
      </c>
      <c r="AF10" s="236">
        <v>0</v>
      </c>
      <c r="AG10" s="236">
        <v>0</v>
      </c>
      <c r="AH10" s="236">
        <v>0</v>
      </c>
      <c r="AI10" s="236">
        <v>0</v>
      </c>
      <c r="AJ10" s="236">
        <v>0</v>
      </c>
      <c r="AK10" s="236">
        <v>0</v>
      </c>
      <c r="AL10" s="236">
        <v>0</v>
      </c>
      <c r="AM10" s="236">
        <v>208</v>
      </c>
      <c r="AN10" s="236">
        <v>0</v>
      </c>
    </row>
    <row r="11" spans="1:40" x14ac:dyDescent="0.3">
      <c r="A11" s="236" t="s">
        <v>208</v>
      </c>
      <c r="B11" s="261">
        <v>8</v>
      </c>
      <c r="C11" s="236">
        <v>19</v>
      </c>
      <c r="D11" s="236">
        <v>2</v>
      </c>
      <c r="E11" s="236">
        <v>6</v>
      </c>
      <c r="F11" s="236">
        <v>385065</v>
      </c>
      <c r="G11" s="236">
        <v>0</v>
      </c>
      <c r="H11" s="236">
        <v>219786</v>
      </c>
      <c r="I11" s="236">
        <v>0</v>
      </c>
      <c r="J11" s="236">
        <v>0</v>
      </c>
      <c r="K11" s="236">
        <v>135092</v>
      </c>
      <c r="L11" s="236">
        <v>0</v>
      </c>
      <c r="M11" s="236">
        <v>0</v>
      </c>
      <c r="N11" s="236">
        <v>0</v>
      </c>
      <c r="O11" s="236">
        <v>0</v>
      </c>
      <c r="P11" s="236">
        <v>0</v>
      </c>
      <c r="Q11" s="236">
        <v>0</v>
      </c>
      <c r="R11" s="236">
        <v>0</v>
      </c>
      <c r="S11" s="236">
        <v>0</v>
      </c>
      <c r="T11" s="236">
        <v>0</v>
      </c>
      <c r="U11" s="236">
        <v>0</v>
      </c>
      <c r="V11" s="236">
        <v>0</v>
      </c>
      <c r="W11" s="236">
        <v>0</v>
      </c>
      <c r="X11" s="236">
        <v>0</v>
      </c>
      <c r="Y11" s="236">
        <v>0</v>
      </c>
      <c r="Z11" s="236">
        <v>0</v>
      </c>
      <c r="AA11" s="236">
        <v>0</v>
      </c>
      <c r="AB11" s="236">
        <v>0</v>
      </c>
      <c r="AC11" s="236">
        <v>0</v>
      </c>
      <c r="AD11" s="236">
        <v>0</v>
      </c>
      <c r="AE11" s="236">
        <v>0</v>
      </c>
      <c r="AF11" s="236">
        <v>0</v>
      </c>
      <c r="AG11" s="236">
        <v>0</v>
      </c>
      <c r="AH11" s="236">
        <v>0</v>
      </c>
      <c r="AI11" s="236">
        <v>0</v>
      </c>
      <c r="AJ11" s="236">
        <v>0</v>
      </c>
      <c r="AK11" s="236">
        <v>0</v>
      </c>
      <c r="AL11" s="236">
        <v>0</v>
      </c>
      <c r="AM11" s="236">
        <v>30187</v>
      </c>
      <c r="AN11" s="236">
        <v>0</v>
      </c>
    </row>
    <row r="12" spans="1:40" x14ac:dyDescent="0.3">
      <c r="A12" s="236" t="s">
        <v>209</v>
      </c>
      <c r="B12" s="261">
        <v>9</v>
      </c>
      <c r="C12" s="236">
        <v>19</v>
      </c>
      <c r="D12" s="236">
        <v>2</v>
      </c>
      <c r="E12" s="236">
        <v>11</v>
      </c>
      <c r="F12" s="236">
        <v>1372.0833333333333</v>
      </c>
      <c r="G12" s="236">
        <v>0</v>
      </c>
      <c r="H12" s="236">
        <v>1372.0833333333333</v>
      </c>
      <c r="I12" s="236">
        <v>0</v>
      </c>
      <c r="J12" s="236">
        <v>0</v>
      </c>
      <c r="K12" s="236">
        <v>0</v>
      </c>
      <c r="L12" s="236">
        <v>0</v>
      </c>
      <c r="M12" s="236">
        <v>0</v>
      </c>
      <c r="N12" s="236">
        <v>0</v>
      </c>
      <c r="O12" s="236">
        <v>0</v>
      </c>
      <c r="P12" s="236">
        <v>0</v>
      </c>
      <c r="Q12" s="236">
        <v>0</v>
      </c>
      <c r="R12" s="236">
        <v>0</v>
      </c>
      <c r="S12" s="236">
        <v>0</v>
      </c>
      <c r="T12" s="236">
        <v>0</v>
      </c>
      <c r="U12" s="236">
        <v>0</v>
      </c>
      <c r="V12" s="236">
        <v>0</v>
      </c>
      <c r="W12" s="236">
        <v>0</v>
      </c>
      <c r="X12" s="236">
        <v>0</v>
      </c>
      <c r="Y12" s="236">
        <v>0</v>
      </c>
      <c r="Z12" s="236">
        <v>0</v>
      </c>
      <c r="AA12" s="236">
        <v>0</v>
      </c>
      <c r="AB12" s="236">
        <v>0</v>
      </c>
      <c r="AC12" s="236">
        <v>0</v>
      </c>
      <c r="AD12" s="236">
        <v>0</v>
      </c>
      <c r="AE12" s="236">
        <v>0</v>
      </c>
      <c r="AF12" s="236">
        <v>0</v>
      </c>
      <c r="AG12" s="236">
        <v>0</v>
      </c>
      <c r="AH12" s="236">
        <v>0</v>
      </c>
      <c r="AI12" s="236">
        <v>0</v>
      </c>
      <c r="AJ12" s="236">
        <v>0</v>
      </c>
      <c r="AK12" s="236">
        <v>0</v>
      </c>
      <c r="AL12" s="236">
        <v>0</v>
      </c>
      <c r="AM12" s="236">
        <v>0</v>
      </c>
      <c r="AN12" s="236">
        <v>0</v>
      </c>
    </row>
    <row r="13" spans="1:40" x14ac:dyDescent="0.3">
      <c r="A13" s="236" t="s">
        <v>210</v>
      </c>
      <c r="B13" s="261">
        <v>10</v>
      </c>
      <c r="C13" s="236">
        <v>19</v>
      </c>
      <c r="D13" s="236">
        <v>3</v>
      </c>
      <c r="E13" s="236">
        <v>1</v>
      </c>
      <c r="F13" s="236">
        <v>11.35</v>
      </c>
      <c r="G13" s="236">
        <v>0</v>
      </c>
      <c r="H13" s="236">
        <v>4.3499999999999996</v>
      </c>
      <c r="I13" s="236">
        <v>0</v>
      </c>
      <c r="J13" s="236">
        <v>0</v>
      </c>
      <c r="K13" s="236">
        <v>5</v>
      </c>
      <c r="L13" s="236">
        <v>0</v>
      </c>
      <c r="M13" s="236">
        <v>0</v>
      </c>
      <c r="N13" s="236">
        <v>0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6">
        <v>0</v>
      </c>
      <c r="X13" s="236">
        <v>0</v>
      </c>
      <c r="Y13" s="236">
        <v>0</v>
      </c>
      <c r="Z13" s="236">
        <v>0</v>
      </c>
      <c r="AA13" s="236">
        <v>0</v>
      </c>
      <c r="AB13" s="236">
        <v>0</v>
      </c>
      <c r="AC13" s="236">
        <v>0</v>
      </c>
      <c r="AD13" s="236">
        <v>0</v>
      </c>
      <c r="AE13" s="236">
        <v>0</v>
      </c>
      <c r="AF13" s="236">
        <v>0</v>
      </c>
      <c r="AG13" s="236">
        <v>0</v>
      </c>
      <c r="AH13" s="236">
        <v>0</v>
      </c>
      <c r="AI13" s="236">
        <v>0</v>
      </c>
      <c r="AJ13" s="236">
        <v>0</v>
      </c>
      <c r="AK13" s="236">
        <v>0</v>
      </c>
      <c r="AL13" s="236">
        <v>0</v>
      </c>
      <c r="AM13" s="236">
        <v>2</v>
      </c>
      <c r="AN13" s="236">
        <v>0</v>
      </c>
    </row>
    <row r="14" spans="1:40" x14ac:dyDescent="0.3">
      <c r="A14" s="236" t="s">
        <v>211</v>
      </c>
      <c r="B14" s="261">
        <v>11</v>
      </c>
      <c r="C14" s="236">
        <v>19</v>
      </c>
      <c r="D14" s="236">
        <v>3</v>
      </c>
      <c r="E14" s="236">
        <v>2</v>
      </c>
      <c r="F14" s="236">
        <v>1686.8</v>
      </c>
      <c r="G14" s="236">
        <v>0</v>
      </c>
      <c r="H14" s="236">
        <v>730.8</v>
      </c>
      <c r="I14" s="236">
        <v>0</v>
      </c>
      <c r="J14" s="236">
        <v>0</v>
      </c>
      <c r="K14" s="236">
        <v>788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  <c r="T14" s="236">
        <v>0</v>
      </c>
      <c r="U14" s="236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6">
        <v>0</v>
      </c>
      <c r="AD14" s="236">
        <v>0</v>
      </c>
      <c r="AE14" s="236">
        <v>0</v>
      </c>
      <c r="AF14" s="236">
        <v>0</v>
      </c>
      <c r="AG14" s="236">
        <v>0</v>
      </c>
      <c r="AH14" s="236">
        <v>0</v>
      </c>
      <c r="AI14" s="236">
        <v>0</v>
      </c>
      <c r="AJ14" s="236">
        <v>0</v>
      </c>
      <c r="AK14" s="236">
        <v>0</v>
      </c>
      <c r="AL14" s="236">
        <v>0</v>
      </c>
      <c r="AM14" s="236">
        <v>168</v>
      </c>
      <c r="AN14" s="236">
        <v>0</v>
      </c>
    </row>
    <row r="15" spans="1:40" x14ac:dyDescent="0.3">
      <c r="A15" s="236" t="s">
        <v>212</v>
      </c>
      <c r="B15" s="261">
        <v>12</v>
      </c>
      <c r="C15" s="236">
        <v>19</v>
      </c>
      <c r="D15" s="236">
        <v>3</v>
      </c>
      <c r="E15" s="236">
        <v>6</v>
      </c>
      <c r="F15" s="236">
        <v>377995</v>
      </c>
      <c r="G15" s="236">
        <v>0</v>
      </c>
      <c r="H15" s="236">
        <v>222409</v>
      </c>
      <c r="I15" s="236">
        <v>0</v>
      </c>
      <c r="J15" s="236">
        <v>0</v>
      </c>
      <c r="K15" s="236">
        <v>135059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0</v>
      </c>
      <c r="R15" s="236">
        <v>0</v>
      </c>
      <c r="S15" s="236">
        <v>0</v>
      </c>
      <c r="T15" s="236">
        <v>0</v>
      </c>
      <c r="U15" s="236">
        <v>0</v>
      </c>
      <c r="V15" s="236">
        <v>0</v>
      </c>
      <c r="W15" s="236">
        <v>0</v>
      </c>
      <c r="X15" s="236">
        <v>0</v>
      </c>
      <c r="Y15" s="236">
        <v>0</v>
      </c>
      <c r="Z15" s="236">
        <v>0</v>
      </c>
      <c r="AA15" s="236">
        <v>0</v>
      </c>
      <c r="AB15" s="236">
        <v>0</v>
      </c>
      <c r="AC15" s="236">
        <v>0</v>
      </c>
      <c r="AD15" s="236">
        <v>0</v>
      </c>
      <c r="AE15" s="236">
        <v>0</v>
      </c>
      <c r="AF15" s="236">
        <v>0</v>
      </c>
      <c r="AG15" s="236">
        <v>0</v>
      </c>
      <c r="AH15" s="236">
        <v>0</v>
      </c>
      <c r="AI15" s="236">
        <v>0</v>
      </c>
      <c r="AJ15" s="236">
        <v>0</v>
      </c>
      <c r="AK15" s="236">
        <v>0</v>
      </c>
      <c r="AL15" s="236">
        <v>0</v>
      </c>
      <c r="AM15" s="236">
        <v>20527</v>
      </c>
      <c r="AN15" s="236">
        <v>0</v>
      </c>
    </row>
    <row r="16" spans="1:40" x14ac:dyDescent="0.3">
      <c r="A16" s="236" t="s">
        <v>200</v>
      </c>
      <c r="B16" s="261">
        <v>2014</v>
      </c>
      <c r="C16" s="236">
        <v>19</v>
      </c>
      <c r="D16" s="236">
        <v>3</v>
      </c>
      <c r="E16" s="236">
        <v>9</v>
      </c>
      <c r="F16" s="236">
        <v>4167</v>
      </c>
      <c r="G16" s="236">
        <v>0</v>
      </c>
      <c r="H16" s="236">
        <v>4000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6">
        <v>0</v>
      </c>
      <c r="AA16" s="236">
        <v>0</v>
      </c>
      <c r="AB16" s="236">
        <v>0</v>
      </c>
      <c r="AC16" s="236">
        <v>0</v>
      </c>
      <c r="AD16" s="236">
        <v>0</v>
      </c>
      <c r="AE16" s="236">
        <v>0</v>
      </c>
      <c r="AF16" s="236">
        <v>0</v>
      </c>
      <c r="AG16" s="236">
        <v>0</v>
      </c>
      <c r="AH16" s="236">
        <v>0</v>
      </c>
      <c r="AI16" s="236">
        <v>0</v>
      </c>
      <c r="AJ16" s="236">
        <v>0</v>
      </c>
      <c r="AK16" s="236">
        <v>0</v>
      </c>
      <c r="AL16" s="236">
        <v>0</v>
      </c>
      <c r="AM16" s="236">
        <v>167</v>
      </c>
      <c r="AN16" s="236">
        <v>0</v>
      </c>
    </row>
    <row r="17" spans="3:40" x14ac:dyDescent="0.3">
      <c r="C17" s="236">
        <v>19</v>
      </c>
      <c r="D17" s="236">
        <v>3</v>
      </c>
      <c r="E17" s="236">
        <v>11</v>
      </c>
      <c r="F17" s="236">
        <v>1372.0833333333333</v>
      </c>
      <c r="G17" s="236">
        <v>0</v>
      </c>
      <c r="H17" s="236">
        <v>1372.0833333333333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  <c r="U17" s="236">
        <v>0</v>
      </c>
      <c r="V17" s="236">
        <v>0</v>
      </c>
      <c r="W17" s="236">
        <v>0</v>
      </c>
      <c r="X17" s="236">
        <v>0</v>
      </c>
      <c r="Y17" s="236">
        <v>0</v>
      </c>
      <c r="Z17" s="236">
        <v>0</v>
      </c>
      <c r="AA17" s="236">
        <v>0</v>
      </c>
      <c r="AB17" s="236">
        <v>0</v>
      </c>
      <c r="AC17" s="236">
        <v>0</v>
      </c>
      <c r="AD17" s="236">
        <v>0</v>
      </c>
      <c r="AE17" s="236">
        <v>0</v>
      </c>
      <c r="AF17" s="236">
        <v>0</v>
      </c>
      <c r="AG17" s="236">
        <v>0</v>
      </c>
      <c r="AH17" s="236">
        <v>0</v>
      </c>
      <c r="AI17" s="236">
        <v>0</v>
      </c>
      <c r="AJ17" s="236">
        <v>0</v>
      </c>
      <c r="AK17" s="236">
        <v>0</v>
      </c>
      <c r="AL17" s="236">
        <v>0</v>
      </c>
      <c r="AM17" s="236">
        <v>0</v>
      </c>
      <c r="AN17" s="236">
        <v>0</v>
      </c>
    </row>
    <row r="18" spans="3:40" x14ac:dyDescent="0.3">
      <c r="C18" s="236">
        <v>19</v>
      </c>
      <c r="D18" s="236">
        <v>4</v>
      </c>
      <c r="E18" s="236">
        <v>1</v>
      </c>
      <c r="F18" s="236">
        <v>12.35</v>
      </c>
      <c r="G18" s="236">
        <v>0</v>
      </c>
      <c r="H18" s="236">
        <v>4.3499999999999996</v>
      </c>
      <c r="I18" s="236">
        <v>0</v>
      </c>
      <c r="J18" s="236">
        <v>0</v>
      </c>
      <c r="K18" s="236">
        <v>5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236">
        <v>0</v>
      </c>
      <c r="S18" s="236">
        <v>0</v>
      </c>
      <c r="T18" s="236">
        <v>0</v>
      </c>
      <c r="U18" s="236">
        <v>0</v>
      </c>
      <c r="V18" s="236">
        <v>0</v>
      </c>
      <c r="W18" s="236">
        <v>0</v>
      </c>
      <c r="X18" s="236">
        <v>0</v>
      </c>
      <c r="Y18" s="236">
        <v>0</v>
      </c>
      <c r="Z18" s="236">
        <v>0</v>
      </c>
      <c r="AA18" s="236">
        <v>0</v>
      </c>
      <c r="AB18" s="236">
        <v>0</v>
      </c>
      <c r="AC18" s="236">
        <v>0</v>
      </c>
      <c r="AD18" s="236">
        <v>0</v>
      </c>
      <c r="AE18" s="236">
        <v>0</v>
      </c>
      <c r="AF18" s="236">
        <v>0</v>
      </c>
      <c r="AG18" s="236">
        <v>0</v>
      </c>
      <c r="AH18" s="236">
        <v>0</v>
      </c>
      <c r="AI18" s="236">
        <v>0</v>
      </c>
      <c r="AJ18" s="236">
        <v>0</v>
      </c>
      <c r="AK18" s="236">
        <v>0</v>
      </c>
      <c r="AL18" s="236">
        <v>0</v>
      </c>
      <c r="AM18" s="236">
        <v>3</v>
      </c>
      <c r="AN18" s="236">
        <v>0</v>
      </c>
    </row>
    <row r="19" spans="3:40" x14ac:dyDescent="0.3">
      <c r="C19" s="236">
        <v>19</v>
      </c>
      <c r="D19" s="236">
        <v>4</v>
      </c>
      <c r="E19" s="236">
        <v>2</v>
      </c>
      <c r="F19" s="236">
        <v>1973.6</v>
      </c>
      <c r="G19" s="236">
        <v>0</v>
      </c>
      <c r="H19" s="236">
        <v>761.6</v>
      </c>
      <c r="I19" s="236">
        <v>0</v>
      </c>
      <c r="J19" s="236">
        <v>0</v>
      </c>
      <c r="K19" s="236">
        <v>860</v>
      </c>
      <c r="L19" s="236">
        <v>0</v>
      </c>
      <c r="M19" s="236">
        <v>0</v>
      </c>
      <c r="N19" s="236">
        <v>0</v>
      </c>
      <c r="O19" s="236">
        <v>0</v>
      </c>
      <c r="P19" s="236">
        <v>0</v>
      </c>
      <c r="Q19" s="236">
        <v>0</v>
      </c>
      <c r="R19" s="236">
        <v>0</v>
      </c>
      <c r="S19" s="236">
        <v>0</v>
      </c>
      <c r="T19" s="236">
        <v>0</v>
      </c>
      <c r="U19" s="236">
        <v>0</v>
      </c>
      <c r="V19" s="236">
        <v>0</v>
      </c>
      <c r="W19" s="236">
        <v>0</v>
      </c>
      <c r="X19" s="236">
        <v>0</v>
      </c>
      <c r="Y19" s="236">
        <v>0</v>
      </c>
      <c r="Z19" s="236">
        <v>0</v>
      </c>
      <c r="AA19" s="236">
        <v>0</v>
      </c>
      <c r="AB19" s="236">
        <v>0</v>
      </c>
      <c r="AC19" s="236">
        <v>0</v>
      </c>
      <c r="AD19" s="236">
        <v>0</v>
      </c>
      <c r="AE19" s="236">
        <v>0</v>
      </c>
      <c r="AF19" s="236">
        <v>0</v>
      </c>
      <c r="AG19" s="236">
        <v>0</v>
      </c>
      <c r="AH19" s="236">
        <v>0</v>
      </c>
      <c r="AI19" s="236">
        <v>0</v>
      </c>
      <c r="AJ19" s="236">
        <v>0</v>
      </c>
      <c r="AK19" s="236">
        <v>0</v>
      </c>
      <c r="AL19" s="236">
        <v>0</v>
      </c>
      <c r="AM19" s="236">
        <v>352</v>
      </c>
      <c r="AN19" s="236">
        <v>0</v>
      </c>
    </row>
    <row r="20" spans="3:40" x14ac:dyDescent="0.3">
      <c r="C20" s="236">
        <v>19</v>
      </c>
      <c r="D20" s="236">
        <v>4</v>
      </c>
      <c r="E20" s="236">
        <v>6</v>
      </c>
      <c r="F20" s="236">
        <v>399360</v>
      </c>
      <c r="G20" s="236">
        <v>0</v>
      </c>
      <c r="H20" s="236">
        <v>222629</v>
      </c>
      <c r="I20" s="236">
        <v>0</v>
      </c>
      <c r="J20" s="236">
        <v>0</v>
      </c>
      <c r="K20" s="236">
        <v>136324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236">
        <v>0</v>
      </c>
      <c r="S20" s="236">
        <v>0</v>
      </c>
      <c r="T20" s="236">
        <v>0</v>
      </c>
      <c r="U20" s="236">
        <v>0</v>
      </c>
      <c r="V20" s="236">
        <v>0</v>
      </c>
      <c r="W20" s="236">
        <v>0</v>
      </c>
      <c r="X20" s="236">
        <v>0</v>
      </c>
      <c r="Y20" s="236">
        <v>0</v>
      </c>
      <c r="Z20" s="236">
        <v>0</v>
      </c>
      <c r="AA20" s="236">
        <v>0</v>
      </c>
      <c r="AB20" s="236">
        <v>0</v>
      </c>
      <c r="AC20" s="236">
        <v>0</v>
      </c>
      <c r="AD20" s="236">
        <v>0</v>
      </c>
      <c r="AE20" s="236">
        <v>0</v>
      </c>
      <c r="AF20" s="236">
        <v>0</v>
      </c>
      <c r="AG20" s="236">
        <v>0</v>
      </c>
      <c r="AH20" s="236">
        <v>0</v>
      </c>
      <c r="AI20" s="236">
        <v>0</v>
      </c>
      <c r="AJ20" s="236">
        <v>0</v>
      </c>
      <c r="AK20" s="236">
        <v>0</v>
      </c>
      <c r="AL20" s="236">
        <v>0</v>
      </c>
      <c r="AM20" s="236">
        <v>40407</v>
      </c>
      <c r="AN20" s="236">
        <v>0</v>
      </c>
    </row>
    <row r="21" spans="3:40" x14ac:dyDescent="0.3">
      <c r="C21" s="236">
        <v>19</v>
      </c>
      <c r="D21" s="236">
        <v>4</v>
      </c>
      <c r="E21" s="236">
        <v>9</v>
      </c>
      <c r="F21" s="236">
        <v>4267</v>
      </c>
      <c r="G21" s="236">
        <v>0</v>
      </c>
      <c r="H21" s="236">
        <v>4000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0</v>
      </c>
      <c r="P21" s="236">
        <v>0</v>
      </c>
      <c r="Q21" s="236">
        <v>0</v>
      </c>
      <c r="R21" s="236">
        <v>0</v>
      </c>
      <c r="S21" s="236">
        <v>0</v>
      </c>
      <c r="T21" s="236">
        <v>0</v>
      </c>
      <c r="U21" s="236">
        <v>0</v>
      </c>
      <c r="V21" s="236">
        <v>0</v>
      </c>
      <c r="W21" s="236">
        <v>0</v>
      </c>
      <c r="X21" s="236">
        <v>0</v>
      </c>
      <c r="Y21" s="236">
        <v>0</v>
      </c>
      <c r="Z21" s="236">
        <v>0</v>
      </c>
      <c r="AA21" s="236">
        <v>0</v>
      </c>
      <c r="AB21" s="236">
        <v>0</v>
      </c>
      <c r="AC21" s="236">
        <v>0</v>
      </c>
      <c r="AD21" s="236">
        <v>0</v>
      </c>
      <c r="AE21" s="236">
        <v>0</v>
      </c>
      <c r="AF21" s="236">
        <v>0</v>
      </c>
      <c r="AG21" s="236">
        <v>0</v>
      </c>
      <c r="AH21" s="236">
        <v>0</v>
      </c>
      <c r="AI21" s="236">
        <v>0</v>
      </c>
      <c r="AJ21" s="236">
        <v>0</v>
      </c>
      <c r="AK21" s="236">
        <v>0</v>
      </c>
      <c r="AL21" s="236">
        <v>0</v>
      </c>
      <c r="AM21" s="236">
        <v>267</v>
      </c>
      <c r="AN21" s="236">
        <v>0</v>
      </c>
    </row>
    <row r="22" spans="3:40" x14ac:dyDescent="0.3">
      <c r="C22" s="236">
        <v>19</v>
      </c>
      <c r="D22" s="236">
        <v>4</v>
      </c>
      <c r="E22" s="236">
        <v>11</v>
      </c>
      <c r="F22" s="236">
        <v>1372.0833333333333</v>
      </c>
      <c r="G22" s="236">
        <v>0</v>
      </c>
      <c r="H22" s="236">
        <v>1372.0833333333333</v>
      </c>
      <c r="I22" s="236">
        <v>0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6">
        <v>0</v>
      </c>
      <c r="AA22" s="236">
        <v>0</v>
      </c>
      <c r="AB22" s="236">
        <v>0</v>
      </c>
      <c r="AC22" s="236">
        <v>0</v>
      </c>
      <c r="AD22" s="236">
        <v>0</v>
      </c>
      <c r="AE22" s="236">
        <v>0</v>
      </c>
      <c r="AF22" s="236">
        <v>0</v>
      </c>
      <c r="AG22" s="236">
        <v>0</v>
      </c>
      <c r="AH22" s="236">
        <v>0</v>
      </c>
      <c r="AI22" s="236">
        <v>0</v>
      </c>
      <c r="AJ22" s="236">
        <v>0</v>
      </c>
      <c r="AK22" s="236">
        <v>0</v>
      </c>
      <c r="AL22" s="236">
        <v>0</v>
      </c>
      <c r="AM22" s="236">
        <v>0</v>
      </c>
      <c r="AN22" s="236">
        <v>0</v>
      </c>
    </row>
    <row r="23" spans="3:40" x14ac:dyDescent="0.3">
      <c r="C23" s="236">
        <v>19</v>
      </c>
      <c r="D23" s="236">
        <v>5</v>
      </c>
      <c r="E23" s="236">
        <v>1</v>
      </c>
      <c r="F23" s="236">
        <v>12.35</v>
      </c>
      <c r="G23" s="236">
        <v>0</v>
      </c>
      <c r="H23" s="236">
        <v>4.3499999999999996</v>
      </c>
      <c r="I23" s="236">
        <v>0</v>
      </c>
      <c r="J23" s="236">
        <v>0</v>
      </c>
      <c r="K23" s="236">
        <v>5</v>
      </c>
      <c r="L23" s="236">
        <v>0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236">
        <v>0</v>
      </c>
      <c r="S23" s="236">
        <v>0</v>
      </c>
      <c r="T23" s="236">
        <v>0</v>
      </c>
      <c r="U23" s="236">
        <v>0</v>
      </c>
      <c r="V23" s="236">
        <v>0</v>
      </c>
      <c r="W23" s="236">
        <v>0</v>
      </c>
      <c r="X23" s="236">
        <v>0</v>
      </c>
      <c r="Y23" s="236">
        <v>0</v>
      </c>
      <c r="Z23" s="236">
        <v>0</v>
      </c>
      <c r="AA23" s="236">
        <v>0</v>
      </c>
      <c r="AB23" s="236">
        <v>0</v>
      </c>
      <c r="AC23" s="236">
        <v>0</v>
      </c>
      <c r="AD23" s="236">
        <v>0</v>
      </c>
      <c r="AE23" s="236">
        <v>0</v>
      </c>
      <c r="AF23" s="236">
        <v>0</v>
      </c>
      <c r="AG23" s="236">
        <v>0</v>
      </c>
      <c r="AH23" s="236">
        <v>0</v>
      </c>
      <c r="AI23" s="236">
        <v>0</v>
      </c>
      <c r="AJ23" s="236">
        <v>0</v>
      </c>
      <c r="AK23" s="236">
        <v>0</v>
      </c>
      <c r="AL23" s="236">
        <v>0</v>
      </c>
      <c r="AM23" s="236">
        <v>3</v>
      </c>
      <c r="AN23" s="236">
        <v>0</v>
      </c>
    </row>
    <row r="24" spans="3:40" x14ac:dyDescent="0.3">
      <c r="C24" s="236">
        <v>19</v>
      </c>
      <c r="D24" s="236">
        <v>5</v>
      </c>
      <c r="E24" s="236">
        <v>2</v>
      </c>
      <c r="F24" s="236">
        <v>1857.6</v>
      </c>
      <c r="G24" s="236">
        <v>0</v>
      </c>
      <c r="H24" s="236">
        <v>697.6</v>
      </c>
      <c r="I24" s="236">
        <v>0</v>
      </c>
      <c r="J24" s="236">
        <v>0</v>
      </c>
      <c r="K24" s="236">
        <v>832</v>
      </c>
      <c r="L24" s="236">
        <v>0</v>
      </c>
      <c r="M24" s="236">
        <v>0</v>
      </c>
      <c r="N24" s="236">
        <v>0</v>
      </c>
      <c r="O24" s="236">
        <v>0</v>
      </c>
      <c r="P24" s="236">
        <v>0</v>
      </c>
      <c r="Q24" s="236">
        <v>0</v>
      </c>
      <c r="R24" s="236">
        <v>0</v>
      </c>
      <c r="S24" s="236">
        <v>0</v>
      </c>
      <c r="T24" s="236">
        <v>0</v>
      </c>
      <c r="U24" s="236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6">
        <v>0</v>
      </c>
      <c r="AD24" s="236">
        <v>0</v>
      </c>
      <c r="AE24" s="236">
        <v>0</v>
      </c>
      <c r="AF24" s="236">
        <v>0</v>
      </c>
      <c r="AG24" s="236">
        <v>0</v>
      </c>
      <c r="AH24" s="236">
        <v>0</v>
      </c>
      <c r="AI24" s="236">
        <v>0</v>
      </c>
      <c r="AJ24" s="236">
        <v>0</v>
      </c>
      <c r="AK24" s="236">
        <v>0</v>
      </c>
      <c r="AL24" s="236">
        <v>0</v>
      </c>
      <c r="AM24" s="236">
        <v>328</v>
      </c>
      <c r="AN24" s="236">
        <v>0</v>
      </c>
    </row>
    <row r="25" spans="3:40" x14ac:dyDescent="0.3">
      <c r="C25" s="236">
        <v>19</v>
      </c>
      <c r="D25" s="236">
        <v>5</v>
      </c>
      <c r="E25" s="236">
        <v>6</v>
      </c>
      <c r="F25" s="236">
        <v>398582</v>
      </c>
      <c r="G25" s="236">
        <v>0</v>
      </c>
      <c r="H25" s="236">
        <v>220749</v>
      </c>
      <c r="I25" s="236">
        <v>0</v>
      </c>
      <c r="J25" s="236">
        <v>0</v>
      </c>
      <c r="K25" s="236">
        <v>136838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6">
        <v>0</v>
      </c>
      <c r="AA25" s="236">
        <v>0</v>
      </c>
      <c r="AB25" s="236">
        <v>0</v>
      </c>
      <c r="AC25" s="236">
        <v>0</v>
      </c>
      <c r="AD25" s="236">
        <v>0</v>
      </c>
      <c r="AE25" s="236">
        <v>0</v>
      </c>
      <c r="AF25" s="236">
        <v>0</v>
      </c>
      <c r="AG25" s="236">
        <v>0</v>
      </c>
      <c r="AH25" s="236">
        <v>0</v>
      </c>
      <c r="AI25" s="236">
        <v>0</v>
      </c>
      <c r="AJ25" s="236">
        <v>0</v>
      </c>
      <c r="AK25" s="236">
        <v>0</v>
      </c>
      <c r="AL25" s="236">
        <v>0</v>
      </c>
      <c r="AM25" s="236">
        <v>40995</v>
      </c>
      <c r="AN25" s="236">
        <v>0</v>
      </c>
    </row>
    <row r="26" spans="3:40" x14ac:dyDescent="0.3">
      <c r="C26" s="236">
        <v>19</v>
      </c>
      <c r="D26" s="236">
        <v>5</v>
      </c>
      <c r="E26" s="236">
        <v>11</v>
      </c>
      <c r="F26" s="236">
        <v>1372.0833333333333</v>
      </c>
      <c r="G26" s="236">
        <v>0</v>
      </c>
      <c r="H26" s="236">
        <v>1372.0833333333333</v>
      </c>
      <c r="I26" s="236">
        <v>0</v>
      </c>
      <c r="J26" s="236">
        <v>0</v>
      </c>
      <c r="K26" s="236">
        <v>0</v>
      </c>
      <c r="L26" s="236">
        <v>0</v>
      </c>
      <c r="M26" s="236">
        <v>0</v>
      </c>
      <c r="N26" s="236">
        <v>0</v>
      </c>
      <c r="O26" s="236">
        <v>0</v>
      </c>
      <c r="P26" s="236">
        <v>0</v>
      </c>
      <c r="Q26" s="236">
        <v>0</v>
      </c>
      <c r="R26" s="236">
        <v>0</v>
      </c>
      <c r="S26" s="236">
        <v>0</v>
      </c>
      <c r="T26" s="236">
        <v>0</v>
      </c>
      <c r="U26" s="236">
        <v>0</v>
      </c>
      <c r="V26" s="236">
        <v>0</v>
      </c>
      <c r="W26" s="236">
        <v>0</v>
      </c>
      <c r="X26" s="236">
        <v>0</v>
      </c>
      <c r="Y26" s="236">
        <v>0</v>
      </c>
      <c r="Z26" s="236">
        <v>0</v>
      </c>
      <c r="AA26" s="236">
        <v>0</v>
      </c>
      <c r="AB26" s="236">
        <v>0</v>
      </c>
      <c r="AC26" s="236">
        <v>0</v>
      </c>
      <c r="AD26" s="236">
        <v>0</v>
      </c>
      <c r="AE26" s="236">
        <v>0</v>
      </c>
      <c r="AF26" s="236">
        <v>0</v>
      </c>
      <c r="AG26" s="236">
        <v>0</v>
      </c>
      <c r="AH26" s="236">
        <v>0</v>
      </c>
      <c r="AI26" s="236">
        <v>0</v>
      </c>
      <c r="AJ26" s="236">
        <v>0</v>
      </c>
      <c r="AK26" s="236">
        <v>0</v>
      </c>
      <c r="AL26" s="236">
        <v>0</v>
      </c>
      <c r="AM26" s="236">
        <v>0</v>
      </c>
      <c r="AN26" s="23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5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5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5" customWidth="1"/>
    <col min="20" max="16384" width="8.88671875" style="133"/>
  </cols>
  <sheetData>
    <row r="1" spans="1:19" ht="18.600000000000001" customHeight="1" thickBot="1" x14ac:dyDescent="0.4">
      <c r="A1" s="376" t="s">
        <v>909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</row>
    <row r="2" spans="1:19" ht="14.4" customHeight="1" thickBot="1" x14ac:dyDescent="0.35">
      <c r="A2" s="240" t="s">
        <v>272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5" t="s">
        <v>133</v>
      </c>
      <c r="B3" s="226">
        <f>SUBTOTAL(9,B6:B1048576)</f>
        <v>1013254</v>
      </c>
      <c r="C3" s="227">
        <f t="shared" ref="C3:R3" si="0">SUBTOTAL(9,C6:C1048576)</f>
        <v>1</v>
      </c>
      <c r="D3" s="227">
        <f t="shared" si="0"/>
        <v>868932</v>
      </c>
      <c r="E3" s="227">
        <f t="shared" si="0"/>
        <v>0.8362325734712126</v>
      </c>
      <c r="F3" s="227">
        <f t="shared" si="0"/>
        <v>928666</v>
      </c>
      <c r="G3" s="228">
        <f>IF(B3&lt;&gt;0,F3/B3,"")</f>
        <v>0.91651846427450567</v>
      </c>
      <c r="H3" s="229">
        <f t="shared" si="0"/>
        <v>37054.670000000006</v>
      </c>
      <c r="I3" s="227">
        <f t="shared" si="0"/>
        <v>1</v>
      </c>
      <c r="J3" s="227">
        <f t="shared" si="0"/>
        <v>36255.33</v>
      </c>
      <c r="K3" s="227">
        <f t="shared" si="0"/>
        <v>0.97842809017055066</v>
      </c>
      <c r="L3" s="227">
        <f t="shared" si="0"/>
        <v>29967.79</v>
      </c>
      <c r="M3" s="230">
        <f>IF(H3&lt;&gt;0,L3/H3,"")</f>
        <v>0.80874529445276389</v>
      </c>
      <c r="N3" s="226">
        <f t="shared" si="0"/>
        <v>0</v>
      </c>
      <c r="O3" s="227">
        <f t="shared" si="0"/>
        <v>0</v>
      </c>
      <c r="P3" s="227">
        <f t="shared" si="0"/>
        <v>0</v>
      </c>
      <c r="Q3" s="227">
        <f t="shared" si="0"/>
        <v>0</v>
      </c>
      <c r="R3" s="227">
        <f t="shared" si="0"/>
        <v>0</v>
      </c>
      <c r="S3" s="228" t="str">
        <f>IF(N3&lt;&gt;0,R3/N3,"")</f>
        <v/>
      </c>
    </row>
    <row r="4" spans="1:19" ht="14.4" customHeight="1" x14ac:dyDescent="0.3">
      <c r="A4" s="377" t="s">
        <v>100</v>
      </c>
      <c r="B4" s="378" t="s">
        <v>101</v>
      </c>
      <c r="C4" s="379"/>
      <c r="D4" s="379"/>
      <c r="E4" s="379"/>
      <c r="F4" s="379"/>
      <c r="G4" s="380"/>
      <c r="H4" s="378" t="s">
        <v>102</v>
      </c>
      <c r="I4" s="379"/>
      <c r="J4" s="379"/>
      <c r="K4" s="379"/>
      <c r="L4" s="379"/>
      <c r="M4" s="380"/>
      <c r="N4" s="378" t="s">
        <v>103</v>
      </c>
      <c r="O4" s="379"/>
      <c r="P4" s="379"/>
      <c r="Q4" s="379"/>
      <c r="R4" s="379"/>
      <c r="S4" s="380"/>
    </row>
    <row r="5" spans="1:19" ht="14.4" customHeight="1" thickBot="1" x14ac:dyDescent="0.35">
      <c r="A5" s="562"/>
      <c r="B5" s="563">
        <v>2012</v>
      </c>
      <c r="C5" s="564"/>
      <c r="D5" s="564">
        <v>2013</v>
      </c>
      <c r="E5" s="564"/>
      <c r="F5" s="564">
        <v>2014</v>
      </c>
      <c r="G5" s="565" t="s">
        <v>2</v>
      </c>
      <c r="H5" s="563">
        <v>2012</v>
      </c>
      <c r="I5" s="564"/>
      <c r="J5" s="564">
        <v>2013</v>
      </c>
      <c r="K5" s="564"/>
      <c r="L5" s="564">
        <v>2014</v>
      </c>
      <c r="M5" s="565" t="s">
        <v>2</v>
      </c>
      <c r="N5" s="563">
        <v>2012</v>
      </c>
      <c r="O5" s="564"/>
      <c r="P5" s="564">
        <v>2013</v>
      </c>
      <c r="Q5" s="564"/>
      <c r="R5" s="564">
        <v>2014</v>
      </c>
      <c r="S5" s="565" t="s">
        <v>2</v>
      </c>
    </row>
    <row r="6" spans="1:19" ht="14.4" customHeight="1" x14ac:dyDescent="0.3">
      <c r="A6" s="528" t="s">
        <v>904</v>
      </c>
      <c r="B6" s="566">
        <v>1013254</v>
      </c>
      <c r="C6" s="435">
        <v>1</v>
      </c>
      <c r="D6" s="566">
        <v>847316</v>
      </c>
      <c r="E6" s="435">
        <v>0.8362325734712126</v>
      </c>
      <c r="F6" s="566">
        <v>879955</v>
      </c>
      <c r="G6" s="457">
        <v>0.86844463481022527</v>
      </c>
      <c r="H6" s="566">
        <v>37054.670000000006</v>
      </c>
      <c r="I6" s="435">
        <v>1</v>
      </c>
      <c r="J6" s="566">
        <v>36255.33</v>
      </c>
      <c r="K6" s="435">
        <v>0.97842809017055066</v>
      </c>
      <c r="L6" s="566">
        <v>29967.79</v>
      </c>
      <c r="M6" s="457">
        <v>0.80874529445276389</v>
      </c>
      <c r="N6" s="566"/>
      <c r="O6" s="435"/>
      <c r="P6" s="566"/>
      <c r="Q6" s="435"/>
      <c r="R6" s="566"/>
      <c r="S6" s="488"/>
    </row>
    <row r="7" spans="1:19" ht="14.4" customHeight="1" thickBot="1" x14ac:dyDescent="0.35">
      <c r="A7" s="568" t="s">
        <v>905</v>
      </c>
      <c r="B7" s="567"/>
      <c r="C7" s="514"/>
      <c r="D7" s="567">
        <v>21616</v>
      </c>
      <c r="E7" s="514"/>
      <c r="F7" s="567">
        <v>48711</v>
      </c>
      <c r="G7" s="519"/>
      <c r="H7" s="567"/>
      <c r="I7" s="514"/>
      <c r="J7" s="567"/>
      <c r="K7" s="514"/>
      <c r="L7" s="567"/>
      <c r="M7" s="519"/>
      <c r="N7" s="567"/>
      <c r="O7" s="514"/>
      <c r="P7" s="567"/>
      <c r="Q7" s="514"/>
      <c r="R7" s="567"/>
      <c r="S7" s="520"/>
    </row>
    <row r="8" spans="1:19" ht="14.4" customHeight="1" x14ac:dyDescent="0.3">
      <c r="A8" s="569" t="s">
        <v>906</v>
      </c>
    </row>
    <row r="9" spans="1:19" ht="14.4" customHeight="1" x14ac:dyDescent="0.3">
      <c r="A9" s="570" t="s">
        <v>907</v>
      </c>
    </row>
    <row r="10" spans="1:19" ht="14.4" customHeight="1" x14ac:dyDescent="0.3">
      <c r="A10" s="569" t="s">
        <v>908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3" bestFit="1" customWidth="1"/>
    <col min="2" max="2" width="2.109375" style="133" bestFit="1" customWidth="1"/>
    <col min="3" max="3" width="8" style="133" bestFit="1" customWidth="1"/>
    <col min="4" max="4" width="50.88671875" style="133" bestFit="1" customWidth="1"/>
    <col min="5" max="6" width="11.109375" style="212" customWidth="1"/>
    <col min="7" max="8" width="9.33203125" style="133" hidden="1" customWidth="1"/>
    <col min="9" max="10" width="11.109375" style="212" customWidth="1"/>
    <col min="11" max="12" width="9.33203125" style="133" hidden="1" customWidth="1"/>
    <col min="13" max="14" width="11.109375" style="212" customWidth="1"/>
    <col min="15" max="15" width="11.109375" style="215" customWidth="1"/>
    <col min="16" max="16" width="11.109375" style="212" customWidth="1"/>
    <col min="17" max="16384" width="8.88671875" style="133"/>
  </cols>
  <sheetData>
    <row r="1" spans="1:16" ht="18.600000000000001" customHeight="1" thickBot="1" x14ac:dyDescent="0.4">
      <c r="A1" s="310" t="s">
        <v>987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</row>
    <row r="2" spans="1:16" ht="14.4" customHeight="1" thickBot="1" x14ac:dyDescent="0.35">
      <c r="A2" s="240" t="s">
        <v>272</v>
      </c>
      <c r="B2" s="134"/>
      <c r="C2" s="134"/>
      <c r="D2" s="134"/>
      <c r="E2" s="233"/>
      <c r="F2" s="233"/>
      <c r="G2" s="134"/>
      <c r="H2" s="134"/>
      <c r="I2" s="233"/>
      <c r="J2" s="233"/>
      <c r="K2" s="134"/>
      <c r="L2" s="134"/>
      <c r="M2" s="233"/>
      <c r="N2" s="233"/>
      <c r="O2" s="234"/>
      <c r="P2" s="233"/>
    </row>
    <row r="3" spans="1:16" ht="14.4" customHeight="1" thickBot="1" x14ac:dyDescent="0.35">
      <c r="D3" s="87" t="s">
        <v>133</v>
      </c>
      <c r="E3" s="103">
        <f t="shared" ref="E3:N3" si="0">SUBTOTAL(9,E6:E1048576)</f>
        <v>7107.38</v>
      </c>
      <c r="F3" s="104">
        <f t="shared" si="0"/>
        <v>1050308.67</v>
      </c>
      <c r="G3" s="74"/>
      <c r="H3" s="74"/>
      <c r="I3" s="104">
        <f t="shared" si="0"/>
        <v>8713</v>
      </c>
      <c r="J3" s="104">
        <f t="shared" si="0"/>
        <v>905187.33000000007</v>
      </c>
      <c r="K3" s="74"/>
      <c r="L3" s="74"/>
      <c r="M3" s="104">
        <f t="shared" si="0"/>
        <v>9756.7000000000007</v>
      </c>
      <c r="N3" s="104">
        <f t="shared" si="0"/>
        <v>958633.79</v>
      </c>
      <c r="O3" s="75">
        <f>IF(F3=0,0,N3/F3)</f>
        <v>0.91271624940504403</v>
      </c>
      <c r="P3" s="105">
        <f>IF(M3=0,0,N3/M3)</f>
        <v>98.253896296903662</v>
      </c>
    </row>
    <row r="4" spans="1:16" ht="14.4" customHeight="1" x14ac:dyDescent="0.3">
      <c r="A4" s="382" t="s">
        <v>96</v>
      </c>
      <c r="B4" s="383" t="s">
        <v>97</v>
      </c>
      <c r="C4" s="384" t="s">
        <v>98</v>
      </c>
      <c r="D4" s="385" t="s">
        <v>70</v>
      </c>
      <c r="E4" s="386">
        <v>2012</v>
      </c>
      <c r="F4" s="387"/>
      <c r="G4" s="102"/>
      <c r="H4" s="102"/>
      <c r="I4" s="386">
        <v>2013</v>
      </c>
      <c r="J4" s="387"/>
      <c r="K4" s="102"/>
      <c r="L4" s="102"/>
      <c r="M4" s="386">
        <v>2014</v>
      </c>
      <c r="N4" s="387"/>
      <c r="O4" s="388" t="s">
        <v>2</v>
      </c>
      <c r="P4" s="381" t="s">
        <v>99</v>
      </c>
    </row>
    <row r="5" spans="1:16" ht="14.4" customHeight="1" thickBot="1" x14ac:dyDescent="0.35">
      <c r="A5" s="571"/>
      <c r="B5" s="572"/>
      <c r="C5" s="573"/>
      <c r="D5" s="574"/>
      <c r="E5" s="575" t="s">
        <v>72</v>
      </c>
      <c r="F5" s="576" t="s">
        <v>14</v>
      </c>
      <c r="G5" s="577"/>
      <c r="H5" s="577"/>
      <c r="I5" s="575" t="s">
        <v>72</v>
      </c>
      <c r="J5" s="576" t="s">
        <v>14</v>
      </c>
      <c r="K5" s="577"/>
      <c r="L5" s="577"/>
      <c r="M5" s="575" t="s">
        <v>72</v>
      </c>
      <c r="N5" s="576" t="s">
        <v>14</v>
      </c>
      <c r="O5" s="578"/>
      <c r="P5" s="579"/>
    </row>
    <row r="6" spans="1:16" ht="14.4" customHeight="1" x14ac:dyDescent="0.3">
      <c r="A6" s="434" t="s">
        <v>910</v>
      </c>
      <c r="B6" s="435" t="s">
        <v>911</v>
      </c>
      <c r="C6" s="435" t="s">
        <v>912</v>
      </c>
      <c r="D6" s="435" t="s">
        <v>913</v>
      </c>
      <c r="E6" s="438">
        <v>117.2</v>
      </c>
      <c r="F6" s="438">
        <v>10985.81</v>
      </c>
      <c r="G6" s="435">
        <v>1</v>
      </c>
      <c r="H6" s="435">
        <v>93.735580204778145</v>
      </c>
      <c r="I6" s="438">
        <v>213.60000000000002</v>
      </c>
      <c r="J6" s="438">
        <v>19478.16</v>
      </c>
      <c r="K6" s="435">
        <v>1.7730290256248744</v>
      </c>
      <c r="L6" s="435">
        <v>91.189887640449427</v>
      </c>
      <c r="M6" s="438">
        <v>226.8</v>
      </c>
      <c r="N6" s="438">
        <v>12827.050000000001</v>
      </c>
      <c r="O6" s="457">
        <v>1.167601660687742</v>
      </c>
      <c r="P6" s="439">
        <v>56.556657848324519</v>
      </c>
    </row>
    <row r="7" spans="1:16" ht="14.4" customHeight="1" x14ac:dyDescent="0.3">
      <c r="A7" s="505" t="s">
        <v>910</v>
      </c>
      <c r="B7" s="506" t="s">
        <v>911</v>
      </c>
      <c r="C7" s="506" t="s">
        <v>914</v>
      </c>
      <c r="D7" s="506" t="s">
        <v>915</v>
      </c>
      <c r="E7" s="521">
        <v>4.2</v>
      </c>
      <c r="F7" s="521">
        <v>506.17999999999995</v>
      </c>
      <c r="G7" s="506">
        <v>1</v>
      </c>
      <c r="H7" s="506">
        <v>120.5190476190476</v>
      </c>
      <c r="I7" s="521">
        <v>4</v>
      </c>
      <c r="J7" s="521">
        <v>486.32</v>
      </c>
      <c r="K7" s="506">
        <v>0.96076494527638401</v>
      </c>
      <c r="L7" s="506">
        <v>121.58</v>
      </c>
      <c r="M7" s="521"/>
      <c r="N7" s="521"/>
      <c r="O7" s="511"/>
      <c r="P7" s="522"/>
    </row>
    <row r="8" spans="1:16" ht="14.4" customHeight="1" x14ac:dyDescent="0.3">
      <c r="A8" s="505" t="s">
        <v>910</v>
      </c>
      <c r="B8" s="506" t="s">
        <v>911</v>
      </c>
      <c r="C8" s="506" t="s">
        <v>916</v>
      </c>
      <c r="D8" s="506" t="s">
        <v>917</v>
      </c>
      <c r="E8" s="521">
        <v>1.6</v>
      </c>
      <c r="F8" s="521">
        <v>222.55</v>
      </c>
      <c r="G8" s="506">
        <v>1</v>
      </c>
      <c r="H8" s="506">
        <v>139.09375</v>
      </c>
      <c r="I8" s="521"/>
      <c r="J8" s="521"/>
      <c r="K8" s="506"/>
      <c r="L8" s="506"/>
      <c r="M8" s="521">
        <v>0.1</v>
      </c>
      <c r="N8" s="521">
        <v>13.65</v>
      </c>
      <c r="O8" s="511">
        <v>6.1334531565940237E-2</v>
      </c>
      <c r="P8" s="522">
        <v>136.5</v>
      </c>
    </row>
    <row r="9" spans="1:16" ht="14.4" customHeight="1" x14ac:dyDescent="0.3">
      <c r="A9" s="505" t="s">
        <v>910</v>
      </c>
      <c r="B9" s="506" t="s">
        <v>911</v>
      </c>
      <c r="C9" s="506" t="s">
        <v>918</v>
      </c>
      <c r="D9" s="506" t="s">
        <v>919</v>
      </c>
      <c r="E9" s="521">
        <v>9.1000000000000014</v>
      </c>
      <c r="F9" s="521">
        <v>951.2700000000001</v>
      </c>
      <c r="G9" s="506">
        <v>1</v>
      </c>
      <c r="H9" s="506">
        <v>104.53516483516484</v>
      </c>
      <c r="I9" s="521">
        <v>10.5</v>
      </c>
      <c r="J9" s="521">
        <v>1107.3</v>
      </c>
      <c r="K9" s="506">
        <v>1.1640228326342676</v>
      </c>
      <c r="L9" s="506">
        <v>105.45714285714286</v>
      </c>
      <c r="M9" s="521">
        <v>16.299999999999997</v>
      </c>
      <c r="N9" s="521">
        <v>1718.14</v>
      </c>
      <c r="O9" s="511">
        <v>1.8061538784992692</v>
      </c>
      <c r="P9" s="522">
        <v>105.40736196319021</v>
      </c>
    </row>
    <row r="10" spans="1:16" ht="14.4" customHeight="1" x14ac:dyDescent="0.3">
      <c r="A10" s="505" t="s">
        <v>910</v>
      </c>
      <c r="B10" s="506" t="s">
        <v>911</v>
      </c>
      <c r="C10" s="506" t="s">
        <v>920</v>
      </c>
      <c r="D10" s="506" t="s">
        <v>921</v>
      </c>
      <c r="E10" s="521"/>
      <c r="F10" s="521"/>
      <c r="G10" s="506"/>
      <c r="H10" s="506"/>
      <c r="I10" s="521">
        <v>11.9</v>
      </c>
      <c r="J10" s="521">
        <v>1316.4700000000003</v>
      </c>
      <c r="K10" s="506"/>
      <c r="L10" s="506">
        <v>110.62773109243699</v>
      </c>
      <c r="M10" s="521">
        <v>8.5</v>
      </c>
      <c r="N10" s="521">
        <v>940.16</v>
      </c>
      <c r="O10" s="511"/>
      <c r="P10" s="522">
        <v>110.60705882352941</v>
      </c>
    </row>
    <row r="11" spans="1:16" ht="14.4" customHeight="1" x14ac:dyDescent="0.3">
      <c r="A11" s="505" t="s">
        <v>910</v>
      </c>
      <c r="B11" s="506" t="s">
        <v>911</v>
      </c>
      <c r="C11" s="506" t="s">
        <v>922</v>
      </c>
      <c r="D11" s="506" t="s">
        <v>923</v>
      </c>
      <c r="E11" s="521">
        <v>20</v>
      </c>
      <c r="F11" s="521">
        <v>348.15999999999997</v>
      </c>
      <c r="G11" s="506">
        <v>1</v>
      </c>
      <c r="H11" s="506">
        <v>17.407999999999998</v>
      </c>
      <c r="I11" s="521">
        <v>13</v>
      </c>
      <c r="J11" s="521">
        <v>122.85</v>
      </c>
      <c r="K11" s="506">
        <v>0.35285500919117646</v>
      </c>
      <c r="L11" s="506">
        <v>9.4499999999999993</v>
      </c>
      <c r="M11" s="521">
        <v>25</v>
      </c>
      <c r="N11" s="521">
        <v>236.25</v>
      </c>
      <c r="O11" s="511">
        <v>0.67856732536764708</v>
      </c>
      <c r="P11" s="522">
        <v>9.4499999999999993</v>
      </c>
    </row>
    <row r="12" spans="1:16" ht="14.4" customHeight="1" x14ac:dyDescent="0.3">
      <c r="A12" s="505" t="s">
        <v>910</v>
      </c>
      <c r="B12" s="506" t="s">
        <v>911</v>
      </c>
      <c r="C12" s="506" t="s">
        <v>924</v>
      </c>
      <c r="D12" s="506" t="s">
        <v>923</v>
      </c>
      <c r="E12" s="521">
        <v>498</v>
      </c>
      <c r="F12" s="521">
        <v>7142.7800000000007</v>
      </c>
      <c r="G12" s="506">
        <v>1</v>
      </c>
      <c r="H12" s="506">
        <v>14.342931726907631</v>
      </c>
      <c r="I12" s="521">
        <v>1070</v>
      </c>
      <c r="J12" s="521">
        <v>4044.6</v>
      </c>
      <c r="K12" s="506">
        <v>0.56625011550124738</v>
      </c>
      <c r="L12" s="506">
        <v>3.78</v>
      </c>
      <c r="M12" s="521">
        <v>1061</v>
      </c>
      <c r="N12" s="521">
        <v>4010.5799999999995</v>
      </c>
      <c r="O12" s="511">
        <v>0.56148726406245175</v>
      </c>
      <c r="P12" s="522">
        <v>3.7799999999999994</v>
      </c>
    </row>
    <row r="13" spans="1:16" ht="14.4" customHeight="1" x14ac:dyDescent="0.3">
      <c r="A13" s="505" t="s">
        <v>910</v>
      </c>
      <c r="B13" s="506" t="s">
        <v>911</v>
      </c>
      <c r="C13" s="506" t="s">
        <v>925</v>
      </c>
      <c r="D13" s="506" t="s">
        <v>926</v>
      </c>
      <c r="E13" s="521">
        <v>182</v>
      </c>
      <c r="F13" s="521">
        <v>16897.919999999998</v>
      </c>
      <c r="G13" s="506">
        <v>1</v>
      </c>
      <c r="H13" s="506">
        <v>92.84571428571428</v>
      </c>
      <c r="I13" s="521">
        <v>155</v>
      </c>
      <c r="J13" s="521">
        <v>9699.630000000001</v>
      </c>
      <c r="K13" s="506">
        <v>0.57401325133507564</v>
      </c>
      <c r="L13" s="506">
        <v>62.578258064516135</v>
      </c>
      <c r="M13" s="521">
        <v>172</v>
      </c>
      <c r="N13" s="521">
        <v>10221.959999999999</v>
      </c>
      <c r="O13" s="511">
        <v>0.60492415634586982</v>
      </c>
      <c r="P13" s="522">
        <v>59.429999999999993</v>
      </c>
    </row>
    <row r="14" spans="1:16" ht="14.4" customHeight="1" x14ac:dyDescent="0.3">
      <c r="A14" s="505" t="s">
        <v>910</v>
      </c>
      <c r="B14" s="506" t="s">
        <v>911</v>
      </c>
      <c r="C14" s="506" t="s">
        <v>927</v>
      </c>
      <c r="D14" s="506" t="s">
        <v>928</v>
      </c>
      <c r="E14" s="521">
        <v>0.27999999999999997</v>
      </c>
      <c r="F14" s="521">
        <v>0</v>
      </c>
      <c r="G14" s="506"/>
      <c r="H14" s="506">
        <v>0</v>
      </c>
      <c r="I14" s="521"/>
      <c r="J14" s="521"/>
      <c r="K14" s="506"/>
      <c r="L14" s="506"/>
      <c r="M14" s="521"/>
      <c r="N14" s="521"/>
      <c r="O14" s="511"/>
      <c r="P14" s="522"/>
    </row>
    <row r="15" spans="1:16" ht="14.4" customHeight="1" x14ac:dyDescent="0.3">
      <c r="A15" s="505" t="s">
        <v>910</v>
      </c>
      <c r="B15" s="506" t="s">
        <v>929</v>
      </c>
      <c r="C15" s="506" t="s">
        <v>930</v>
      </c>
      <c r="D15" s="506" t="s">
        <v>906</v>
      </c>
      <c r="E15" s="521">
        <v>399</v>
      </c>
      <c r="F15" s="521">
        <v>172368</v>
      </c>
      <c r="G15" s="506">
        <v>1</v>
      </c>
      <c r="H15" s="506">
        <v>432</v>
      </c>
      <c r="I15" s="521"/>
      <c r="J15" s="521"/>
      <c r="K15" s="506"/>
      <c r="L15" s="506"/>
      <c r="M15" s="521"/>
      <c r="N15" s="521"/>
      <c r="O15" s="511"/>
      <c r="P15" s="522"/>
    </row>
    <row r="16" spans="1:16" ht="14.4" customHeight="1" x14ac:dyDescent="0.3">
      <c r="A16" s="505" t="s">
        <v>910</v>
      </c>
      <c r="B16" s="506" t="s">
        <v>929</v>
      </c>
      <c r="C16" s="506" t="s">
        <v>931</v>
      </c>
      <c r="D16" s="506" t="s">
        <v>906</v>
      </c>
      <c r="E16" s="521">
        <v>35</v>
      </c>
      <c r="F16" s="521">
        <v>5880</v>
      </c>
      <c r="G16" s="506">
        <v>1</v>
      </c>
      <c r="H16" s="506">
        <v>168</v>
      </c>
      <c r="I16" s="521"/>
      <c r="J16" s="521"/>
      <c r="K16" s="506"/>
      <c r="L16" s="506"/>
      <c r="M16" s="521"/>
      <c r="N16" s="521"/>
      <c r="O16" s="511"/>
      <c r="P16" s="522"/>
    </row>
    <row r="17" spans="1:16" ht="14.4" customHeight="1" x14ac:dyDescent="0.3">
      <c r="A17" s="505" t="s">
        <v>910</v>
      </c>
      <c r="B17" s="506" t="s">
        <v>929</v>
      </c>
      <c r="C17" s="506" t="s">
        <v>932</v>
      </c>
      <c r="D17" s="506" t="s">
        <v>933</v>
      </c>
      <c r="E17" s="521">
        <v>26</v>
      </c>
      <c r="F17" s="521">
        <v>4368</v>
      </c>
      <c r="G17" s="506">
        <v>1</v>
      </c>
      <c r="H17" s="506">
        <v>168</v>
      </c>
      <c r="I17" s="521">
        <v>79</v>
      </c>
      <c r="J17" s="521">
        <v>13351</v>
      </c>
      <c r="K17" s="506">
        <v>3.0565476190476191</v>
      </c>
      <c r="L17" s="506">
        <v>169</v>
      </c>
      <c r="M17" s="521">
        <v>46</v>
      </c>
      <c r="N17" s="521">
        <v>7791</v>
      </c>
      <c r="O17" s="511">
        <v>1.7836538461538463</v>
      </c>
      <c r="P17" s="522">
        <v>169.36956521739131</v>
      </c>
    </row>
    <row r="18" spans="1:16" ht="14.4" customHeight="1" x14ac:dyDescent="0.3">
      <c r="A18" s="505" t="s">
        <v>910</v>
      </c>
      <c r="B18" s="506" t="s">
        <v>929</v>
      </c>
      <c r="C18" s="506" t="s">
        <v>934</v>
      </c>
      <c r="D18" s="506" t="s">
        <v>906</v>
      </c>
      <c r="E18" s="521">
        <v>1</v>
      </c>
      <c r="F18" s="521">
        <v>168</v>
      </c>
      <c r="G18" s="506">
        <v>1</v>
      </c>
      <c r="H18" s="506">
        <v>168</v>
      </c>
      <c r="I18" s="521"/>
      <c r="J18" s="521"/>
      <c r="K18" s="506"/>
      <c r="L18" s="506"/>
      <c r="M18" s="521"/>
      <c r="N18" s="521"/>
      <c r="O18" s="511"/>
      <c r="P18" s="522"/>
    </row>
    <row r="19" spans="1:16" ht="14.4" customHeight="1" x14ac:dyDescent="0.3">
      <c r="A19" s="505" t="s">
        <v>910</v>
      </c>
      <c r="B19" s="506" t="s">
        <v>929</v>
      </c>
      <c r="C19" s="506" t="s">
        <v>935</v>
      </c>
      <c r="D19" s="506" t="s">
        <v>936</v>
      </c>
      <c r="E19" s="521">
        <v>16</v>
      </c>
      <c r="F19" s="521">
        <v>992</v>
      </c>
      <c r="G19" s="506">
        <v>1</v>
      </c>
      <c r="H19" s="506">
        <v>62</v>
      </c>
      <c r="I19" s="521">
        <v>23</v>
      </c>
      <c r="J19" s="521">
        <v>2576</v>
      </c>
      <c r="K19" s="506">
        <v>2.596774193548387</v>
      </c>
      <c r="L19" s="506">
        <v>112</v>
      </c>
      <c r="M19" s="521">
        <v>51</v>
      </c>
      <c r="N19" s="521">
        <v>5732</v>
      </c>
      <c r="O19" s="511">
        <v>5.778225806451613</v>
      </c>
      <c r="P19" s="522">
        <v>112.3921568627451</v>
      </c>
    </row>
    <row r="20" spans="1:16" ht="14.4" customHeight="1" x14ac:dyDescent="0.3">
      <c r="A20" s="505" t="s">
        <v>910</v>
      </c>
      <c r="B20" s="506" t="s">
        <v>929</v>
      </c>
      <c r="C20" s="506" t="s">
        <v>937</v>
      </c>
      <c r="D20" s="506" t="s">
        <v>938</v>
      </c>
      <c r="E20" s="521">
        <v>1040</v>
      </c>
      <c r="F20" s="521">
        <v>35360</v>
      </c>
      <c r="G20" s="506">
        <v>1</v>
      </c>
      <c r="H20" s="506">
        <v>34</v>
      </c>
      <c r="I20" s="521">
        <v>1632</v>
      </c>
      <c r="J20" s="521">
        <v>55488</v>
      </c>
      <c r="K20" s="506">
        <v>1.5692307692307692</v>
      </c>
      <c r="L20" s="506">
        <v>34</v>
      </c>
      <c r="M20" s="521">
        <v>1726</v>
      </c>
      <c r="N20" s="521">
        <v>59451</v>
      </c>
      <c r="O20" s="511">
        <v>1.6813065610859728</v>
      </c>
      <c r="P20" s="522">
        <v>34.444380069524911</v>
      </c>
    </row>
    <row r="21" spans="1:16" ht="14.4" customHeight="1" x14ac:dyDescent="0.3">
      <c r="A21" s="505" t="s">
        <v>910</v>
      </c>
      <c r="B21" s="506" t="s">
        <v>929</v>
      </c>
      <c r="C21" s="506" t="s">
        <v>939</v>
      </c>
      <c r="D21" s="506" t="s">
        <v>940</v>
      </c>
      <c r="E21" s="521">
        <v>61</v>
      </c>
      <c r="F21" s="521">
        <v>610</v>
      </c>
      <c r="G21" s="506">
        <v>1</v>
      </c>
      <c r="H21" s="506">
        <v>10</v>
      </c>
      <c r="I21" s="521">
        <v>304</v>
      </c>
      <c r="J21" s="521">
        <v>3040</v>
      </c>
      <c r="K21" s="506">
        <v>4.9836065573770494</v>
      </c>
      <c r="L21" s="506">
        <v>10</v>
      </c>
      <c r="M21" s="521">
        <v>418</v>
      </c>
      <c r="N21" s="521">
        <v>4180</v>
      </c>
      <c r="O21" s="511">
        <v>6.8524590163934427</v>
      </c>
      <c r="P21" s="522">
        <v>10</v>
      </c>
    </row>
    <row r="22" spans="1:16" ht="14.4" customHeight="1" x14ac:dyDescent="0.3">
      <c r="A22" s="505" t="s">
        <v>910</v>
      </c>
      <c r="B22" s="506" t="s">
        <v>929</v>
      </c>
      <c r="C22" s="506" t="s">
        <v>941</v>
      </c>
      <c r="D22" s="506" t="s">
        <v>942</v>
      </c>
      <c r="E22" s="521">
        <v>19</v>
      </c>
      <c r="F22" s="521">
        <v>95</v>
      </c>
      <c r="G22" s="506">
        <v>1</v>
      </c>
      <c r="H22" s="506">
        <v>5</v>
      </c>
      <c r="I22" s="521">
        <v>47</v>
      </c>
      <c r="J22" s="521">
        <v>235</v>
      </c>
      <c r="K22" s="506">
        <v>2.4736842105263159</v>
      </c>
      <c r="L22" s="506">
        <v>5</v>
      </c>
      <c r="M22" s="521">
        <v>53</v>
      </c>
      <c r="N22" s="521">
        <v>265</v>
      </c>
      <c r="O22" s="511">
        <v>2.7894736842105261</v>
      </c>
      <c r="P22" s="522">
        <v>5</v>
      </c>
    </row>
    <row r="23" spans="1:16" ht="14.4" customHeight="1" x14ac:dyDescent="0.3">
      <c r="A23" s="505" t="s">
        <v>910</v>
      </c>
      <c r="B23" s="506" t="s">
        <v>929</v>
      </c>
      <c r="C23" s="506" t="s">
        <v>943</v>
      </c>
      <c r="D23" s="506" t="s">
        <v>944</v>
      </c>
      <c r="E23" s="521">
        <v>2</v>
      </c>
      <c r="F23" s="521">
        <v>10</v>
      </c>
      <c r="G23" s="506">
        <v>1</v>
      </c>
      <c r="H23" s="506">
        <v>5</v>
      </c>
      <c r="I23" s="521">
        <v>10</v>
      </c>
      <c r="J23" s="521">
        <v>50</v>
      </c>
      <c r="K23" s="506">
        <v>5</v>
      </c>
      <c r="L23" s="506">
        <v>5</v>
      </c>
      <c r="M23" s="521">
        <v>7</v>
      </c>
      <c r="N23" s="521">
        <v>35</v>
      </c>
      <c r="O23" s="511">
        <v>3.5</v>
      </c>
      <c r="P23" s="522">
        <v>5</v>
      </c>
    </row>
    <row r="24" spans="1:16" ht="14.4" customHeight="1" x14ac:dyDescent="0.3">
      <c r="A24" s="505" t="s">
        <v>910</v>
      </c>
      <c r="B24" s="506" t="s">
        <v>929</v>
      </c>
      <c r="C24" s="506" t="s">
        <v>945</v>
      </c>
      <c r="D24" s="506" t="s">
        <v>946</v>
      </c>
      <c r="E24" s="521">
        <v>12</v>
      </c>
      <c r="F24" s="521">
        <v>816</v>
      </c>
      <c r="G24" s="506">
        <v>1</v>
      </c>
      <c r="H24" s="506">
        <v>68</v>
      </c>
      <c r="I24" s="521">
        <v>25</v>
      </c>
      <c r="J24" s="521">
        <v>1725</v>
      </c>
      <c r="K24" s="506">
        <v>2.1139705882352939</v>
      </c>
      <c r="L24" s="506">
        <v>69</v>
      </c>
      <c r="M24" s="521">
        <v>148</v>
      </c>
      <c r="N24" s="521">
        <v>10253</v>
      </c>
      <c r="O24" s="511">
        <v>12.564950980392156</v>
      </c>
      <c r="P24" s="522">
        <v>69.277027027027032</v>
      </c>
    </row>
    <row r="25" spans="1:16" ht="14.4" customHeight="1" x14ac:dyDescent="0.3">
      <c r="A25" s="505" t="s">
        <v>910</v>
      </c>
      <c r="B25" s="506" t="s">
        <v>929</v>
      </c>
      <c r="C25" s="506" t="s">
        <v>947</v>
      </c>
      <c r="D25" s="506" t="s">
        <v>948</v>
      </c>
      <c r="E25" s="521"/>
      <c r="F25" s="521"/>
      <c r="G25" s="506"/>
      <c r="H25" s="506"/>
      <c r="I25" s="521">
        <v>1</v>
      </c>
      <c r="J25" s="521">
        <v>117</v>
      </c>
      <c r="K25" s="506"/>
      <c r="L25" s="506">
        <v>117</v>
      </c>
      <c r="M25" s="521">
        <v>30</v>
      </c>
      <c r="N25" s="521">
        <v>3513</v>
      </c>
      <c r="O25" s="511"/>
      <c r="P25" s="522">
        <v>117.1</v>
      </c>
    </row>
    <row r="26" spans="1:16" ht="14.4" customHeight="1" x14ac:dyDescent="0.3">
      <c r="A26" s="505" t="s">
        <v>910</v>
      </c>
      <c r="B26" s="506" t="s">
        <v>929</v>
      </c>
      <c r="C26" s="506" t="s">
        <v>949</v>
      </c>
      <c r="D26" s="506" t="s">
        <v>950</v>
      </c>
      <c r="E26" s="521">
        <v>716</v>
      </c>
      <c r="F26" s="521">
        <v>83056</v>
      </c>
      <c r="G26" s="506">
        <v>1</v>
      </c>
      <c r="H26" s="506">
        <v>116</v>
      </c>
      <c r="I26" s="521">
        <v>548</v>
      </c>
      <c r="J26" s="521">
        <v>64116</v>
      </c>
      <c r="K26" s="506">
        <v>0.77196108649585826</v>
      </c>
      <c r="L26" s="506">
        <v>117</v>
      </c>
      <c r="M26" s="521">
        <v>93</v>
      </c>
      <c r="N26" s="521">
        <v>10881</v>
      </c>
      <c r="O26" s="511">
        <v>0.13100799460604892</v>
      </c>
      <c r="P26" s="522">
        <v>117</v>
      </c>
    </row>
    <row r="27" spans="1:16" ht="14.4" customHeight="1" x14ac:dyDescent="0.3">
      <c r="A27" s="505" t="s">
        <v>910</v>
      </c>
      <c r="B27" s="506" t="s">
        <v>929</v>
      </c>
      <c r="C27" s="506" t="s">
        <v>951</v>
      </c>
      <c r="D27" s="506" t="s">
        <v>952</v>
      </c>
      <c r="E27" s="521">
        <v>19</v>
      </c>
      <c r="F27" s="521">
        <v>3116</v>
      </c>
      <c r="G27" s="506">
        <v>1</v>
      </c>
      <c r="H27" s="506">
        <v>164</v>
      </c>
      <c r="I27" s="521">
        <v>49</v>
      </c>
      <c r="J27" s="521">
        <v>7987</v>
      </c>
      <c r="K27" s="506">
        <v>2.5632220795892171</v>
      </c>
      <c r="L27" s="506">
        <v>163</v>
      </c>
      <c r="M27" s="521">
        <v>152</v>
      </c>
      <c r="N27" s="521">
        <v>24837</v>
      </c>
      <c r="O27" s="511">
        <v>7.9707958921694484</v>
      </c>
      <c r="P27" s="522">
        <v>163.40131578947367</v>
      </c>
    </row>
    <row r="28" spans="1:16" ht="14.4" customHeight="1" x14ac:dyDescent="0.3">
      <c r="A28" s="505" t="s">
        <v>910</v>
      </c>
      <c r="B28" s="506" t="s">
        <v>929</v>
      </c>
      <c r="C28" s="506" t="s">
        <v>953</v>
      </c>
      <c r="D28" s="506" t="s">
        <v>954</v>
      </c>
      <c r="E28" s="521">
        <v>1</v>
      </c>
      <c r="F28" s="521">
        <v>0</v>
      </c>
      <c r="G28" s="506"/>
      <c r="H28" s="506">
        <v>0</v>
      </c>
      <c r="I28" s="521">
        <v>3</v>
      </c>
      <c r="J28" s="521">
        <v>0</v>
      </c>
      <c r="K28" s="506"/>
      <c r="L28" s="506">
        <v>0</v>
      </c>
      <c r="M28" s="521">
        <v>2</v>
      </c>
      <c r="N28" s="521">
        <v>0</v>
      </c>
      <c r="O28" s="511"/>
      <c r="P28" s="522">
        <v>0</v>
      </c>
    </row>
    <row r="29" spans="1:16" ht="14.4" customHeight="1" x14ac:dyDescent="0.3">
      <c r="A29" s="505" t="s">
        <v>910</v>
      </c>
      <c r="B29" s="506" t="s">
        <v>929</v>
      </c>
      <c r="C29" s="506" t="s">
        <v>955</v>
      </c>
      <c r="D29" s="506" t="s">
        <v>956</v>
      </c>
      <c r="E29" s="521">
        <v>164</v>
      </c>
      <c r="F29" s="521">
        <v>27388</v>
      </c>
      <c r="G29" s="506">
        <v>1</v>
      </c>
      <c r="H29" s="506">
        <v>167</v>
      </c>
      <c r="I29" s="521">
        <v>172</v>
      </c>
      <c r="J29" s="521">
        <v>28896</v>
      </c>
      <c r="K29" s="506">
        <v>1.0550606104863445</v>
      </c>
      <c r="L29" s="506">
        <v>168</v>
      </c>
      <c r="M29" s="521">
        <v>283</v>
      </c>
      <c r="N29" s="521">
        <v>47736</v>
      </c>
      <c r="O29" s="511">
        <v>1.7429531181539359</v>
      </c>
      <c r="P29" s="522">
        <v>168.67844522968198</v>
      </c>
    </row>
    <row r="30" spans="1:16" ht="14.4" customHeight="1" x14ac:dyDescent="0.3">
      <c r="A30" s="505" t="s">
        <v>910</v>
      </c>
      <c r="B30" s="506" t="s">
        <v>929</v>
      </c>
      <c r="C30" s="506" t="s">
        <v>957</v>
      </c>
      <c r="D30" s="506" t="s">
        <v>958</v>
      </c>
      <c r="E30" s="521">
        <v>280</v>
      </c>
      <c r="F30" s="521">
        <v>0</v>
      </c>
      <c r="G30" s="506"/>
      <c r="H30" s="506">
        <v>0</v>
      </c>
      <c r="I30" s="521">
        <v>609</v>
      </c>
      <c r="J30" s="521">
        <v>0</v>
      </c>
      <c r="K30" s="506"/>
      <c r="L30" s="506">
        <v>0</v>
      </c>
      <c r="M30" s="521">
        <v>760</v>
      </c>
      <c r="N30" s="521">
        <v>0</v>
      </c>
      <c r="O30" s="511"/>
      <c r="P30" s="522">
        <v>0</v>
      </c>
    </row>
    <row r="31" spans="1:16" ht="14.4" customHeight="1" x14ac:dyDescent="0.3">
      <c r="A31" s="505" t="s">
        <v>910</v>
      </c>
      <c r="B31" s="506" t="s">
        <v>929</v>
      </c>
      <c r="C31" s="506" t="s">
        <v>959</v>
      </c>
      <c r="D31" s="506" t="s">
        <v>960</v>
      </c>
      <c r="E31" s="521">
        <v>142</v>
      </c>
      <c r="F31" s="521">
        <v>3550</v>
      </c>
      <c r="G31" s="506">
        <v>1</v>
      </c>
      <c r="H31" s="506">
        <v>25</v>
      </c>
      <c r="I31" s="521">
        <v>235</v>
      </c>
      <c r="J31" s="521">
        <v>8225</v>
      </c>
      <c r="K31" s="506">
        <v>2.316901408450704</v>
      </c>
      <c r="L31" s="506">
        <v>35</v>
      </c>
      <c r="M31" s="521">
        <v>373</v>
      </c>
      <c r="N31" s="521">
        <v>13186</v>
      </c>
      <c r="O31" s="511">
        <v>3.7143661971830988</v>
      </c>
      <c r="P31" s="522">
        <v>35.351206434316353</v>
      </c>
    </row>
    <row r="32" spans="1:16" ht="14.4" customHeight="1" x14ac:dyDescent="0.3">
      <c r="A32" s="505" t="s">
        <v>910</v>
      </c>
      <c r="B32" s="506" t="s">
        <v>929</v>
      </c>
      <c r="C32" s="506" t="s">
        <v>961</v>
      </c>
      <c r="D32" s="506" t="s">
        <v>962</v>
      </c>
      <c r="E32" s="521"/>
      <c r="F32" s="521"/>
      <c r="G32" s="506"/>
      <c r="H32" s="506"/>
      <c r="I32" s="521"/>
      <c r="J32" s="521"/>
      <c r="K32" s="506"/>
      <c r="L32" s="506"/>
      <c r="M32" s="521">
        <v>1</v>
      </c>
      <c r="N32" s="521">
        <v>82</v>
      </c>
      <c r="O32" s="511"/>
      <c r="P32" s="522">
        <v>82</v>
      </c>
    </row>
    <row r="33" spans="1:16" ht="14.4" customHeight="1" x14ac:dyDescent="0.3">
      <c r="A33" s="505" t="s">
        <v>910</v>
      </c>
      <c r="B33" s="506" t="s">
        <v>929</v>
      </c>
      <c r="C33" s="506" t="s">
        <v>963</v>
      </c>
      <c r="D33" s="506" t="s">
        <v>964</v>
      </c>
      <c r="E33" s="521">
        <v>6</v>
      </c>
      <c r="F33" s="521">
        <v>114</v>
      </c>
      <c r="G33" s="506">
        <v>1</v>
      </c>
      <c r="H33" s="506">
        <v>19</v>
      </c>
      <c r="I33" s="521"/>
      <c r="J33" s="521"/>
      <c r="K33" s="506"/>
      <c r="L33" s="506"/>
      <c r="M33" s="521"/>
      <c r="N33" s="521"/>
      <c r="O33" s="511"/>
      <c r="P33" s="522"/>
    </row>
    <row r="34" spans="1:16" ht="14.4" customHeight="1" x14ac:dyDescent="0.3">
      <c r="A34" s="505" t="s">
        <v>910</v>
      </c>
      <c r="B34" s="506" t="s">
        <v>929</v>
      </c>
      <c r="C34" s="506" t="s">
        <v>965</v>
      </c>
      <c r="D34" s="506" t="s">
        <v>966</v>
      </c>
      <c r="E34" s="521">
        <v>714</v>
      </c>
      <c r="F34" s="521">
        <v>100674</v>
      </c>
      <c r="G34" s="506">
        <v>1</v>
      </c>
      <c r="H34" s="506">
        <v>141</v>
      </c>
      <c r="I34" s="521">
        <v>1241</v>
      </c>
      <c r="J34" s="521">
        <v>174981</v>
      </c>
      <c r="K34" s="506">
        <v>1.7380952380952381</v>
      </c>
      <c r="L34" s="506">
        <v>141</v>
      </c>
      <c r="M34" s="521">
        <v>1267</v>
      </c>
      <c r="N34" s="521">
        <v>170795</v>
      </c>
      <c r="O34" s="511">
        <v>1.6965154856268749</v>
      </c>
      <c r="P34" s="522">
        <v>134.80268350434096</v>
      </c>
    </row>
    <row r="35" spans="1:16" ht="14.4" customHeight="1" x14ac:dyDescent="0.3">
      <c r="A35" s="505" t="s">
        <v>910</v>
      </c>
      <c r="B35" s="506" t="s">
        <v>929</v>
      </c>
      <c r="C35" s="506" t="s">
        <v>967</v>
      </c>
      <c r="D35" s="506" t="s">
        <v>968</v>
      </c>
      <c r="E35" s="521">
        <v>384</v>
      </c>
      <c r="F35" s="521">
        <v>26112</v>
      </c>
      <c r="G35" s="506">
        <v>1</v>
      </c>
      <c r="H35" s="506">
        <v>68</v>
      </c>
      <c r="I35" s="521">
        <v>378</v>
      </c>
      <c r="J35" s="521">
        <v>26082</v>
      </c>
      <c r="K35" s="506">
        <v>0.99885110294117652</v>
      </c>
      <c r="L35" s="506">
        <v>69</v>
      </c>
      <c r="M35" s="521">
        <v>492</v>
      </c>
      <c r="N35" s="521">
        <v>34101</v>
      </c>
      <c r="O35" s="511">
        <v>1.3059512867647058</v>
      </c>
      <c r="P35" s="522">
        <v>69.310975609756099</v>
      </c>
    </row>
    <row r="36" spans="1:16" ht="14.4" customHeight="1" x14ac:dyDescent="0.3">
      <c r="A36" s="505" t="s">
        <v>910</v>
      </c>
      <c r="B36" s="506" t="s">
        <v>929</v>
      </c>
      <c r="C36" s="506" t="s">
        <v>969</v>
      </c>
      <c r="D36" s="506" t="s">
        <v>970</v>
      </c>
      <c r="E36" s="521">
        <v>414</v>
      </c>
      <c r="F36" s="521">
        <v>136620</v>
      </c>
      <c r="G36" s="506">
        <v>1</v>
      </c>
      <c r="H36" s="506">
        <v>330</v>
      </c>
      <c r="I36" s="521">
        <v>299</v>
      </c>
      <c r="J36" s="521">
        <v>97773</v>
      </c>
      <c r="K36" s="506">
        <v>0.71565656565656566</v>
      </c>
      <c r="L36" s="506">
        <v>327</v>
      </c>
      <c r="M36" s="521">
        <v>425</v>
      </c>
      <c r="N36" s="521">
        <v>139572</v>
      </c>
      <c r="O36" s="511">
        <v>1.0216073781291173</v>
      </c>
      <c r="P36" s="522">
        <v>328.40470588235291</v>
      </c>
    </row>
    <row r="37" spans="1:16" ht="14.4" customHeight="1" x14ac:dyDescent="0.3">
      <c r="A37" s="505" t="s">
        <v>910</v>
      </c>
      <c r="B37" s="506" t="s">
        <v>929</v>
      </c>
      <c r="C37" s="506" t="s">
        <v>971</v>
      </c>
      <c r="D37" s="506" t="s">
        <v>972</v>
      </c>
      <c r="E37" s="521">
        <v>8</v>
      </c>
      <c r="F37" s="521">
        <v>1640</v>
      </c>
      <c r="G37" s="506">
        <v>1</v>
      </c>
      <c r="H37" s="506">
        <v>205</v>
      </c>
      <c r="I37" s="521">
        <v>22</v>
      </c>
      <c r="J37" s="521">
        <v>4532</v>
      </c>
      <c r="K37" s="506">
        <v>2.7634146341463413</v>
      </c>
      <c r="L37" s="506">
        <v>206</v>
      </c>
      <c r="M37" s="521">
        <v>142</v>
      </c>
      <c r="N37" s="521">
        <v>29456</v>
      </c>
      <c r="O37" s="511">
        <v>17.960975609756098</v>
      </c>
      <c r="P37" s="522">
        <v>207.43661971830986</v>
      </c>
    </row>
    <row r="38" spans="1:16" ht="14.4" customHeight="1" x14ac:dyDescent="0.3">
      <c r="A38" s="505" t="s">
        <v>910</v>
      </c>
      <c r="B38" s="506" t="s">
        <v>929</v>
      </c>
      <c r="C38" s="506" t="s">
        <v>973</v>
      </c>
      <c r="D38" s="506" t="s">
        <v>974</v>
      </c>
      <c r="E38" s="521">
        <v>420</v>
      </c>
      <c r="F38" s="521">
        <v>31920</v>
      </c>
      <c r="G38" s="506">
        <v>1</v>
      </c>
      <c r="H38" s="506">
        <v>76</v>
      </c>
      <c r="I38" s="521">
        <v>271</v>
      </c>
      <c r="J38" s="521">
        <v>20596</v>
      </c>
      <c r="K38" s="506">
        <v>0.64523809523809528</v>
      </c>
      <c r="L38" s="506">
        <v>76</v>
      </c>
      <c r="M38" s="521">
        <v>382</v>
      </c>
      <c r="N38" s="521">
        <v>29170</v>
      </c>
      <c r="O38" s="511">
        <v>0.91384711779448624</v>
      </c>
      <c r="P38" s="522">
        <v>76.361256544502623</v>
      </c>
    </row>
    <row r="39" spans="1:16" ht="14.4" customHeight="1" x14ac:dyDescent="0.3">
      <c r="A39" s="505" t="s">
        <v>910</v>
      </c>
      <c r="B39" s="506" t="s">
        <v>929</v>
      </c>
      <c r="C39" s="506" t="s">
        <v>975</v>
      </c>
      <c r="D39" s="506" t="s">
        <v>976</v>
      </c>
      <c r="E39" s="521">
        <v>6</v>
      </c>
      <c r="F39" s="521">
        <v>84</v>
      </c>
      <c r="G39" s="506">
        <v>1</v>
      </c>
      <c r="H39" s="506">
        <v>14</v>
      </c>
      <c r="I39" s="521">
        <v>15</v>
      </c>
      <c r="J39" s="521">
        <v>390</v>
      </c>
      <c r="K39" s="506">
        <v>4.6428571428571432</v>
      </c>
      <c r="L39" s="506">
        <v>26</v>
      </c>
      <c r="M39" s="521">
        <v>11</v>
      </c>
      <c r="N39" s="521">
        <v>288</v>
      </c>
      <c r="O39" s="511">
        <v>3.4285714285714284</v>
      </c>
      <c r="P39" s="522">
        <v>26.181818181818183</v>
      </c>
    </row>
    <row r="40" spans="1:16" ht="14.4" customHeight="1" x14ac:dyDescent="0.3">
      <c r="A40" s="505" t="s">
        <v>910</v>
      </c>
      <c r="B40" s="506" t="s">
        <v>929</v>
      </c>
      <c r="C40" s="506" t="s">
        <v>977</v>
      </c>
      <c r="D40" s="506" t="s">
        <v>978</v>
      </c>
      <c r="E40" s="521">
        <v>107</v>
      </c>
      <c r="F40" s="521">
        <v>6099</v>
      </c>
      <c r="G40" s="506">
        <v>1</v>
      </c>
      <c r="H40" s="506">
        <v>57</v>
      </c>
      <c r="I40" s="521">
        <v>114</v>
      </c>
      <c r="J40" s="521">
        <v>6384</v>
      </c>
      <c r="K40" s="506">
        <v>1.0467289719626167</v>
      </c>
      <c r="L40" s="506">
        <v>56</v>
      </c>
      <c r="M40" s="521">
        <v>82</v>
      </c>
      <c r="N40" s="521">
        <v>4625</v>
      </c>
      <c r="O40" s="511">
        <v>0.75832103623544844</v>
      </c>
      <c r="P40" s="522">
        <v>56.402439024390247</v>
      </c>
    </row>
    <row r="41" spans="1:16" ht="14.4" customHeight="1" x14ac:dyDescent="0.3">
      <c r="A41" s="505" t="s">
        <v>910</v>
      </c>
      <c r="B41" s="506" t="s">
        <v>929</v>
      </c>
      <c r="C41" s="506" t="s">
        <v>979</v>
      </c>
      <c r="D41" s="506" t="s">
        <v>980</v>
      </c>
      <c r="E41" s="521">
        <v>509</v>
      </c>
      <c r="F41" s="521">
        <v>121651</v>
      </c>
      <c r="G41" s="506">
        <v>1</v>
      </c>
      <c r="H41" s="506">
        <v>239</v>
      </c>
      <c r="I41" s="521">
        <v>163</v>
      </c>
      <c r="J41" s="521">
        <v>39120</v>
      </c>
      <c r="K41" s="506">
        <v>0.32157565494734941</v>
      </c>
      <c r="L41" s="506">
        <v>240</v>
      </c>
      <c r="M41" s="521">
        <v>112</v>
      </c>
      <c r="N41" s="521">
        <v>26984</v>
      </c>
      <c r="O41" s="511">
        <v>0.22181486383178109</v>
      </c>
      <c r="P41" s="522">
        <v>240.92857142857142</v>
      </c>
    </row>
    <row r="42" spans="1:16" ht="14.4" customHeight="1" x14ac:dyDescent="0.3">
      <c r="A42" s="505" t="s">
        <v>910</v>
      </c>
      <c r="B42" s="506" t="s">
        <v>929</v>
      </c>
      <c r="C42" s="506" t="s">
        <v>981</v>
      </c>
      <c r="D42" s="506" t="s">
        <v>982</v>
      </c>
      <c r="E42" s="521">
        <v>203</v>
      </c>
      <c r="F42" s="521">
        <v>131138</v>
      </c>
      <c r="G42" s="506">
        <v>1</v>
      </c>
      <c r="H42" s="506">
        <v>646</v>
      </c>
      <c r="I42" s="521">
        <v>276</v>
      </c>
      <c r="J42" s="521">
        <v>178020</v>
      </c>
      <c r="K42" s="506">
        <v>1.3575012582165353</v>
      </c>
      <c r="L42" s="506">
        <v>645</v>
      </c>
      <c r="M42" s="521">
        <v>212</v>
      </c>
      <c r="N42" s="521">
        <v>137220</v>
      </c>
      <c r="O42" s="511">
        <v>1.0463786240448993</v>
      </c>
      <c r="P42" s="522">
        <v>647.2641509433962</v>
      </c>
    </row>
    <row r="43" spans="1:16" ht="14.4" customHeight="1" x14ac:dyDescent="0.3">
      <c r="A43" s="505" t="s">
        <v>910</v>
      </c>
      <c r="B43" s="506" t="s">
        <v>929</v>
      </c>
      <c r="C43" s="506" t="s">
        <v>983</v>
      </c>
      <c r="D43" s="506" t="s">
        <v>984</v>
      </c>
      <c r="E43" s="521">
        <v>547</v>
      </c>
      <c r="F43" s="521">
        <v>115417</v>
      </c>
      <c r="G43" s="506">
        <v>1</v>
      </c>
      <c r="H43" s="506">
        <v>211</v>
      </c>
      <c r="I43" s="521">
        <v>536</v>
      </c>
      <c r="J43" s="521">
        <v>113632</v>
      </c>
      <c r="K43" s="506">
        <v>0.98453434069504497</v>
      </c>
      <c r="L43" s="506">
        <v>212</v>
      </c>
      <c r="M43" s="521">
        <v>563</v>
      </c>
      <c r="N43" s="521">
        <v>119802</v>
      </c>
      <c r="O43" s="511">
        <v>1.0379926700572706</v>
      </c>
      <c r="P43" s="522">
        <v>212.79218472468918</v>
      </c>
    </row>
    <row r="44" spans="1:16" ht="14.4" customHeight="1" x14ac:dyDescent="0.3">
      <c r="A44" s="505" t="s">
        <v>910</v>
      </c>
      <c r="B44" s="506" t="s">
        <v>929</v>
      </c>
      <c r="C44" s="506" t="s">
        <v>985</v>
      </c>
      <c r="D44" s="506" t="s">
        <v>906</v>
      </c>
      <c r="E44" s="521">
        <v>24</v>
      </c>
      <c r="F44" s="521">
        <v>4008</v>
      </c>
      <c r="G44" s="506">
        <v>1</v>
      </c>
      <c r="H44" s="506">
        <v>167</v>
      </c>
      <c r="I44" s="521"/>
      <c r="J44" s="521"/>
      <c r="K44" s="506"/>
      <c r="L44" s="506"/>
      <c r="M44" s="521"/>
      <c r="N44" s="521"/>
      <c r="O44" s="511"/>
      <c r="P44" s="522"/>
    </row>
    <row r="45" spans="1:16" ht="14.4" customHeight="1" x14ac:dyDescent="0.3">
      <c r="A45" s="505" t="s">
        <v>986</v>
      </c>
      <c r="B45" s="506" t="s">
        <v>929</v>
      </c>
      <c r="C45" s="506" t="s">
        <v>941</v>
      </c>
      <c r="D45" s="506" t="s">
        <v>942</v>
      </c>
      <c r="E45" s="521"/>
      <c r="F45" s="521"/>
      <c r="G45" s="506"/>
      <c r="H45" s="506"/>
      <c r="I45" s="521"/>
      <c r="J45" s="521"/>
      <c r="K45" s="506"/>
      <c r="L45" s="506"/>
      <c r="M45" s="521">
        <v>1</v>
      </c>
      <c r="N45" s="521">
        <v>5</v>
      </c>
      <c r="O45" s="511"/>
      <c r="P45" s="522">
        <v>5</v>
      </c>
    </row>
    <row r="46" spans="1:16" ht="14.4" customHeight="1" x14ac:dyDescent="0.3">
      <c r="A46" s="505" t="s">
        <v>986</v>
      </c>
      <c r="B46" s="506" t="s">
        <v>929</v>
      </c>
      <c r="C46" s="506" t="s">
        <v>949</v>
      </c>
      <c r="D46" s="506" t="s">
        <v>950</v>
      </c>
      <c r="E46" s="521"/>
      <c r="F46" s="521"/>
      <c r="G46" s="506"/>
      <c r="H46" s="506"/>
      <c r="I46" s="521">
        <v>180</v>
      </c>
      <c r="J46" s="521">
        <v>21060</v>
      </c>
      <c r="K46" s="506"/>
      <c r="L46" s="506">
        <v>117</v>
      </c>
      <c r="M46" s="521">
        <v>415</v>
      </c>
      <c r="N46" s="521">
        <v>48706</v>
      </c>
      <c r="O46" s="511"/>
      <c r="P46" s="522">
        <v>117.36385542168675</v>
      </c>
    </row>
    <row r="47" spans="1:16" ht="14.4" customHeight="1" x14ac:dyDescent="0.3">
      <c r="A47" s="505" t="s">
        <v>986</v>
      </c>
      <c r="B47" s="506" t="s">
        <v>929</v>
      </c>
      <c r="C47" s="506" t="s">
        <v>973</v>
      </c>
      <c r="D47" s="506" t="s">
        <v>974</v>
      </c>
      <c r="E47" s="521"/>
      <c r="F47" s="521"/>
      <c r="G47" s="506"/>
      <c r="H47" s="506"/>
      <c r="I47" s="521">
        <v>1</v>
      </c>
      <c r="J47" s="521">
        <v>76</v>
      </c>
      <c r="K47" s="506"/>
      <c r="L47" s="506">
        <v>76</v>
      </c>
      <c r="M47" s="521"/>
      <c r="N47" s="521"/>
      <c r="O47" s="511"/>
      <c r="P47" s="522"/>
    </row>
    <row r="48" spans="1:16" ht="14.4" customHeight="1" thickBot="1" x14ac:dyDescent="0.35">
      <c r="A48" s="513" t="s">
        <v>986</v>
      </c>
      <c r="B48" s="514" t="s">
        <v>929</v>
      </c>
      <c r="C48" s="514" t="s">
        <v>979</v>
      </c>
      <c r="D48" s="514" t="s">
        <v>980</v>
      </c>
      <c r="E48" s="523"/>
      <c r="F48" s="523"/>
      <c r="G48" s="514"/>
      <c r="H48" s="514"/>
      <c r="I48" s="523">
        <v>2</v>
      </c>
      <c r="J48" s="523">
        <v>480</v>
      </c>
      <c r="K48" s="514"/>
      <c r="L48" s="514">
        <v>240</v>
      </c>
      <c r="M48" s="523"/>
      <c r="N48" s="523"/>
      <c r="O48" s="519"/>
      <c r="P48" s="524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5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5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5" customWidth="1"/>
    <col min="20" max="16384" width="8.88671875" style="133"/>
  </cols>
  <sheetData>
    <row r="1" spans="1:19" ht="18.600000000000001" customHeight="1" thickBot="1" x14ac:dyDescent="0.4">
      <c r="A1" s="319" t="s">
        <v>131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</row>
    <row r="2" spans="1:19" ht="14.4" customHeight="1" thickBot="1" x14ac:dyDescent="0.35">
      <c r="A2" s="240" t="s">
        <v>272</v>
      </c>
      <c r="B2" s="231"/>
      <c r="C2" s="114"/>
      <c r="D2" s="231"/>
      <c r="E2" s="114"/>
      <c r="F2" s="231"/>
      <c r="G2" s="232"/>
      <c r="H2" s="231"/>
      <c r="I2" s="114"/>
      <c r="J2" s="231"/>
      <c r="K2" s="114"/>
      <c r="L2" s="231"/>
      <c r="M2" s="232"/>
      <c r="N2" s="231"/>
      <c r="O2" s="114"/>
      <c r="P2" s="231"/>
      <c r="Q2" s="114"/>
      <c r="R2" s="231"/>
      <c r="S2" s="232"/>
    </row>
    <row r="3" spans="1:19" ht="14.4" customHeight="1" thickBot="1" x14ac:dyDescent="0.35">
      <c r="A3" s="225" t="s">
        <v>133</v>
      </c>
      <c r="B3" s="226">
        <f>SUBTOTAL(9,B6:B1048576)</f>
        <v>1854609</v>
      </c>
      <c r="C3" s="227">
        <f t="shared" ref="C3:R3" si="0">SUBTOTAL(9,C6:C1048576)</f>
        <v>3</v>
      </c>
      <c r="D3" s="227">
        <f t="shared" si="0"/>
        <v>9544</v>
      </c>
      <c r="E3" s="227">
        <f t="shared" si="0"/>
        <v>10.530950036918533</v>
      </c>
      <c r="F3" s="227">
        <f t="shared" si="0"/>
        <v>7152</v>
      </c>
      <c r="G3" s="230">
        <f>IF(B3&lt;&gt;0,F3/B3,"")</f>
        <v>3.8563384519324558E-3</v>
      </c>
      <c r="H3" s="226">
        <f t="shared" si="0"/>
        <v>0</v>
      </c>
      <c r="I3" s="227">
        <f t="shared" si="0"/>
        <v>0</v>
      </c>
      <c r="J3" s="227">
        <f t="shared" si="0"/>
        <v>0</v>
      </c>
      <c r="K3" s="227">
        <f t="shared" si="0"/>
        <v>0</v>
      </c>
      <c r="L3" s="227">
        <f t="shared" si="0"/>
        <v>0</v>
      </c>
      <c r="M3" s="228" t="str">
        <f>IF(H3&lt;&gt;0,L3/H3,"")</f>
        <v/>
      </c>
      <c r="N3" s="229">
        <f t="shared" si="0"/>
        <v>0</v>
      </c>
      <c r="O3" s="227">
        <f t="shared" si="0"/>
        <v>0</v>
      </c>
      <c r="P3" s="227">
        <f t="shared" si="0"/>
        <v>0</v>
      </c>
      <c r="Q3" s="227">
        <f t="shared" si="0"/>
        <v>0</v>
      </c>
      <c r="R3" s="227">
        <f t="shared" si="0"/>
        <v>0</v>
      </c>
      <c r="S3" s="228" t="str">
        <f>IF(N3&lt;&gt;0,R3/N3,"")</f>
        <v/>
      </c>
    </row>
    <row r="4" spans="1:19" ht="14.4" customHeight="1" x14ac:dyDescent="0.3">
      <c r="A4" s="377" t="s">
        <v>107</v>
      </c>
      <c r="B4" s="378" t="s">
        <v>101</v>
      </c>
      <c r="C4" s="379"/>
      <c r="D4" s="379"/>
      <c r="E4" s="379"/>
      <c r="F4" s="379"/>
      <c r="G4" s="380"/>
      <c r="H4" s="378" t="s">
        <v>102</v>
      </c>
      <c r="I4" s="379"/>
      <c r="J4" s="379"/>
      <c r="K4" s="379"/>
      <c r="L4" s="379"/>
      <c r="M4" s="380"/>
      <c r="N4" s="378" t="s">
        <v>103</v>
      </c>
      <c r="O4" s="379"/>
      <c r="P4" s="379"/>
      <c r="Q4" s="379"/>
      <c r="R4" s="379"/>
      <c r="S4" s="380"/>
    </row>
    <row r="5" spans="1:19" ht="14.4" customHeight="1" thickBot="1" x14ac:dyDescent="0.35">
      <c r="A5" s="562"/>
      <c r="B5" s="563">
        <v>2012</v>
      </c>
      <c r="C5" s="564"/>
      <c r="D5" s="564">
        <v>2013</v>
      </c>
      <c r="E5" s="564"/>
      <c r="F5" s="564">
        <v>2014</v>
      </c>
      <c r="G5" s="565" t="s">
        <v>2</v>
      </c>
      <c r="H5" s="563">
        <v>2012</v>
      </c>
      <c r="I5" s="564"/>
      <c r="J5" s="564">
        <v>2013</v>
      </c>
      <c r="K5" s="564"/>
      <c r="L5" s="564">
        <v>2014</v>
      </c>
      <c r="M5" s="565" t="s">
        <v>2</v>
      </c>
      <c r="N5" s="563">
        <v>2012</v>
      </c>
      <c r="O5" s="564"/>
      <c r="P5" s="564">
        <v>2013</v>
      </c>
      <c r="Q5" s="564"/>
      <c r="R5" s="564">
        <v>2014</v>
      </c>
      <c r="S5" s="565" t="s">
        <v>2</v>
      </c>
    </row>
    <row r="6" spans="1:19" ht="14.4" customHeight="1" x14ac:dyDescent="0.3">
      <c r="A6" s="528" t="s">
        <v>988</v>
      </c>
      <c r="B6" s="566">
        <v>956</v>
      </c>
      <c r="C6" s="435">
        <v>1</v>
      </c>
      <c r="D6" s="566">
        <v>8254</v>
      </c>
      <c r="E6" s="435">
        <v>8.6338912133891217</v>
      </c>
      <c r="F6" s="566">
        <v>3185</v>
      </c>
      <c r="G6" s="457">
        <v>3.3315899581589958</v>
      </c>
      <c r="H6" s="566"/>
      <c r="I6" s="435"/>
      <c r="J6" s="566"/>
      <c r="K6" s="435"/>
      <c r="L6" s="566"/>
      <c r="M6" s="457"/>
      <c r="N6" s="566"/>
      <c r="O6" s="435"/>
      <c r="P6" s="566"/>
      <c r="Q6" s="435"/>
      <c r="R6" s="566"/>
      <c r="S6" s="488"/>
    </row>
    <row r="7" spans="1:19" ht="14.4" customHeight="1" x14ac:dyDescent="0.3">
      <c r="A7" s="529" t="s">
        <v>989</v>
      </c>
      <c r="B7" s="580"/>
      <c r="C7" s="506"/>
      <c r="D7" s="580"/>
      <c r="E7" s="506"/>
      <c r="F7" s="580">
        <v>34</v>
      </c>
      <c r="G7" s="511"/>
      <c r="H7" s="580"/>
      <c r="I7" s="506"/>
      <c r="J7" s="580"/>
      <c r="K7" s="506"/>
      <c r="L7" s="580"/>
      <c r="M7" s="511"/>
      <c r="N7" s="580"/>
      <c r="O7" s="506"/>
      <c r="P7" s="580"/>
      <c r="Q7" s="506"/>
      <c r="R7" s="580"/>
      <c r="S7" s="512"/>
    </row>
    <row r="8" spans="1:19" ht="14.4" customHeight="1" x14ac:dyDescent="0.3">
      <c r="A8" s="529" t="s">
        <v>990</v>
      </c>
      <c r="B8" s="580">
        <v>680</v>
      </c>
      <c r="C8" s="506">
        <v>1</v>
      </c>
      <c r="D8" s="580">
        <v>1290</v>
      </c>
      <c r="E8" s="506">
        <v>1.8970588235294117</v>
      </c>
      <c r="F8" s="580">
        <v>2643</v>
      </c>
      <c r="G8" s="511">
        <v>3.8867647058823529</v>
      </c>
      <c r="H8" s="580"/>
      <c r="I8" s="506"/>
      <c r="J8" s="580"/>
      <c r="K8" s="506"/>
      <c r="L8" s="580"/>
      <c r="M8" s="511"/>
      <c r="N8" s="580"/>
      <c r="O8" s="506"/>
      <c r="P8" s="580"/>
      <c r="Q8" s="506"/>
      <c r="R8" s="580"/>
      <c r="S8" s="512"/>
    </row>
    <row r="9" spans="1:19" ht="14.4" customHeight="1" x14ac:dyDescent="0.3">
      <c r="A9" s="529" t="s">
        <v>991</v>
      </c>
      <c r="B9" s="580"/>
      <c r="C9" s="506"/>
      <c r="D9" s="580"/>
      <c r="E9" s="506"/>
      <c r="F9" s="580">
        <v>1290</v>
      </c>
      <c r="G9" s="511"/>
      <c r="H9" s="580"/>
      <c r="I9" s="506"/>
      <c r="J9" s="580"/>
      <c r="K9" s="506"/>
      <c r="L9" s="580"/>
      <c r="M9" s="511"/>
      <c r="N9" s="580"/>
      <c r="O9" s="506"/>
      <c r="P9" s="580"/>
      <c r="Q9" s="506"/>
      <c r="R9" s="580"/>
      <c r="S9" s="512"/>
    </row>
    <row r="10" spans="1:19" ht="14.4" customHeight="1" thickBot="1" x14ac:dyDescent="0.35">
      <c r="A10" s="568" t="s">
        <v>992</v>
      </c>
      <c r="B10" s="567">
        <v>1852973</v>
      </c>
      <c r="C10" s="514">
        <v>1</v>
      </c>
      <c r="D10" s="567"/>
      <c r="E10" s="514"/>
      <c r="F10" s="567"/>
      <c r="G10" s="519"/>
      <c r="H10" s="567"/>
      <c r="I10" s="514"/>
      <c r="J10" s="567"/>
      <c r="K10" s="514"/>
      <c r="L10" s="567"/>
      <c r="M10" s="519"/>
      <c r="N10" s="567"/>
      <c r="O10" s="514"/>
      <c r="P10" s="567"/>
      <c r="Q10" s="514"/>
      <c r="R10" s="567"/>
      <c r="S10" s="5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2" customWidth="1"/>
    <col min="8" max="9" width="9.33203125" style="212" hidden="1" customWidth="1"/>
    <col min="10" max="11" width="11.109375" style="212" customWidth="1"/>
    <col min="12" max="13" width="9.33203125" style="212" hidden="1" customWidth="1"/>
    <col min="14" max="15" width="11.109375" style="212" customWidth="1"/>
    <col min="16" max="16" width="11.109375" style="215" customWidth="1"/>
    <col min="17" max="17" width="11.109375" style="212" customWidth="1"/>
    <col min="18" max="16384" width="8.88671875" style="133"/>
  </cols>
  <sheetData>
    <row r="1" spans="1:17" ht="18.600000000000001" customHeight="1" thickBot="1" x14ac:dyDescent="0.4">
      <c r="A1" s="310" t="s">
        <v>1004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</row>
    <row r="2" spans="1:17" ht="14.4" customHeight="1" thickBot="1" x14ac:dyDescent="0.35">
      <c r="A2" s="240" t="s">
        <v>272</v>
      </c>
      <c r="B2" s="134"/>
      <c r="C2" s="134"/>
      <c r="D2" s="134"/>
      <c r="E2" s="134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4"/>
      <c r="Q2" s="233"/>
    </row>
    <row r="3" spans="1:17" ht="14.4" customHeight="1" thickBot="1" x14ac:dyDescent="0.35">
      <c r="E3" s="87" t="s">
        <v>133</v>
      </c>
      <c r="F3" s="103">
        <f t="shared" ref="F3:O3" si="0">SUBTOTAL(9,F6:F1048576)</f>
        <v>3833</v>
      </c>
      <c r="G3" s="104">
        <f t="shared" si="0"/>
        <v>1854609</v>
      </c>
      <c r="H3" s="104"/>
      <c r="I3" s="104"/>
      <c r="J3" s="104">
        <f t="shared" si="0"/>
        <v>85</v>
      </c>
      <c r="K3" s="104">
        <f t="shared" si="0"/>
        <v>9544</v>
      </c>
      <c r="L3" s="104"/>
      <c r="M3" s="104"/>
      <c r="N3" s="104">
        <f t="shared" si="0"/>
        <v>37</v>
      </c>
      <c r="O3" s="104">
        <f t="shared" si="0"/>
        <v>7152</v>
      </c>
      <c r="P3" s="75">
        <f>IF(G3=0,0,O3/G3)</f>
        <v>3.8563384519324558E-3</v>
      </c>
      <c r="Q3" s="105">
        <f>IF(N3=0,0,O3/N3)</f>
        <v>193.29729729729729</v>
      </c>
    </row>
    <row r="4" spans="1:17" ht="14.4" customHeight="1" x14ac:dyDescent="0.3">
      <c r="A4" s="383" t="s">
        <v>69</v>
      </c>
      <c r="B4" s="382" t="s">
        <v>96</v>
      </c>
      <c r="C4" s="383" t="s">
        <v>97</v>
      </c>
      <c r="D4" s="384" t="s">
        <v>98</v>
      </c>
      <c r="E4" s="385" t="s">
        <v>70</v>
      </c>
      <c r="F4" s="389">
        <v>2012</v>
      </c>
      <c r="G4" s="390"/>
      <c r="H4" s="106"/>
      <c r="I4" s="106"/>
      <c r="J4" s="389">
        <v>2013</v>
      </c>
      <c r="K4" s="390"/>
      <c r="L4" s="106"/>
      <c r="M4" s="106"/>
      <c r="N4" s="389">
        <v>2014</v>
      </c>
      <c r="O4" s="390"/>
      <c r="P4" s="391" t="s">
        <v>2</v>
      </c>
      <c r="Q4" s="381" t="s">
        <v>99</v>
      </c>
    </row>
    <row r="5" spans="1:17" ht="14.4" customHeight="1" thickBot="1" x14ac:dyDescent="0.35">
      <c r="A5" s="572"/>
      <c r="B5" s="571"/>
      <c r="C5" s="572"/>
      <c r="D5" s="573"/>
      <c r="E5" s="574"/>
      <c r="F5" s="581" t="s">
        <v>72</v>
      </c>
      <c r="G5" s="582" t="s">
        <v>14</v>
      </c>
      <c r="H5" s="583"/>
      <c r="I5" s="583"/>
      <c r="J5" s="581" t="s">
        <v>72</v>
      </c>
      <c r="K5" s="582" t="s">
        <v>14</v>
      </c>
      <c r="L5" s="583"/>
      <c r="M5" s="583"/>
      <c r="N5" s="581" t="s">
        <v>72</v>
      </c>
      <c r="O5" s="582" t="s">
        <v>14</v>
      </c>
      <c r="P5" s="584"/>
      <c r="Q5" s="579"/>
    </row>
    <row r="6" spans="1:17" ht="14.4" customHeight="1" x14ac:dyDescent="0.3">
      <c r="A6" s="434" t="s">
        <v>993</v>
      </c>
      <c r="B6" s="435" t="s">
        <v>910</v>
      </c>
      <c r="C6" s="435" t="s">
        <v>929</v>
      </c>
      <c r="D6" s="435" t="s">
        <v>937</v>
      </c>
      <c r="E6" s="435" t="s">
        <v>938</v>
      </c>
      <c r="F6" s="438"/>
      <c r="G6" s="438"/>
      <c r="H6" s="438"/>
      <c r="I6" s="438"/>
      <c r="J6" s="438">
        <v>28</v>
      </c>
      <c r="K6" s="438">
        <v>952</v>
      </c>
      <c r="L6" s="438"/>
      <c r="M6" s="438">
        <v>34</v>
      </c>
      <c r="N6" s="438">
        <v>10</v>
      </c>
      <c r="O6" s="438">
        <v>349</v>
      </c>
      <c r="P6" s="457"/>
      <c r="Q6" s="439">
        <v>34.9</v>
      </c>
    </row>
    <row r="7" spans="1:17" ht="14.4" customHeight="1" x14ac:dyDescent="0.3">
      <c r="A7" s="505" t="s">
        <v>993</v>
      </c>
      <c r="B7" s="506" t="s">
        <v>910</v>
      </c>
      <c r="C7" s="506" t="s">
        <v>929</v>
      </c>
      <c r="D7" s="506" t="s">
        <v>949</v>
      </c>
      <c r="E7" s="506" t="s">
        <v>950</v>
      </c>
      <c r="F7" s="521"/>
      <c r="G7" s="521"/>
      <c r="H7" s="521"/>
      <c r="I7" s="521"/>
      <c r="J7" s="521">
        <v>46</v>
      </c>
      <c r="K7" s="521">
        <v>5382</v>
      </c>
      <c r="L7" s="521"/>
      <c r="M7" s="521">
        <v>117</v>
      </c>
      <c r="N7" s="521">
        <v>14</v>
      </c>
      <c r="O7" s="521">
        <v>1652</v>
      </c>
      <c r="P7" s="511"/>
      <c r="Q7" s="522">
        <v>118</v>
      </c>
    </row>
    <row r="8" spans="1:17" ht="14.4" customHeight="1" x14ac:dyDescent="0.3">
      <c r="A8" s="505" t="s">
        <v>993</v>
      </c>
      <c r="B8" s="506" t="s">
        <v>910</v>
      </c>
      <c r="C8" s="506" t="s">
        <v>929</v>
      </c>
      <c r="D8" s="506" t="s">
        <v>969</v>
      </c>
      <c r="E8" s="506" t="s">
        <v>970</v>
      </c>
      <c r="F8" s="521"/>
      <c r="G8" s="521"/>
      <c r="H8" s="521"/>
      <c r="I8" s="521"/>
      <c r="J8" s="521"/>
      <c r="K8" s="521"/>
      <c r="L8" s="521"/>
      <c r="M8" s="521"/>
      <c r="N8" s="521">
        <v>1</v>
      </c>
      <c r="O8" s="521">
        <v>327</v>
      </c>
      <c r="P8" s="511"/>
      <c r="Q8" s="522">
        <v>327</v>
      </c>
    </row>
    <row r="9" spans="1:17" ht="14.4" customHeight="1" x14ac:dyDescent="0.3">
      <c r="A9" s="505" t="s">
        <v>993</v>
      </c>
      <c r="B9" s="506" t="s">
        <v>910</v>
      </c>
      <c r="C9" s="506" t="s">
        <v>929</v>
      </c>
      <c r="D9" s="506" t="s">
        <v>979</v>
      </c>
      <c r="E9" s="506" t="s">
        <v>980</v>
      </c>
      <c r="F9" s="521">
        <v>4</v>
      </c>
      <c r="G9" s="521">
        <v>956</v>
      </c>
      <c r="H9" s="521">
        <v>1</v>
      </c>
      <c r="I9" s="521">
        <v>239</v>
      </c>
      <c r="J9" s="521">
        <v>8</v>
      </c>
      <c r="K9" s="521">
        <v>1920</v>
      </c>
      <c r="L9" s="521">
        <v>2.00836820083682</v>
      </c>
      <c r="M9" s="521">
        <v>240</v>
      </c>
      <c r="N9" s="521"/>
      <c r="O9" s="521"/>
      <c r="P9" s="511"/>
      <c r="Q9" s="522"/>
    </row>
    <row r="10" spans="1:17" ht="14.4" customHeight="1" x14ac:dyDescent="0.3">
      <c r="A10" s="505" t="s">
        <v>993</v>
      </c>
      <c r="B10" s="506" t="s">
        <v>910</v>
      </c>
      <c r="C10" s="506" t="s">
        <v>929</v>
      </c>
      <c r="D10" s="506" t="s">
        <v>981</v>
      </c>
      <c r="E10" s="506" t="s">
        <v>982</v>
      </c>
      <c r="F10" s="521"/>
      <c r="G10" s="521"/>
      <c r="H10" s="521"/>
      <c r="I10" s="521"/>
      <c r="J10" s="521"/>
      <c r="K10" s="521"/>
      <c r="L10" s="521"/>
      <c r="M10" s="521"/>
      <c r="N10" s="521">
        <v>1</v>
      </c>
      <c r="O10" s="521">
        <v>645</v>
      </c>
      <c r="P10" s="511"/>
      <c r="Q10" s="522">
        <v>645</v>
      </c>
    </row>
    <row r="11" spans="1:17" ht="14.4" customHeight="1" x14ac:dyDescent="0.3">
      <c r="A11" s="505" t="s">
        <v>993</v>
      </c>
      <c r="B11" s="506" t="s">
        <v>910</v>
      </c>
      <c r="C11" s="506" t="s">
        <v>929</v>
      </c>
      <c r="D11" s="506" t="s">
        <v>983</v>
      </c>
      <c r="E11" s="506" t="s">
        <v>984</v>
      </c>
      <c r="F11" s="521"/>
      <c r="G11" s="521"/>
      <c r="H11" s="521"/>
      <c r="I11" s="521"/>
      <c r="J11" s="521"/>
      <c r="K11" s="521"/>
      <c r="L11" s="521"/>
      <c r="M11" s="521"/>
      <c r="N11" s="521">
        <v>1</v>
      </c>
      <c r="O11" s="521">
        <v>212</v>
      </c>
      <c r="P11" s="511"/>
      <c r="Q11" s="522">
        <v>212</v>
      </c>
    </row>
    <row r="12" spans="1:17" ht="14.4" customHeight="1" x14ac:dyDescent="0.3">
      <c r="A12" s="505" t="s">
        <v>994</v>
      </c>
      <c r="B12" s="506" t="s">
        <v>910</v>
      </c>
      <c r="C12" s="506" t="s">
        <v>929</v>
      </c>
      <c r="D12" s="506" t="s">
        <v>937</v>
      </c>
      <c r="E12" s="506" t="s">
        <v>938</v>
      </c>
      <c r="F12" s="521"/>
      <c r="G12" s="521"/>
      <c r="H12" s="521"/>
      <c r="I12" s="521"/>
      <c r="J12" s="521"/>
      <c r="K12" s="521"/>
      <c r="L12" s="521"/>
      <c r="M12" s="521"/>
      <c r="N12" s="521">
        <v>1</v>
      </c>
      <c r="O12" s="521">
        <v>34</v>
      </c>
      <c r="P12" s="511"/>
      <c r="Q12" s="522">
        <v>34</v>
      </c>
    </row>
    <row r="13" spans="1:17" ht="14.4" customHeight="1" x14ac:dyDescent="0.3">
      <c r="A13" s="505" t="s">
        <v>995</v>
      </c>
      <c r="B13" s="506" t="s">
        <v>910</v>
      </c>
      <c r="C13" s="506" t="s">
        <v>929</v>
      </c>
      <c r="D13" s="506" t="s">
        <v>937</v>
      </c>
      <c r="E13" s="506" t="s">
        <v>938</v>
      </c>
      <c r="F13" s="521">
        <v>1</v>
      </c>
      <c r="G13" s="521">
        <v>34</v>
      </c>
      <c r="H13" s="521">
        <v>1</v>
      </c>
      <c r="I13" s="521">
        <v>34</v>
      </c>
      <c r="J13" s="521"/>
      <c r="K13" s="521"/>
      <c r="L13" s="521"/>
      <c r="M13" s="521"/>
      <c r="N13" s="521">
        <v>1</v>
      </c>
      <c r="O13" s="521">
        <v>34</v>
      </c>
      <c r="P13" s="511">
        <v>1</v>
      </c>
      <c r="Q13" s="522">
        <v>34</v>
      </c>
    </row>
    <row r="14" spans="1:17" ht="14.4" customHeight="1" x14ac:dyDescent="0.3">
      <c r="A14" s="505" t="s">
        <v>995</v>
      </c>
      <c r="B14" s="506" t="s">
        <v>910</v>
      </c>
      <c r="C14" s="506" t="s">
        <v>929</v>
      </c>
      <c r="D14" s="506" t="s">
        <v>953</v>
      </c>
      <c r="E14" s="506" t="s">
        <v>954</v>
      </c>
      <c r="F14" s="521">
        <v>1</v>
      </c>
      <c r="G14" s="521">
        <v>0</v>
      </c>
      <c r="H14" s="521"/>
      <c r="I14" s="521">
        <v>0</v>
      </c>
      <c r="J14" s="521">
        <v>1</v>
      </c>
      <c r="K14" s="521">
        <v>0</v>
      </c>
      <c r="L14" s="521"/>
      <c r="M14" s="521">
        <v>0</v>
      </c>
      <c r="N14" s="521"/>
      <c r="O14" s="521"/>
      <c r="P14" s="511"/>
      <c r="Q14" s="522"/>
    </row>
    <row r="15" spans="1:17" ht="14.4" customHeight="1" x14ac:dyDescent="0.3">
      <c r="A15" s="505" t="s">
        <v>995</v>
      </c>
      <c r="B15" s="506" t="s">
        <v>910</v>
      </c>
      <c r="C15" s="506" t="s">
        <v>929</v>
      </c>
      <c r="D15" s="506" t="s">
        <v>955</v>
      </c>
      <c r="E15" s="506" t="s">
        <v>956</v>
      </c>
      <c r="F15" s="521"/>
      <c r="G15" s="521"/>
      <c r="H15" s="521"/>
      <c r="I15" s="521"/>
      <c r="J15" s="521"/>
      <c r="K15" s="521"/>
      <c r="L15" s="521"/>
      <c r="M15" s="521"/>
      <c r="N15" s="521">
        <v>2</v>
      </c>
      <c r="O15" s="521">
        <v>338</v>
      </c>
      <c r="P15" s="511"/>
      <c r="Q15" s="522">
        <v>169</v>
      </c>
    </row>
    <row r="16" spans="1:17" ht="14.4" customHeight="1" x14ac:dyDescent="0.3">
      <c r="A16" s="505" t="s">
        <v>995</v>
      </c>
      <c r="B16" s="506" t="s">
        <v>910</v>
      </c>
      <c r="C16" s="506" t="s">
        <v>929</v>
      </c>
      <c r="D16" s="506" t="s">
        <v>969</v>
      </c>
      <c r="E16" s="506" t="s">
        <v>970</v>
      </c>
      <c r="F16" s="521"/>
      <c r="G16" s="521"/>
      <c r="H16" s="521"/>
      <c r="I16" s="521"/>
      <c r="J16" s="521"/>
      <c r="K16" s="521"/>
      <c r="L16" s="521"/>
      <c r="M16" s="521"/>
      <c r="N16" s="521">
        <v>1</v>
      </c>
      <c r="O16" s="521">
        <v>330</v>
      </c>
      <c r="P16" s="511"/>
      <c r="Q16" s="522">
        <v>330</v>
      </c>
    </row>
    <row r="17" spans="1:17" ht="14.4" customHeight="1" x14ac:dyDescent="0.3">
      <c r="A17" s="505" t="s">
        <v>995</v>
      </c>
      <c r="B17" s="506" t="s">
        <v>910</v>
      </c>
      <c r="C17" s="506" t="s">
        <v>929</v>
      </c>
      <c r="D17" s="506" t="s">
        <v>981</v>
      </c>
      <c r="E17" s="506" t="s">
        <v>982</v>
      </c>
      <c r="F17" s="521">
        <v>1</v>
      </c>
      <c r="G17" s="521">
        <v>646</v>
      </c>
      <c r="H17" s="521">
        <v>1</v>
      </c>
      <c r="I17" s="521">
        <v>646</v>
      </c>
      <c r="J17" s="521">
        <v>2</v>
      </c>
      <c r="K17" s="521">
        <v>1290</v>
      </c>
      <c r="L17" s="521">
        <v>1.9969040247678018</v>
      </c>
      <c r="M17" s="521">
        <v>645</v>
      </c>
      <c r="N17" s="521">
        <v>3</v>
      </c>
      <c r="O17" s="521">
        <v>1941</v>
      </c>
      <c r="P17" s="511">
        <v>3.0046439628482973</v>
      </c>
      <c r="Q17" s="522">
        <v>647</v>
      </c>
    </row>
    <row r="18" spans="1:17" ht="14.4" customHeight="1" x14ac:dyDescent="0.3">
      <c r="A18" s="505" t="s">
        <v>996</v>
      </c>
      <c r="B18" s="506" t="s">
        <v>910</v>
      </c>
      <c r="C18" s="506" t="s">
        <v>929</v>
      </c>
      <c r="D18" s="506" t="s">
        <v>981</v>
      </c>
      <c r="E18" s="506" t="s">
        <v>982</v>
      </c>
      <c r="F18" s="521"/>
      <c r="G18" s="521"/>
      <c r="H18" s="521"/>
      <c r="I18" s="521"/>
      <c r="J18" s="521"/>
      <c r="K18" s="521"/>
      <c r="L18" s="521"/>
      <c r="M18" s="521"/>
      <c r="N18" s="521">
        <v>2</v>
      </c>
      <c r="O18" s="521">
        <v>1290</v>
      </c>
      <c r="P18" s="511"/>
      <c r="Q18" s="522">
        <v>645</v>
      </c>
    </row>
    <row r="19" spans="1:17" ht="14.4" customHeight="1" x14ac:dyDescent="0.3">
      <c r="A19" s="505" t="s">
        <v>425</v>
      </c>
      <c r="B19" s="506" t="s">
        <v>910</v>
      </c>
      <c r="C19" s="506" t="s">
        <v>929</v>
      </c>
      <c r="D19" s="506" t="s">
        <v>937</v>
      </c>
      <c r="E19" s="506" t="s">
        <v>938</v>
      </c>
      <c r="F19" s="521">
        <v>212</v>
      </c>
      <c r="G19" s="521">
        <v>7208</v>
      </c>
      <c r="H19" s="521">
        <v>1</v>
      </c>
      <c r="I19" s="521">
        <v>34</v>
      </c>
      <c r="J19" s="521"/>
      <c r="K19" s="521"/>
      <c r="L19" s="521"/>
      <c r="M19" s="521"/>
      <c r="N19" s="521"/>
      <c r="O19" s="521"/>
      <c r="P19" s="511"/>
      <c r="Q19" s="522"/>
    </row>
    <row r="20" spans="1:17" ht="14.4" customHeight="1" x14ac:dyDescent="0.3">
      <c r="A20" s="505" t="s">
        <v>425</v>
      </c>
      <c r="B20" s="506" t="s">
        <v>910</v>
      </c>
      <c r="C20" s="506" t="s">
        <v>929</v>
      </c>
      <c r="D20" s="506" t="s">
        <v>941</v>
      </c>
      <c r="E20" s="506" t="s">
        <v>942</v>
      </c>
      <c r="F20" s="521">
        <v>81</v>
      </c>
      <c r="G20" s="521">
        <v>405</v>
      </c>
      <c r="H20" s="521">
        <v>1</v>
      </c>
      <c r="I20" s="521">
        <v>5</v>
      </c>
      <c r="J20" s="521"/>
      <c r="K20" s="521"/>
      <c r="L20" s="521"/>
      <c r="M20" s="521"/>
      <c r="N20" s="521"/>
      <c r="O20" s="521"/>
      <c r="P20" s="511"/>
      <c r="Q20" s="522"/>
    </row>
    <row r="21" spans="1:17" ht="14.4" customHeight="1" x14ac:dyDescent="0.3">
      <c r="A21" s="505" t="s">
        <v>425</v>
      </c>
      <c r="B21" s="506" t="s">
        <v>910</v>
      </c>
      <c r="C21" s="506" t="s">
        <v>929</v>
      </c>
      <c r="D21" s="506" t="s">
        <v>955</v>
      </c>
      <c r="E21" s="506" t="s">
        <v>956</v>
      </c>
      <c r="F21" s="521">
        <v>23</v>
      </c>
      <c r="G21" s="521">
        <v>3841</v>
      </c>
      <c r="H21" s="521">
        <v>1</v>
      </c>
      <c r="I21" s="521">
        <v>167</v>
      </c>
      <c r="J21" s="521"/>
      <c r="K21" s="521"/>
      <c r="L21" s="521"/>
      <c r="M21" s="521"/>
      <c r="N21" s="521"/>
      <c r="O21" s="521"/>
      <c r="P21" s="511"/>
      <c r="Q21" s="522"/>
    </row>
    <row r="22" spans="1:17" ht="14.4" customHeight="1" x14ac:dyDescent="0.3">
      <c r="A22" s="505" t="s">
        <v>425</v>
      </c>
      <c r="B22" s="506" t="s">
        <v>910</v>
      </c>
      <c r="C22" s="506" t="s">
        <v>929</v>
      </c>
      <c r="D22" s="506" t="s">
        <v>979</v>
      </c>
      <c r="E22" s="506" t="s">
        <v>980</v>
      </c>
      <c r="F22" s="521">
        <v>14</v>
      </c>
      <c r="G22" s="521">
        <v>3346</v>
      </c>
      <c r="H22" s="521">
        <v>1</v>
      </c>
      <c r="I22" s="521">
        <v>239</v>
      </c>
      <c r="J22" s="521"/>
      <c r="K22" s="521"/>
      <c r="L22" s="521"/>
      <c r="M22" s="521"/>
      <c r="N22" s="521"/>
      <c r="O22" s="521"/>
      <c r="P22" s="511"/>
      <c r="Q22" s="522"/>
    </row>
    <row r="23" spans="1:17" ht="14.4" customHeight="1" x14ac:dyDescent="0.3">
      <c r="A23" s="505" t="s">
        <v>425</v>
      </c>
      <c r="B23" s="506" t="s">
        <v>997</v>
      </c>
      <c r="C23" s="506" t="s">
        <v>929</v>
      </c>
      <c r="D23" s="506" t="s">
        <v>998</v>
      </c>
      <c r="E23" s="506" t="s">
        <v>999</v>
      </c>
      <c r="F23" s="521">
        <v>1400</v>
      </c>
      <c r="G23" s="521">
        <v>1600484</v>
      </c>
      <c r="H23" s="521">
        <v>1</v>
      </c>
      <c r="I23" s="521">
        <v>1143.2028571428571</v>
      </c>
      <c r="J23" s="521"/>
      <c r="K23" s="521"/>
      <c r="L23" s="521"/>
      <c r="M23" s="521"/>
      <c r="N23" s="521"/>
      <c r="O23" s="521"/>
      <c r="P23" s="511"/>
      <c r="Q23" s="522"/>
    </row>
    <row r="24" spans="1:17" ht="14.4" customHeight="1" x14ac:dyDescent="0.3">
      <c r="A24" s="505" t="s">
        <v>425</v>
      </c>
      <c r="B24" s="506" t="s">
        <v>997</v>
      </c>
      <c r="C24" s="506" t="s">
        <v>929</v>
      </c>
      <c r="D24" s="506" t="s">
        <v>945</v>
      </c>
      <c r="E24" s="506" t="s">
        <v>946</v>
      </c>
      <c r="F24" s="521">
        <v>16</v>
      </c>
      <c r="G24" s="521">
        <v>1088</v>
      </c>
      <c r="H24" s="521">
        <v>1</v>
      </c>
      <c r="I24" s="521">
        <v>68</v>
      </c>
      <c r="J24" s="521"/>
      <c r="K24" s="521"/>
      <c r="L24" s="521"/>
      <c r="M24" s="521"/>
      <c r="N24" s="521"/>
      <c r="O24" s="521"/>
      <c r="P24" s="511"/>
      <c r="Q24" s="522"/>
    </row>
    <row r="25" spans="1:17" ht="14.4" customHeight="1" x14ac:dyDescent="0.3">
      <c r="A25" s="505" t="s">
        <v>425</v>
      </c>
      <c r="B25" s="506" t="s">
        <v>997</v>
      </c>
      <c r="C25" s="506" t="s">
        <v>929</v>
      </c>
      <c r="D25" s="506" t="s">
        <v>949</v>
      </c>
      <c r="E25" s="506" t="s">
        <v>950</v>
      </c>
      <c r="F25" s="521">
        <v>224</v>
      </c>
      <c r="G25" s="521">
        <v>25984</v>
      </c>
      <c r="H25" s="521">
        <v>1</v>
      </c>
      <c r="I25" s="521">
        <v>116</v>
      </c>
      <c r="J25" s="521"/>
      <c r="K25" s="521"/>
      <c r="L25" s="521"/>
      <c r="M25" s="521"/>
      <c r="N25" s="521"/>
      <c r="O25" s="521"/>
      <c r="P25" s="511"/>
      <c r="Q25" s="522"/>
    </row>
    <row r="26" spans="1:17" ht="14.4" customHeight="1" x14ac:dyDescent="0.3">
      <c r="A26" s="505" t="s">
        <v>425</v>
      </c>
      <c r="B26" s="506" t="s">
        <v>997</v>
      </c>
      <c r="C26" s="506" t="s">
        <v>929</v>
      </c>
      <c r="D26" s="506" t="s">
        <v>1000</v>
      </c>
      <c r="E26" s="506" t="s">
        <v>1001</v>
      </c>
      <c r="F26" s="521">
        <v>0</v>
      </c>
      <c r="G26" s="521">
        <v>0</v>
      </c>
      <c r="H26" s="521"/>
      <c r="I26" s="521"/>
      <c r="J26" s="521"/>
      <c r="K26" s="521"/>
      <c r="L26" s="521"/>
      <c r="M26" s="521"/>
      <c r="N26" s="521"/>
      <c r="O26" s="521"/>
      <c r="P26" s="511"/>
      <c r="Q26" s="522"/>
    </row>
    <row r="27" spans="1:17" ht="14.4" customHeight="1" x14ac:dyDescent="0.3">
      <c r="A27" s="505" t="s">
        <v>425</v>
      </c>
      <c r="B27" s="506" t="s">
        <v>997</v>
      </c>
      <c r="C27" s="506" t="s">
        <v>929</v>
      </c>
      <c r="D27" s="506" t="s">
        <v>1002</v>
      </c>
      <c r="E27" s="506" t="s">
        <v>1003</v>
      </c>
      <c r="F27" s="521">
        <v>1394</v>
      </c>
      <c r="G27" s="521">
        <v>0</v>
      </c>
      <c r="H27" s="521"/>
      <c r="I27" s="521">
        <v>0</v>
      </c>
      <c r="J27" s="521"/>
      <c r="K27" s="521"/>
      <c r="L27" s="521"/>
      <c r="M27" s="521"/>
      <c r="N27" s="521"/>
      <c r="O27" s="521"/>
      <c r="P27" s="511"/>
      <c r="Q27" s="522"/>
    </row>
    <row r="28" spans="1:17" ht="14.4" customHeight="1" x14ac:dyDescent="0.3">
      <c r="A28" s="505" t="s">
        <v>425</v>
      </c>
      <c r="B28" s="506" t="s">
        <v>997</v>
      </c>
      <c r="C28" s="506" t="s">
        <v>929</v>
      </c>
      <c r="D28" s="506" t="s">
        <v>969</v>
      </c>
      <c r="E28" s="506" t="s">
        <v>970</v>
      </c>
      <c r="F28" s="521">
        <v>205</v>
      </c>
      <c r="G28" s="521">
        <v>67650</v>
      </c>
      <c r="H28" s="521">
        <v>1</v>
      </c>
      <c r="I28" s="521">
        <v>330</v>
      </c>
      <c r="J28" s="521"/>
      <c r="K28" s="521"/>
      <c r="L28" s="521"/>
      <c r="M28" s="521"/>
      <c r="N28" s="521"/>
      <c r="O28" s="521"/>
      <c r="P28" s="511"/>
      <c r="Q28" s="522"/>
    </row>
    <row r="29" spans="1:17" ht="14.4" customHeight="1" x14ac:dyDescent="0.3">
      <c r="A29" s="505" t="s">
        <v>425</v>
      </c>
      <c r="B29" s="506" t="s">
        <v>997</v>
      </c>
      <c r="C29" s="506" t="s">
        <v>929</v>
      </c>
      <c r="D29" s="506" t="s">
        <v>981</v>
      </c>
      <c r="E29" s="506" t="s">
        <v>982</v>
      </c>
      <c r="F29" s="521">
        <v>204</v>
      </c>
      <c r="G29" s="521">
        <v>131784</v>
      </c>
      <c r="H29" s="521">
        <v>1</v>
      </c>
      <c r="I29" s="521">
        <v>646</v>
      </c>
      <c r="J29" s="521"/>
      <c r="K29" s="521"/>
      <c r="L29" s="521"/>
      <c r="M29" s="521"/>
      <c r="N29" s="521"/>
      <c r="O29" s="521"/>
      <c r="P29" s="511"/>
      <c r="Q29" s="522"/>
    </row>
    <row r="30" spans="1:17" ht="14.4" customHeight="1" thickBot="1" x14ac:dyDescent="0.35">
      <c r="A30" s="513" t="s">
        <v>425</v>
      </c>
      <c r="B30" s="514" t="s">
        <v>997</v>
      </c>
      <c r="C30" s="514" t="s">
        <v>929</v>
      </c>
      <c r="D30" s="514" t="s">
        <v>983</v>
      </c>
      <c r="E30" s="514" t="s">
        <v>984</v>
      </c>
      <c r="F30" s="523">
        <v>53</v>
      </c>
      <c r="G30" s="523">
        <v>11183</v>
      </c>
      <c r="H30" s="523">
        <v>1</v>
      </c>
      <c r="I30" s="523">
        <v>211</v>
      </c>
      <c r="J30" s="523"/>
      <c r="K30" s="523"/>
      <c r="L30" s="523"/>
      <c r="M30" s="523"/>
      <c r="N30" s="523"/>
      <c r="O30" s="523"/>
      <c r="P30" s="519"/>
      <c r="Q30" s="52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5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5" customWidth="1"/>
    <col min="14" max="16384" width="8.88671875" style="133"/>
  </cols>
  <sheetData>
    <row r="1" spans="1:13" ht="18.600000000000001" customHeight="1" thickBot="1" x14ac:dyDescent="0.4">
      <c r="A1" s="319" t="s">
        <v>132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3" ht="14.4" customHeight="1" thickBot="1" x14ac:dyDescent="0.35">
      <c r="A2" s="240" t="s">
        <v>272</v>
      </c>
      <c r="B2" s="231"/>
      <c r="C2" s="114"/>
      <c r="D2" s="231"/>
      <c r="E2" s="114"/>
      <c r="F2" s="231"/>
      <c r="G2" s="232"/>
      <c r="H2" s="231"/>
      <c r="I2" s="114"/>
      <c r="J2" s="231"/>
      <c r="K2" s="114"/>
      <c r="L2" s="231"/>
      <c r="M2" s="232"/>
    </row>
    <row r="3" spans="1:13" ht="14.4" customHeight="1" thickBot="1" x14ac:dyDescent="0.35">
      <c r="A3" s="225" t="s">
        <v>133</v>
      </c>
      <c r="B3" s="226">
        <f>SUBTOTAL(9,B6:B1048576)</f>
        <v>73059</v>
      </c>
      <c r="C3" s="227">
        <f t="shared" ref="C3:L3" si="0">SUBTOTAL(9,C6:C1048576)</f>
        <v>7</v>
      </c>
      <c r="D3" s="227">
        <f t="shared" si="0"/>
        <v>0</v>
      </c>
      <c r="E3" s="227">
        <f t="shared" si="0"/>
        <v>0</v>
      </c>
      <c r="F3" s="227">
        <f t="shared" si="0"/>
        <v>0</v>
      </c>
      <c r="G3" s="230">
        <f>IF(B3&lt;&gt;0,F3/B3,"")</f>
        <v>0</v>
      </c>
      <c r="H3" s="226">
        <f t="shared" si="0"/>
        <v>13438.609999999999</v>
      </c>
      <c r="I3" s="227">
        <f t="shared" si="0"/>
        <v>2</v>
      </c>
      <c r="J3" s="227">
        <f t="shared" si="0"/>
        <v>0</v>
      </c>
      <c r="K3" s="227">
        <f t="shared" si="0"/>
        <v>0</v>
      </c>
      <c r="L3" s="227">
        <f t="shared" si="0"/>
        <v>0</v>
      </c>
      <c r="M3" s="228">
        <f>IF(H3&lt;&gt;0,L3/H3,"")</f>
        <v>0</v>
      </c>
    </row>
    <row r="4" spans="1:13" ht="14.4" customHeight="1" x14ac:dyDescent="0.3">
      <c r="A4" s="392" t="s">
        <v>95</v>
      </c>
      <c r="B4" s="378" t="s">
        <v>101</v>
      </c>
      <c r="C4" s="379"/>
      <c r="D4" s="379"/>
      <c r="E4" s="379"/>
      <c r="F4" s="379"/>
      <c r="G4" s="380"/>
      <c r="H4" s="378" t="s">
        <v>102</v>
      </c>
      <c r="I4" s="379"/>
      <c r="J4" s="379"/>
      <c r="K4" s="379"/>
      <c r="L4" s="379"/>
      <c r="M4" s="380"/>
    </row>
    <row r="5" spans="1:13" s="213" customFormat="1" ht="14.4" customHeight="1" thickBot="1" x14ac:dyDescent="0.35">
      <c r="A5" s="585"/>
      <c r="B5" s="586">
        <v>2012</v>
      </c>
      <c r="C5" s="587"/>
      <c r="D5" s="587">
        <v>2013</v>
      </c>
      <c r="E5" s="587"/>
      <c r="F5" s="587">
        <v>2014</v>
      </c>
      <c r="G5" s="565" t="s">
        <v>2</v>
      </c>
      <c r="H5" s="586">
        <v>2012</v>
      </c>
      <c r="I5" s="587"/>
      <c r="J5" s="587">
        <v>2013</v>
      </c>
      <c r="K5" s="587"/>
      <c r="L5" s="587">
        <v>2014</v>
      </c>
      <c r="M5" s="565" t="s">
        <v>2</v>
      </c>
    </row>
    <row r="6" spans="1:13" ht="14.4" customHeight="1" x14ac:dyDescent="0.3">
      <c r="A6" s="528" t="s">
        <v>1005</v>
      </c>
      <c r="B6" s="566"/>
      <c r="C6" s="435"/>
      <c r="D6" s="566"/>
      <c r="E6" s="435"/>
      <c r="F6" s="566"/>
      <c r="G6" s="457"/>
      <c r="H6" s="566">
        <v>12572.48</v>
      </c>
      <c r="I6" s="435">
        <v>1</v>
      </c>
      <c r="J6" s="566"/>
      <c r="K6" s="435"/>
      <c r="L6" s="566"/>
      <c r="M6" s="488"/>
    </row>
    <row r="7" spans="1:13" ht="14.4" customHeight="1" x14ac:dyDescent="0.3">
      <c r="A7" s="529" t="s">
        <v>1006</v>
      </c>
      <c r="B7" s="580">
        <v>7554</v>
      </c>
      <c r="C7" s="506">
        <v>1</v>
      </c>
      <c r="D7" s="580"/>
      <c r="E7" s="506"/>
      <c r="F7" s="580"/>
      <c r="G7" s="511"/>
      <c r="H7" s="580"/>
      <c r="I7" s="506"/>
      <c r="J7" s="580"/>
      <c r="K7" s="506"/>
      <c r="L7" s="580"/>
      <c r="M7" s="512"/>
    </row>
    <row r="8" spans="1:13" ht="14.4" customHeight="1" x14ac:dyDescent="0.3">
      <c r="A8" s="529" t="s">
        <v>1007</v>
      </c>
      <c r="B8" s="580">
        <v>32236</v>
      </c>
      <c r="C8" s="506">
        <v>1</v>
      </c>
      <c r="D8" s="580"/>
      <c r="E8" s="506"/>
      <c r="F8" s="580"/>
      <c r="G8" s="511"/>
      <c r="H8" s="580"/>
      <c r="I8" s="506"/>
      <c r="J8" s="580"/>
      <c r="K8" s="506"/>
      <c r="L8" s="580"/>
      <c r="M8" s="512"/>
    </row>
    <row r="9" spans="1:13" ht="14.4" customHeight="1" x14ac:dyDescent="0.3">
      <c r="A9" s="529" t="s">
        <v>1008</v>
      </c>
      <c r="B9" s="580">
        <v>7808</v>
      </c>
      <c r="C9" s="506">
        <v>1</v>
      </c>
      <c r="D9" s="580"/>
      <c r="E9" s="506"/>
      <c r="F9" s="580"/>
      <c r="G9" s="511"/>
      <c r="H9" s="580"/>
      <c r="I9" s="506"/>
      <c r="J9" s="580"/>
      <c r="K9" s="506"/>
      <c r="L9" s="580"/>
      <c r="M9" s="512"/>
    </row>
    <row r="10" spans="1:13" ht="14.4" customHeight="1" x14ac:dyDescent="0.3">
      <c r="A10" s="529" t="s">
        <v>1009</v>
      </c>
      <c r="B10" s="580">
        <v>4651</v>
      </c>
      <c r="C10" s="506">
        <v>1</v>
      </c>
      <c r="D10" s="580"/>
      <c r="E10" s="506"/>
      <c r="F10" s="580"/>
      <c r="G10" s="511"/>
      <c r="H10" s="580"/>
      <c r="I10" s="506"/>
      <c r="J10" s="580"/>
      <c r="K10" s="506"/>
      <c r="L10" s="580"/>
      <c r="M10" s="512"/>
    </row>
    <row r="11" spans="1:13" ht="14.4" customHeight="1" x14ac:dyDescent="0.3">
      <c r="A11" s="529" t="s">
        <v>1010</v>
      </c>
      <c r="B11" s="580">
        <v>1010</v>
      </c>
      <c r="C11" s="506">
        <v>1</v>
      </c>
      <c r="D11" s="580"/>
      <c r="E11" s="506"/>
      <c r="F11" s="580"/>
      <c r="G11" s="511"/>
      <c r="H11" s="580"/>
      <c r="I11" s="506"/>
      <c r="J11" s="580"/>
      <c r="K11" s="506"/>
      <c r="L11" s="580"/>
      <c r="M11" s="512"/>
    </row>
    <row r="12" spans="1:13" ht="14.4" customHeight="1" x14ac:dyDescent="0.3">
      <c r="A12" s="529" t="s">
        <v>1011</v>
      </c>
      <c r="B12" s="580">
        <v>2375</v>
      </c>
      <c r="C12" s="506">
        <v>1</v>
      </c>
      <c r="D12" s="580"/>
      <c r="E12" s="506"/>
      <c r="F12" s="580"/>
      <c r="G12" s="511"/>
      <c r="H12" s="580"/>
      <c r="I12" s="506"/>
      <c r="J12" s="580"/>
      <c r="K12" s="506"/>
      <c r="L12" s="580"/>
      <c r="M12" s="512"/>
    </row>
    <row r="13" spans="1:13" ht="14.4" customHeight="1" thickBot="1" x14ac:dyDescent="0.35">
      <c r="A13" s="568" t="s">
        <v>1012</v>
      </c>
      <c r="B13" s="567">
        <v>17425</v>
      </c>
      <c r="C13" s="514">
        <v>1</v>
      </c>
      <c r="D13" s="567"/>
      <c r="E13" s="514"/>
      <c r="F13" s="567"/>
      <c r="G13" s="519"/>
      <c r="H13" s="567">
        <v>866.13</v>
      </c>
      <c r="I13" s="514">
        <v>1</v>
      </c>
      <c r="J13" s="567"/>
      <c r="K13" s="514"/>
      <c r="L13" s="567"/>
      <c r="M13" s="5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8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2" customWidth="1"/>
    <col min="8" max="9" width="9.33203125" style="212" hidden="1" customWidth="1"/>
    <col min="10" max="11" width="11.109375" style="212" customWidth="1"/>
    <col min="12" max="13" width="9.33203125" style="212" hidden="1" customWidth="1"/>
    <col min="14" max="15" width="11.109375" style="212" customWidth="1"/>
    <col min="16" max="16" width="11.109375" style="215" customWidth="1"/>
    <col min="17" max="17" width="11.109375" style="212" customWidth="1"/>
    <col min="18" max="16384" width="8.88671875" style="133"/>
  </cols>
  <sheetData>
    <row r="1" spans="1:17" ht="18.600000000000001" customHeight="1" thickBot="1" x14ac:dyDescent="0.4">
      <c r="A1" s="319" t="s">
        <v>1191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</row>
    <row r="2" spans="1:17" ht="14.4" customHeight="1" thickBot="1" x14ac:dyDescent="0.35">
      <c r="A2" s="240" t="s">
        <v>272</v>
      </c>
      <c r="B2" s="114"/>
      <c r="C2" s="114"/>
      <c r="D2" s="114"/>
      <c r="E2" s="114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2"/>
      <c r="Q2" s="235"/>
    </row>
    <row r="3" spans="1:17" ht="14.4" customHeight="1" thickBot="1" x14ac:dyDescent="0.35">
      <c r="E3" s="87" t="s">
        <v>133</v>
      </c>
      <c r="F3" s="103">
        <f t="shared" ref="F3:O3" si="0">SUBTOTAL(9,F6:F1048576)</f>
        <v>914.08</v>
      </c>
      <c r="G3" s="107">
        <f t="shared" si="0"/>
        <v>86497.609999999986</v>
      </c>
      <c r="H3" s="108"/>
      <c r="I3" s="108"/>
      <c r="J3" s="103">
        <f t="shared" si="0"/>
        <v>0</v>
      </c>
      <c r="K3" s="107">
        <f t="shared" si="0"/>
        <v>0</v>
      </c>
      <c r="L3" s="108"/>
      <c r="M3" s="108"/>
      <c r="N3" s="103">
        <f t="shared" si="0"/>
        <v>0</v>
      </c>
      <c r="O3" s="107">
        <f t="shared" si="0"/>
        <v>0</v>
      </c>
      <c r="P3" s="88">
        <f>IF(G3=0,"",O3/G3)</f>
        <v>0</v>
      </c>
      <c r="Q3" s="105" t="str">
        <f>IF(N3=0,"",O3/N3)</f>
        <v/>
      </c>
    </row>
    <row r="4" spans="1:17" ht="14.4" customHeight="1" x14ac:dyDescent="0.3">
      <c r="A4" s="383" t="s">
        <v>69</v>
      </c>
      <c r="B4" s="382" t="s">
        <v>96</v>
      </c>
      <c r="C4" s="383" t="s">
        <v>97</v>
      </c>
      <c r="D4" s="384" t="s">
        <v>71</v>
      </c>
      <c r="E4" s="385" t="s">
        <v>11</v>
      </c>
      <c r="F4" s="389">
        <v>2012</v>
      </c>
      <c r="G4" s="390"/>
      <c r="H4" s="106"/>
      <c r="I4" s="106"/>
      <c r="J4" s="389">
        <v>2013</v>
      </c>
      <c r="K4" s="390"/>
      <c r="L4" s="106"/>
      <c r="M4" s="106"/>
      <c r="N4" s="389">
        <v>2014</v>
      </c>
      <c r="O4" s="390"/>
      <c r="P4" s="391" t="s">
        <v>2</v>
      </c>
      <c r="Q4" s="381" t="s">
        <v>99</v>
      </c>
    </row>
    <row r="5" spans="1:17" ht="14.4" customHeight="1" thickBot="1" x14ac:dyDescent="0.35">
      <c r="A5" s="572"/>
      <c r="B5" s="571"/>
      <c r="C5" s="572"/>
      <c r="D5" s="573"/>
      <c r="E5" s="574"/>
      <c r="F5" s="581" t="s">
        <v>72</v>
      </c>
      <c r="G5" s="582" t="s">
        <v>14</v>
      </c>
      <c r="H5" s="583"/>
      <c r="I5" s="583"/>
      <c r="J5" s="581" t="s">
        <v>72</v>
      </c>
      <c r="K5" s="582" t="s">
        <v>14</v>
      </c>
      <c r="L5" s="583"/>
      <c r="M5" s="583"/>
      <c r="N5" s="581" t="s">
        <v>72</v>
      </c>
      <c r="O5" s="582" t="s">
        <v>14</v>
      </c>
      <c r="P5" s="584"/>
      <c r="Q5" s="579"/>
    </row>
    <row r="6" spans="1:17" ht="14.4" customHeight="1" x14ac:dyDescent="0.3">
      <c r="A6" s="434" t="s">
        <v>1013</v>
      </c>
      <c r="B6" s="435" t="s">
        <v>1014</v>
      </c>
      <c r="C6" s="435" t="s">
        <v>1015</v>
      </c>
      <c r="D6" s="435" t="s">
        <v>1016</v>
      </c>
      <c r="E6" s="435" t="s">
        <v>906</v>
      </c>
      <c r="F6" s="438">
        <v>404</v>
      </c>
      <c r="G6" s="438">
        <v>12572.48</v>
      </c>
      <c r="H6" s="438">
        <v>1</v>
      </c>
      <c r="I6" s="438">
        <v>31.119999999999997</v>
      </c>
      <c r="J6" s="438"/>
      <c r="K6" s="438"/>
      <c r="L6" s="438"/>
      <c r="M6" s="438"/>
      <c r="N6" s="438"/>
      <c r="O6" s="438"/>
      <c r="P6" s="457"/>
      <c r="Q6" s="439"/>
    </row>
    <row r="7" spans="1:17" ht="14.4" customHeight="1" x14ac:dyDescent="0.3">
      <c r="A7" s="505" t="s">
        <v>1017</v>
      </c>
      <c r="B7" s="506" t="s">
        <v>1018</v>
      </c>
      <c r="C7" s="506" t="s">
        <v>929</v>
      </c>
      <c r="D7" s="506" t="s">
        <v>1019</v>
      </c>
      <c r="E7" s="506" t="s">
        <v>1020</v>
      </c>
      <c r="F7" s="521">
        <v>100</v>
      </c>
      <c r="G7" s="521">
        <v>6400</v>
      </c>
      <c r="H7" s="521">
        <v>1</v>
      </c>
      <c r="I7" s="521">
        <v>64</v>
      </c>
      <c r="J7" s="521"/>
      <c r="K7" s="521"/>
      <c r="L7" s="521"/>
      <c r="M7" s="521"/>
      <c r="N7" s="521"/>
      <c r="O7" s="521"/>
      <c r="P7" s="511"/>
      <c r="Q7" s="522"/>
    </row>
    <row r="8" spans="1:17" ht="14.4" customHeight="1" x14ac:dyDescent="0.3">
      <c r="A8" s="505" t="s">
        <v>1017</v>
      </c>
      <c r="B8" s="506" t="s">
        <v>1018</v>
      </c>
      <c r="C8" s="506" t="s">
        <v>929</v>
      </c>
      <c r="D8" s="506" t="s">
        <v>1021</v>
      </c>
      <c r="E8" s="506" t="s">
        <v>1022</v>
      </c>
      <c r="F8" s="521">
        <v>5</v>
      </c>
      <c r="G8" s="521">
        <v>385</v>
      </c>
      <c r="H8" s="521">
        <v>1</v>
      </c>
      <c r="I8" s="521">
        <v>77</v>
      </c>
      <c r="J8" s="521"/>
      <c r="K8" s="521"/>
      <c r="L8" s="521"/>
      <c r="M8" s="521"/>
      <c r="N8" s="521"/>
      <c r="O8" s="521"/>
      <c r="P8" s="511"/>
      <c r="Q8" s="522"/>
    </row>
    <row r="9" spans="1:17" ht="14.4" customHeight="1" x14ac:dyDescent="0.3">
      <c r="A9" s="505" t="s">
        <v>1017</v>
      </c>
      <c r="B9" s="506" t="s">
        <v>1018</v>
      </c>
      <c r="C9" s="506" t="s">
        <v>929</v>
      </c>
      <c r="D9" s="506" t="s">
        <v>1023</v>
      </c>
      <c r="E9" s="506" t="s">
        <v>1024</v>
      </c>
      <c r="F9" s="521">
        <v>3</v>
      </c>
      <c r="G9" s="521">
        <v>66</v>
      </c>
      <c r="H9" s="521">
        <v>1</v>
      </c>
      <c r="I9" s="521">
        <v>22</v>
      </c>
      <c r="J9" s="521"/>
      <c r="K9" s="521"/>
      <c r="L9" s="521"/>
      <c r="M9" s="521"/>
      <c r="N9" s="521"/>
      <c r="O9" s="521"/>
      <c r="P9" s="511"/>
      <c r="Q9" s="522"/>
    </row>
    <row r="10" spans="1:17" ht="14.4" customHeight="1" x14ac:dyDescent="0.3">
      <c r="A10" s="505" t="s">
        <v>1017</v>
      </c>
      <c r="B10" s="506" t="s">
        <v>1018</v>
      </c>
      <c r="C10" s="506" t="s">
        <v>929</v>
      </c>
      <c r="D10" s="506" t="s">
        <v>1025</v>
      </c>
      <c r="E10" s="506" t="s">
        <v>1026</v>
      </c>
      <c r="F10" s="521">
        <v>2</v>
      </c>
      <c r="G10" s="521">
        <v>418</v>
      </c>
      <c r="H10" s="521">
        <v>1</v>
      </c>
      <c r="I10" s="521">
        <v>209</v>
      </c>
      <c r="J10" s="521"/>
      <c r="K10" s="521"/>
      <c r="L10" s="521"/>
      <c r="M10" s="521"/>
      <c r="N10" s="521"/>
      <c r="O10" s="521"/>
      <c r="P10" s="511"/>
      <c r="Q10" s="522"/>
    </row>
    <row r="11" spans="1:17" ht="14.4" customHeight="1" x14ac:dyDescent="0.3">
      <c r="A11" s="505" t="s">
        <v>1017</v>
      </c>
      <c r="B11" s="506" t="s">
        <v>1018</v>
      </c>
      <c r="C11" s="506" t="s">
        <v>929</v>
      </c>
      <c r="D11" s="506" t="s">
        <v>1027</v>
      </c>
      <c r="E11" s="506" t="s">
        <v>1028</v>
      </c>
      <c r="F11" s="521">
        <v>3</v>
      </c>
      <c r="G11" s="521">
        <v>69</v>
      </c>
      <c r="H11" s="521">
        <v>1</v>
      </c>
      <c r="I11" s="521">
        <v>23</v>
      </c>
      <c r="J11" s="521"/>
      <c r="K11" s="521"/>
      <c r="L11" s="521"/>
      <c r="M11" s="521"/>
      <c r="N11" s="521"/>
      <c r="O11" s="521"/>
      <c r="P11" s="511"/>
      <c r="Q11" s="522"/>
    </row>
    <row r="12" spans="1:17" ht="14.4" customHeight="1" x14ac:dyDescent="0.3">
      <c r="A12" s="505" t="s">
        <v>1017</v>
      </c>
      <c r="B12" s="506" t="s">
        <v>1018</v>
      </c>
      <c r="C12" s="506" t="s">
        <v>929</v>
      </c>
      <c r="D12" s="506" t="s">
        <v>1029</v>
      </c>
      <c r="E12" s="506" t="s">
        <v>1030</v>
      </c>
      <c r="F12" s="521">
        <v>1</v>
      </c>
      <c r="G12" s="521">
        <v>216</v>
      </c>
      <c r="H12" s="521">
        <v>1</v>
      </c>
      <c r="I12" s="521">
        <v>216</v>
      </c>
      <c r="J12" s="521"/>
      <c r="K12" s="521"/>
      <c r="L12" s="521"/>
      <c r="M12" s="521"/>
      <c r="N12" s="521"/>
      <c r="O12" s="521"/>
      <c r="P12" s="511"/>
      <c r="Q12" s="522"/>
    </row>
    <row r="13" spans="1:17" ht="14.4" customHeight="1" x14ac:dyDescent="0.3">
      <c r="A13" s="505" t="s">
        <v>1031</v>
      </c>
      <c r="B13" s="506" t="s">
        <v>1032</v>
      </c>
      <c r="C13" s="506" t="s">
        <v>929</v>
      </c>
      <c r="D13" s="506" t="s">
        <v>1033</v>
      </c>
      <c r="E13" s="506" t="s">
        <v>1034</v>
      </c>
      <c r="F13" s="521">
        <v>2</v>
      </c>
      <c r="G13" s="521">
        <v>54</v>
      </c>
      <c r="H13" s="521">
        <v>1</v>
      </c>
      <c r="I13" s="521">
        <v>27</v>
      </c>
      <c r="J13" s="521"/>
      <c r="K13" s="521"/>
      <c r="L13" s="521"/>
      <c r="M13" s="521"/>
      <c r="N13" s="521"/>
      <c r="O13" s="521"/>
      <c r="P13" s="511"/>
      <c r="Q13" s="522"/>
    </row>
    <row r="14" spans="1:17" ht="14.4" customHeight="1" x14ac:dyDescent="0.3">
      <c r="A14" s="505" t="s">
        <v>1031</v>
      </c>
      <c r="B14" s="506" t="s">
        <v>1032</v>
      </c>
      <c r="C14" s="506" t="s">
        <v>929</v>
      </c>
      <c r="D14" s="506" t="s">
        <v>1035</v>
      </c>
      <c r="E14" s="506" t="s">
        <v>1036</v>
      </c>
      <c r="F14" s="521">
        <v>1</v>
      </c>
      <c r="G14" s="521">
        <v>54</v>
      </c>
      <c r="H14" s="521">
        <v>1</v>
      </c>
      <c r="I14" s="521">
        <v>54</v>
      </c>
      <c r="J14" s="521"/>
      <c r="K14" s="521"/>
      <c r="L14" s="521"/>
      <c r="M14" s="521"/>
      <c r="N14" s="521"/>
      <c r="O14" s="521"/>
      <c r="P14" s="511"/>
      <c r="Q14" s="522"/>
    </row>
    <row r="15" spans="1:17" ht="14.4" customHeight="1" x14ac:dyDescent="0.3">
      <c r="A15" s="505" t="s">
        <v>1031</v>
      </c>
      <c r="B15" s="506" t="s">
        <v>1032</v>
      </c>
      <c r="C15" s="506" t="s">
        <v>929</v>
      </c>
      <c r="D15" s="506" t="s">
        <v>1037</v>
      </c>
      <c r="E15" s="506" t="s">
        <v>1038</v>
      </c>
      <c r="F15" s="521">
        <v>2</v>
      </c>
      <c r="G15" s="521">
        <v>48</v>
      </c>
      <c r="H15" s="521">
        <v>1</v>
      </c>
      <c r="I15" s="521">
        <v>24</v>
      </c>
      <c r="J15" s="521"/>
      <c r="K15" s="521"/>
      <c r="L15" s="521"/>
      <c r="M15" s="521"/>
      <c r="N15" s="521"/>
      <c r="O15" s="521"/>
      <c r="P15" s="511"/>
      <c r="Q15" s="522"/>
    </row>
    <row r="16" spans="1:17" ht="14.4" customHeight="1" x14ac:dyDescent="0.3">
      <c r="A16" s="505" t="s">
        <v>1031</v>
      </c>
      <c r="B16" s="506" t="s">
        <v>1032</v>
      </c>
      <c r="C16" s="506" t="s">
        <v>929</v>
      </c>
      <c r="D16" s="506" t="s">
        <v>1039</v>
      </c>
      <c r="E16" s="506" t="s">
        <v>1040</v>
      </c>
      <c r="F16" s="521">
        <v>2</v>
      </c>
      <c r="G16" s="521">
        <v>54</v>
      </c>
      <c r="H16" s="521">
        <v>1</v>
      </c>
      <c r="I16" s="521">
        <v>27</v>
      </c>
      <c r="J16" s="521"/>
      <c r="K16" s="521"/>
      <c r="L16" s="521"/>
      <c r="M16" s="521"/>
      <c r="N16" s="521"/>
      <c r="O16" s="521"/>
      <c r="P16" s="511"/>
      <c r="Q16" s="522"/>
    </row>
    <row r="17" spans="1:17" ht="14.4" customHeight="1" x14ac:dyDescent="0.3">
      <c r="A17" s="505" t="s">
        <v>1031</v>
      </c>
      <c r="B17" s="506" t="s">
        <v>1032</v>
      </c>
      <c r="C17" s="506" t="s">
        <v>929</v>
      </c>
      <c r="D17" s="506" t="s">
        <v>1041</v>
      </c>
      <c r="E17" s="506" t="s">
        <v>1042</v>
      </c>
      <c r="F17" s="521">
        <v>2</v>
      </c>
      <c r="G17" s="521">
        <v>54</v>
      </c>
      <c r="H17" s="521">
        <v>1</v>
      </c>
      <c r="I17" s="521">
        <v>27</v>
      </c>
      <c r="J17" s="521"/>
      <c r="K17" s="521"/>
      <c r="L17" s="521"/>
      <c r="M17" s="521"/>
      <c r="N17" s="521"/>
      <c r="O17" s="521"/>
      <c r="P17" s="511"/>
      <c r="Q17" s="522"/>
    </row>
    <row r="18" spans="1:17" ht="14.4" customHeight="1" x14ac:dyDescent="0.3">
      <c r="A18" s="505" t="s">
        <v>1031</v>
      </c>
      <c r="B18" s="506" t="s">
        <v>1032</v>
      </c>
      <c r="C18" s="506" t="s">
        <v>929</v>
      </c>
      <c r="D18" s="506" t="s">
        <v>1043</v>
      </c>
      <c r="E18" s="506" t="s">
        <v>1044</v>
      </c>
      <c r="F18" s="521">
        <v>2</v>
      </c>
      <c r="G18" s="521">
        <v>44</v>
      </c>
      <c r="H18" s="521">
        <v>1</v>
      </c>
      <c r="I18" s="521">
        <v>22</v>
      </c>
      <c r="J18" s="521"/>
      <c r="K18" s="521"/>
      <c r="L18" s="521"/>
      <c r="M18" s="521"/>
      <c r="N18" s="521"/>
      <c r="O18" s="521"/>
      <c r="P18" s="511"/>
      <c r="Q18" s="522"/>
    </row>
    <row r="19" spans="1:17" ht="14.4" customHeight="1" x14ac:dyDescent="0.3">
      <c r="A19" s="505" t="s">
        <v>1031</v>
      </c>
      <c r="B19" s="506" t="s">
        <v>1032</v>
      </c>
      <c r="C19" s="506" t="s">
        <v>929</v>
      </c>
      <c r="D19" s="506" t="s">
        <v>1045</v>
      </c>
      <c r="E19" s="506" t="s">
        <v>1046</v>
      </c>
      <c r="F19" s="521">
        <v>2</v>
      </c>
      <c r="G19" s="521">
        <v>1974</v>
      </c>
      <c r="H19" s="521">
        <v>1</v>
      </c>
      <c r="I19" s="521">
        <v>987</v>
      </c>
      <c r="J19" s="521"/>
      <c r="K19" s="521"/>
      <c r="L19" s="521"/>
      <c r="M19" s="521"/>
      <c r="N19" s="521"/>
      <c r="O19" s="521"/>
      <c r="P19" s="511"/>
      <c r="Q19" s="522"/>
    </row>
    <row r="20" spans="1:17" ht="14.4" customHeight="1" x14ac:dyDescent="0.3">
      <c r="A20" s="505" t="s">
        <v>1031</v>
      </c>
      <c r="B20" s="506" t="s">
        <v>1032</v>
      </c>
      <c r="C20" s="506" t="s">
        <v>929</v>
      </c>
      <c r="D20" s="506" t="s">
        <v>1047</v>
      </c>
      <c r="E20" s="506" t="s">
        <v>1048</v>
      </c>
      <c r="F20" s="521">
        <v>8</v>
      </c>
      <c r="G20" s="521">
        <v>504</v>
      </c>
      <c r="H20" s="521">
        <v>1</v>
      </c>
      <c r="I20" s="521">
        <v>63</v>
      </c>
      <c r="J20" s="521"/>
      <c r="K20" s="521"/>
      <c r="L20" s="521"/>
      <c r="M20" s="521"/>
      <c r="N20" s="521"/>
      <c r="O20" s="521"/>
      <c r="P20" s="511"/>
      <c r="Q20" s="522"/>
    </row>
    <row r="21" spans="1:17" ht="14.4" customHeight="1" x14ac:dyDescent="0.3">
      <c r="A21" s="505" t="s">
        <v>1031</v>
      </c>
      <c r="B21" s="506" t="s">
        <v>1032</v>
      </c>
      <c r="C21" s="506" t="s">
        <v>929</v>
      </c>
      <c r="D21" s="506" t="s">
        <v>1049</v>
      </c>
      <c r="E21" s="506" t="s">
        <v>1050</v>
      </c>
      <c r="F21" s="521">
        <v>1</v>
      </c>
      <c r="G21" s="521">
        <v>17</v>
      </c>
      <c r="H21" s="521">
        <v>1</v>
      </c>
      <c r="I21" s="521">
        <v>17</v>
      </c>
      <c r="J21" s="521"/>
      <c r="K21" s="521"/>
      <c r="L21" s="521"/>
      <c r="M21" s="521"/>
      <c r="N21" s="521"/>
      <c r="O21" s="521"/>
      <c r="P21" s="511"/>
      <c r="Q21" s="522"/>
    </row>
    <row r="22" spans="1:17" ht="14.4" customHeight="1" x14ac:dyDescent="0.3">
      <c r="A22" s="505" t="s">
        <v>1031</v>
      </c>
      <c r="B22" s="506" t="s">
        <v>1032</v>
      </c>
      <c r="C22" s="506" t="s">
        <v>929</v>
      </c>
      <c r="D22" s="506" t="s">
        <v>1051</v>
      </c>
      <c r="E22" s="506" t="s">
        <v>1052</v>
      </c>
      <c r="F22" s="521">
        <v>1</v>
      </c>
      <c r="G22" s="521">
        <v>107</v>
      </c>
      <c r="H22" s="521">
        <v>1</v>
      </c>
      <c r="I22" s="521">
        <v>107</v>
      </c>
      <c r="J22" s="521"/>
      <c r="K22" s="521"/>
      <c r="L22" s="521"/>
      <c r="M22" s="521"/>
      <c r="N22" s="521"/>
      <c r="O22" s="521"/>
      <c r="P22" s="511"/>
      <c r="Q22" s="522"/>
    </row>
    <row r="23" spans="1:17" ht="14.4" customHeight="1" x14ac:dyDescent="0.3">
      <c r="A23" s="505" t="s">
        <v>1031</v>
      </c>
      <c r="B23" s="506" t="s">
        <v>1032</v>
      </c>
      <c r="C23" s="506" t="s">
        <v>929</v>
      </c>
      <c r="D23" s="506" t="s">
        <v>1053</v>
      </c>
      <c r="E23" s="506" t="s">
        <v>1054</v>
      </c>
      <c r="F23" s="521">
        <v>38</v>
      </c>
      <c r="G23" s="521">
        <v>2280</v>
      </c>
      <c r="H23" s="521">
        <v>1</v>
      </c>
      <c r="I23" s="521">
        <v>60</v>
      </c>
      <c r="J23" s="521"/>
      <c r="K23" s="521"/>
      <c r="L23" s="521"/>
      <c r="M23" s="521"/>
      <c r="N23" s="521"/>
      <c r="O23" s="521"/>
      <c r="P23" s="511"/>
      <c r="Q23" s="522"/>
    </row>
    <row r="24" spans="1:17" ht="14.4" customHeight="1" x14ac:dyDescent="0.3">
      <c r="A24" s="505" t="s">
        <v>1031</v>
      </c>
      <c r="B24" s="506" t="s">
        <v>1032</v>
      </c>
      <c r="C24" s="506" t="s">
        <v>929</v>
      </c>
      <c r="D24" s="506" t="s">
        <v>1055</v>
      </c>
      <c r="E24" s="506" t="s">
        <v>1056</v>
      </c>
      <c r="F24" s="521">
        <v>1</v>
      </c>
      <c r="G24" s="521">
        <v>96</v>
      </c>
      <c r="H24" s="521">
        <v>1</v>
      </c>
      <c r="I24" s="521">
        <v>96</v>
      </c>
      <c r="J24" s="521"/>
      <c r="K24" s="521"/>
      <c r="L24" s="521"/>
      <c r="M24" s="521"/>
      <c r="N24" s="521"/>
      <c r="O24" s="521"/>
      <c r="P24" s="511"/>
      <c r="Q24" s="522"/>
    </row>
    <row r="25" spans="1:17" ht="14.4" customHeight="1" x14ac:dyDescent="0.3">
      <c r="A25" s="505" t="s">
        <v>1031</v>
      </c>
      <c r="B25" s="506" t="s">
        <v>1032</v>
      </c>
      <c r="C25" s="506" t="s">
        <v>929</v>
      </c>
      <c r="D25" s="506" t="s">
        <v>1057</v>
      </c>
      <c r="E25" s="506" t="s">
        <v>1058</v>
      </c>
      <c r="F25" s="521">
        <v>1</v>
      </c>
      <c r="G25" s="521">
        <v>60</v>
      </c>
      <c r="H25" s="521">
        <v>1</v>
      </c>
      <c r="I25" s="521">
        <v>60</v>
      </c>
      <c r="J25" s="521"/>
      <c r="K25" s="521"/>
      <c r="L25" s="521"/>
      <c r="M25" s="521"/>
      <c r="N25" s="521"/>
      <c r="O25" s="521"/>
      <c r="P25" s="511"/>
      <c r="Q25" s="522"/>
    </row>
    <row r="26" spans="1:17" ht="14.4" customHeight="1" x14ac:dyDescent="0.3">
      <c r="A26" s="505" t="s">
        <v>1031</v>
      </c>
      <c r="B26" s="506" t="s">
        <v>1032</v>
      </c>
      <c r="C26" s="506" t="s">
        <v>929</v>
      </c>
      <c r="D26" s="506" t="s">
        <v>1059</v>
      </c>
      <c r="E26" s="506" t="s">
        <v>1060</v>
      </c>
      <c r="F26" s="521">
        <v>1</v>
      </c>
      <c r="G26" s="521">
        <v>19</v>
      </c>
      <c r="H26" s="521">
        <v>1</v>
      </c>
      <c r="I26" s="521">
        <v>19</v>
      </c>
      <c r="J26" s="521"/>
      <c r="K26" s="521"/>
      <c r="L26" s="521"/>
      <c r="M26" s="521"/>
      <c r="N26" s="521"/>
      <c r="O26" s="521"/>
      <c r="P26" s="511"/>
      <c r="Q26" s="522"/>
    </row>
    <row r="27" spans="1:17" ht="14.4" customHeight="1" x14ac:dyDescent="0.3">
      <c r="A27" s="505" t="s">
        <v>1031</v>
      </c>
      <c r="B27" s="506" t="s">
        <v>1032</v>
      </c>
      <c r="C27" s="506" t="s">
        <v>929</v>
      </c>
      <c r="D27" s="506" t="s">
        <v>1061</v>
      </c>
      <c r="E27" s="506" t="s">
        <v>1062</v>
      </c>
      <c r="F27" s="521">
        <v>1</v>
      </c>
      <c r="G27" s="521">
        <v>1207</v>
      </c>
      <c r="H27" s="521">
        <v>1</v>
      </c>
      <c r="I27" s="521">
        <v>1207</v>
      </c>
      <c r="J27" s="521"/>
      <c r="K27" s="521"/>
      <c r="L27" s="521"/>
      <c r="M27" s="521"/>
      <c r="N27" s="521"/>
      <c r="O27" s="521"/>
      <c r="P27" s="511"/>
      <c r="Q27" s="522"/>
    </row>
    <row r="28" spans="1:17" ht="14.4" customHeight="1" x14ac:dyDescent="0.3">
      <c r="A28" s="505" t="s">
        <v>1031</v>
      </c>
      <c r="B28" s="506" t="s">
        <v>1032</v>
      </c>
      <c r="C28" s="506" t="s">
        <v>929</v>
      </c>
      <c r="D28" s="506" t="s">
        <v>1063</v>
      </c>
      <c r="E28" s="506" t="s">
        <v>1064</v>
      </c>
      <c r="F28" s="521">
        <v>2</v>
      </c>
      <c r="G28" s="521">
        <v>1192</v>
      </c>
      <c r="H28" s="521">
        <v>1</v>
      </c>
      <c r="I28" s="521">
        <v>596</v>
      </c>
      <c r="J28" s="521"/>
      <c r="K28" s="521"/>
      <c r="L28" s="521"/>
      <c r="M28" s="521"/>
      <c r="N28" s="521"/>
      <c r="O28" s="521"/>
      <c r="P28" s="511"/>
      <c r="Q28" s="522"/>
    </row>
    <row r="29" spans="1:17" ht="14.4" customHeight="1" x14ac:dyDescent="0.3">
      <c r="A29" s="505" t="s">
        <v>1031</v>
      </c>
      <c r="B29" s="506" t="s">
        <v>1032</v>
      </c>
      <c r="C29" s="506" t="s">
        <v>929</v>
      </c>
      <c r="D29" s="506" t="s">
        <v>1065</v>
      </c>
      <c r="E29" s="506" t="s">
        <v>1066</v>
      </c>
      <c r="F29" s="521">
        <v>2</v>
      </c>
      <c r="G29" s="521">
        <v>312</v>
      </c>
      <c r="H29" s="521">
        <v>1</v>
      </c>
      <c r="I29" s="521">
        <v>156</v>
      </c>
      <c r="J29" s="521"/>
      <c r="K29" s="521"/>
      <c r="L29" s="521"/>
      <c r="M29" s="521"/>
      <c r="N29" s="521"/>
      <c r="O29" s="521"/>
      <c r="P29" s="511"/>
      <c r="Q29" s="522"/>
    </row>
    <row r="30" spans="1:17" ht="14.4" customHeight="1" x14ac:dyDescent="0.3">
      <c r="A30" s="505" t="s">
        <v>1031</v>
      </c>
      <c r="B30" s="506" t="s">
        <v>1032</v>
      </c>
      <c r="C30" s="506" t="s">
        <v>929</v>
      </c>
      <c r="D30" s="506" t="s">
        <v>1067</v>
      </c>
      <c r="E30" s="506" t="s">
        <v>1068</v>
      </c>
      <c r="F30" s="521">
        <v>5</v>
      </c>
      <c r="G30" s="521">
        <v>650</v>
      </c>
      <c r="H30" s="521">
        <v>1</v>
      </c>
      <c r="I30" s="521">
        <v>130</v>
      </c>
      <c r="J30" s="521"/>
      <c r="K30" s="521"/>
      <c r="L30" s="521"/>
      <c r="M30" s="521"/>
      <c r="N30" s="521"/>
      <c r="O30" s="521"/>
      <c r="P30" s="511"/>
      <c r="Q30" s="522"/>
    </row>
    <row r="31" spans="1:17" ht="14.4" customHeight="1" x14ac:dyDescent="0.3">
      <c r="A31" s="505" t="s">
        <v>1031</v>
      </c>
      <c r="B31" s="506" t="s">
        <v>1032</v>
      </c>
      <c r="C31" s="506" t="s">
        <v>929</v>
      </c>
      <c r="D31" s="506" t="s">
        <v>1069</v>
      </c>
      <c r="E31" s="506" t="s">
        <v>1070</v>
      </c>
      <c r="F31" s="521">
        <v>2</v>
      </c>
      <c r="G31" s="521">
        <v>58</v>
      </c>
      <c r="H31" s="521">
        <v>1</v>
      </c>
      <c r="I31" s="521">
        <v>29</v>
      </c>
      <c r="J31" s="521"/>
      <c r="K31" s="521"/>
      <c r="L31" s="521"/>
      <c r="M31" s="521"/>
      <c r="N31" s="521"/>
      <c r="O31" s="521"/>
      <c r="P31" s="511"/>
      <c r="Q31" s="522"/>
    </row>
    <row r="32" spans="1:17" ht="14.4" customHeight="1" x14ac:dyDescent="0.3">
      <c r="A32" s="505" t="s">
        <v>1031</v>
      </c>
      <c r="B32" s="506" t="s">
        <v>1032</v>
      </c>
      <c r="C32" s="506" t="s">
        <v>929</v>
      </c>
      <c r="D32" s="506" t="s">
        <v>1071</v>
      </c>
      <c r="E32" s="506" t="s">
        <v>1072</v>
      </c>
      <c r="F32" s="521">
        <v>38</v>
      </c>
      <c r="G32" s="521">
        <v>1900</v>
      </c>
      <c r="H32" s="521">
        <v>1</v>
      </c>
      <c r="I32" s="521">
        <v>50</v>
      </c>
      <c r="J32" s="521"/>
      <c r="K32" s="521"/>
      <c r="L32" s="521"/>
      <c r="M32" s="521"/>
      <c r="N32" s="521"/>
      <c r="O32" s="521"/>
      <c r="P32" s="511"/>
      <c r="Q32" s="522"/>
    </row>
    <row r="33" spans="1:17" ht="14.4" customHeight="1" x14ac:dyDescent="0.3">
      <c r="A33" s="505" t="s">
        <v>1031</v>
      </c>
      <c r="B33" s="506" t="s">
        <v>1032</v>
      </c>
      <c r="C33" s="506" t="s">
        <v>929</v>
      </c>
      <c r="D33" s="506" t="s">
        <v>1073</v>
      </c>
      <c r="E33" s="506" t="s">
        <v>1074</v>
      </c>
      <c r="F33" s="521">
        <v>9</v>
      </c>
      <c r="G33" s="521">
        <v>1620</v>
      </c>
      <c r="H33" s="521">
        <v>1</v>
      </c>
      <c r="I33" s="521">
        <v>180</v>
      </c>
      <c r="J33" s="521"/>
      <c r="K33" s="521"/>
      <c r="L33" s="521"/>
      <c r="M33" s="521"/>
      <c r="N33" s="521"/>
      <c r="O33" s="521"/>
      <c r="P33" s="511"/>
      <c r="Q33" s="522"/>
    </row>
    <row r="34" spans="1:17" ht="14.4" customHeight="1" x14ac:dyDescent="0.3">
      <c r="A34" s="505" t="s">
        <v>1031</v>
      </c>
      <c r="B34" s="506" t="s">
        <v>1032</v>
      </c>
      <c r="C34" s="506" t="s">
        <v>929</v>
      </c>
      <c r="D34" s="506" t="s">
        <v>1075</v>
      </c>
      <c r="E34" s="506" t="s">
        <v>1076</v>
      </c>
      <c r="F34" s="521">
        <v>2</v>
      </c>
      <c r="G34" s="521">
        <v>142</v>
      </c>
      <c r="H34" s="521">
        <v>1</v>
      </c>
      <c r="I34" s="521">
        <v>71</v>
      </c>
      <c r="J34" s="521"/>
      <c r="K34" s="521"/>
      <c r="L34" s="521"/>
      <c r="M34" s="521"/>
      <c r="N34" s="521"/>
      <c r="O34" s="521"/>
      <c r="P34" s="511"/>
      <c r="Q34" s="522"/>
    </row>
    <row r="35" spans="1:17" ht="14.4" customHeight="1" x14ac:dyDescent="0.3">
      <c r="A35" s="505" t="s">
        <v>1031</v>
      </c>
      <c r="B35" s="506" t="s">
        <v>1032</v>
      </c>
      <c r="C35" s="506" t="s">
        <v>929</v>
      </c>
      <c r="D35" s="506" t="s">
        <v>1077</v>
      </c>
      <c r="E35" s="506" t="s">
        <v>1078</v>
      </c>
      <c r="F35" s="521">
        <v>73</v>
      </c>
      <c r="G35" s="521">
        <v>10731</v>
      </c>
      <c r="H35" s="521">
        <v>1</v>
      </c>
      <c r="I35" s="521">
        <v>147</v>
      </c>
      <c r="J35" s="521"/>
      <c r="K35" s="521"/>
      <c r="L35" s="521"/>
      <c r="M35" s="521"/>
      <c r="N35" s="521"/>
      <c r="O35" s="521"/>
      <c r="P35" s="511"/>
      <c r="Q35" s="522"/>
    </row>
    <row r="36" spans="1:17" ht="14.4" customHeight="1" x14ac:dyDescent="0.3">
      <c r="A36" s="505" t="s">
        <v>1031</v>
      </c>
      <c r="B36" s="506" t="s">
        <v>1032</v>
      </c>
      <c r="C36" s="506" t="s">
        <v>929</v>
      </c>
      <c r="D36" s="506" t="s">
        <v>1079</v>
      </c>
      <c r="E36" s="506" t="s">
        <v>1080</v>
      </c>
      <c r="F36" s="521">
        <v>3</v>
      </c>
      <c r="G36" s="521">
        <v>87</v>
      </c>
      <c r="H36" s="521">
        <v>1</v>
      </c>
      <c r="I36" s="521">
        <v>29</v>
      </c>
      <c r="J36" s="521"/>
      <c r="K36" s="521"/>
      <c r="L36" s="521"/>
      <c r="M36" s="521"/>
      <c r="N36" s="521"/>
      <c r="O36" s="521"/>
      <c r="P36" s="511"/>
      <c r="Q36" s="522"/>
    </row>
    <row r="37" spans="1:17" ht="14.4" customHeight="1" x14ac:dyDescent="0.3">
      <c r="A37" s="505" t="s">
        <v>1031</v>
      </c>
      <c r="B37" s="506" t="s">
        <v>1032</v>
      </c>
      <c r="C37" s="506" t="s">
        <v>929</v>
      </c>
      <c r="D37" s="506" t="s">
        <v>1081</v>
      </c>
      <c r="E37" s="506" t="s">
        <v>1082</v>
      </c>
      <c r="F37" s="521">
        <v>1</v>
      </c>
      <c r="G37" s="521">
        <v>31</v>
      </c>
      <c r="H37" s="521">
        <v>1</v>
      </c>
      <c r="I37" s="521">
        <v>31</v>
      </c>
      <c r="J37" s="521"/>
      <c r="K37" s="521"/>
      <c r="L37" s="521"/>
      <c r="M37" s="521"/>
      <c r="N37" s="521"/>
      <c r="O37" s="521"/>
      <c r="P37" s="511"/>
      <c r="Q37" s="522"/>
    </row>
    <row r="38" spans="1:17" ht="14.4" customHeight="1" x14ac:dyDescent="0.3">
      <c r="A38" s="505" t="s">
        <v>1031</v>
      </c>
      <c r="B38" s="506" t="s">
        <v>1032</v>
      </c>
      <c r="C38" s="506" t="s">
        <v>929</v>
      </c>
      <c r="D38" s="506" t="s">
        <v>1083</v>
      </c>
      <c r="E38" s="506" t="s">
        <v>1084</v>
      </c>
      <c r="F38" s="521">
        <v>2</v>
      </c>
      <c r="G38" s="521">
        <v>54</v>
      </c>
      <c r="H38" s="521">
        <v>1</v>
      </c>
      <c r="I38" s="521">
        <v>27</v>
      </c>
      <c r="J38" s="521"/>
      <c r="K38" s="521"/>
      <c r="L38" s="521"/>
      <c r="M38" s="521"/>
      <c r="N38" s="521"/>
      <c r="O38" s="521"/>
      <c r="P38" s="511"/>
      <c r="Q38" s="522"/>
    </row>
    <row r="39" spans="1:17" ht="14.4" customHeight="1" x14ac:dyDescent="0.3">
      <c r="A39" s="505" t="s">
        <v>1031</v>
      </c>
      <c r="B39" s="506" t="s">
        <v>1032</v>
      </c>
      <c r="C39" s="506" t="s">
        <v>929</v>
      </c>
      <c r="D39" s="506" t="s">
        <v>1085</v>
      </c>
      <c r="E39" s="506" t="s">
        <v>1086</v>
      </c>
      <c r="F39" s="521">
        <v>9</v>
      </c>
      <c r="G39" s="521">
        <v>2277</v>
      </c>
      <c r="H39" s="521">
        <v>1</v>
      </c>
      <c r="I39" s="521">
        <v>253</v>
      </c>
      <c r="J39" s="521"/>
      <c r="K39" s="521"/>
      <c r="L39" s="521"/>
      <c r="M39" s="521"/>
      <c r="N39" s="521"/>
      <c r="O39" s="521"/>
      <c r="P39" s="511"/>
      <c r="Q39" s="522"/>
    </row>
    <row r="40" spans="1:17" ht="14.4" customHeight="1" x14ac:dyDescent="0.3">
      <c r="A40" s="505" t="s">
        <v>1031</v>
      </c>
      <c r="B40" s="506" t="s">
        <v>1032</v>
      </c>
      <c r="C40" s="506" t="s">
        <v>929</v>
      </c>
      <c r="D40" s="506" t="s">
        <v>1087</v>
      </c>
      <c r="E40" s="506" t="s">
        <v>1088</v>
      </c>
      <c r="F40" s="521">
        <v>2</v>
      </c>
      <c r="G40" s="521">
        <v>50</v>
      </c>
      <c r="H40" s="521">
        <v>1</v>
      </c>
      <c r="I40" s="521">
        <v>25</v>
      </c>
      <c r="J40" s="521"/>
      <c r="K40" s="521"/>
      <c r="L40" s="521"/>
      <c r="M40" s="521"/>
      <c r="N40" s="521"/>
      <c r="O40" s="521"/>
      <c r="P40" s="511"/>
      <c r="Q40" s="522"/>
    </row>
    <row r="41" spans="1:17" ht="14.4" customHeight="1" x14ac:dyDescent="0.3">
      <c r="A41" s="505" t="s">
        <v>1031</v>
      </c>
      <c r="B41" s="506" t="s">
        <v>1032</v>
      </c>
      <c r="C41" s="506" t="s">
        <v>929</v>
      </c>
      <c r="D41" s="506" t="s">
        <v>1089</v>
      </c>
      <c r="E41" s="506" t="s">
        <v>1090</v>
      </c>
      <c r="F41" s="521">
        <v>1</v>
      </c>
      <c r="G41" s="521">
        <v>30</v>
      </c>
      <c r="H41" s="521">
        <v>1</v>
      </c>
      <c r="I41" s="521">
        <v>30</v>
      </c>
      <c r="J41" s="521"/>
      <c r="K41" s="521"/>
      <c r="L41" s="521"/>
      <c r="M41" s="521"/>
      <c r="N41" s="521"/>
      <c r="O41" s="521"/>
      <c r="P41" s="511"/>
      <c r="Q41" s="522"/>
    </row>
    <row r="42" spans="1:17" ht="14.4" customHeight="1" x14ac:dyDescent="0.3">
      <c r="A42" s="505" t="s">
        <v>1031</v>
      </c>
      <c r="B42" s="506" t="s">
        <v>1032</v>
      </c>
      <c r="C42" s="506" t="s">
        <v>929</v>
      </c>
      <c r="D42" s="506" t="s">
        <v>1091</v>
      </c>
      <c r="E42" s="506" t="s">
        <v>1092</v>
      </c>
      <c r="F42" s="521">
        <v>10</v>
      </c>
      <c r="G42" s="521">
        <v>2040</v>
      </c>
      <c r="H42" s="521">
        <v>1</v>
      </c>
      <c r="I42" s="521">
        <v>204</v>
      </c>
      <c r="J42" s="521"/>
      <c r="K42" s="521"/>
      <c r="L42" s="521"/>
      <c r="M42" s="521"/>
      <c r="N42" s="521"/>
      <c r="O42" s="521"/>
      <c r="P42" s="511"/>
      <c r="Q42" s="522"/>
    </row>
    <row r="43" spans="1:17" ht="14.4" customHeight="1" x14ac:dyDescent="0.3">
      <c r="A43" s="505" t="s">
        <v>1031</v>
      </c>
      <c r="B43" s="506" t="s">
        <v>1032</v>
      </c>
      <c r="C43" s="506" t="s">
        <v>929</v>
      </c>
      <c r="D43" s="506" t="s">
        <v>1093</v>
      </c>
      <c r="E43" s="506" t="s">
        <v>1094</v>
      </c>
      <c r="F43" s="521">
        <v>1</v>
      </c>
      <c r="G43" s="521">
        <v>84</v>
      </c>
      <c r="H43" s="521">
        <v>1</v>
      </c>
      <c r="I43" s="521">
        <v>84</v>
      </c>
      <c r="J43" s="521"/>
      <c r="K43" s="521"/>
      <c r="L43" s="521"/>
      <c r="M43" s="521"/>
      <c r="N43" s="521"/>
      <c r="O43" s="521"/>
      <c r="P43" s="511"/>
      <c r="Q43" s="522"/>
    </row>
    <row r="44" spans="1:17" ht="14.4" customHeight="1" x14ac:dyDescent="0.3">
      <c r="A44" s="505" t="s">
        <v>1031</v>
      </c>
      <c r="B44" s="506" t="s">
        <v>1032</v>
      </c>
      <c r="C44" s="506" t="s">
        <v>929</v>
      </c>
      <c r="D44" s="506" t="s">
        <v>1095</v>
      </c>
      <c r="E44" s="506" t="s">
        <v>1096</v>
      </c>
      <c r="F44" s="521">
        <v>17</v>
      </c>
      <c r="G44" s="521">
        <v>2941</v>
      </c>
      <c r="H44" s="521">
        <v>1</v>
      </c>
      <c r="I44" s="521">
        <v>173</v>
      </c>
      <c r="J44" s="521"/>
      <c r="K44" s="521"/>
      <c r="L44" s="521"/>
      <c r="M44" s="521"/>
      <c r="N44" s="521"/>
      <c r="O44" s="521"/>
      <c r="P44" s="511"/>
      <c r="Q44" s="522"/>
    </row>
    <row r="45" spans="1:17" ht="14.4" customHeight="1" x14ac:dyDescent="0.3">
      <c r="A45" s="505" t="s">
        <v>1031</v>
      </c>
      <c r="B45" s="506" t="s">
        <v>1032</v>
      </c>
      <c r="C45" s="506" t="s">
        <v>929</v>
      </c>
      <c r="D45" s="506" t="s">
        <v>1097</v>
      </c>
      <c r="E45" s="506" t="s">
        <v>1098</v>
      </c>
      <c r="F45" s="521">
        <v>1</v>
      </c>
      <c r="G45" s="521">
        <v>15</v>
      </c>
      <c r="H45" s="521">
        <v>1</v>
      </c>
      <c r="I45" s="521">
        <v>15</v>
      </c>
      <c r="J45" s="521"/>
      <c r="K45" s="521"/>
      <c r="L45" s="521"/>
      <c r="M45" s="521"/>
      <c r="N45" s="521"/>
      <c r="O45" s="521"/>
      <c r="P45" s="511"/>
      <c r="Q45" s="522"/>
    </row>
    <row r="46" spans="1:17" ht="14.4" customHeight="1" x14ac:dyDescent="0.3">
      <c r="A46" s="505" t="s">
        <v>1031</v>
      </c>
      <c r="B46" s="506" t="s">
        <v>1032</v>
      </c>
      <c r="C46" s="506" t="s">
        <v>929</v>
      </c>
      <c r="D46" s="506" t="s">
        <v>1099</v>
      </c>
      <c r="E46" s="506" t="s">
        <v>1100</v>
      </c>
      <c r="F46" s="521">
        <v>1</v>
      </c>
      <c r="G46" s="521">
        <v>37</v>
      </c>
      <c r="H46" s="521">
        <v>1</v>
      </c>
      <c r="I46" s="521">
        <v>37</v>
      </c>
      <c r="J46" s="521"/>
      <c r="K46" s="521"/>
      <c r="L46" s="521"/>
      <c r="M46" s="521"/>
      <c r="N46" s="521"/>
      <c r="O46" s="521"/>
      <c r="P46" s="511"/>
      <c r="Q46" s="522"/>
    </row>
    <row r="47" spans="1:17" ht="14.4" customHeight="1" x14ac:dyDescent="0.3">
      <c r="A47" s="505" t="s">
        <v>1031</v>
      </c>
      <c r="B47" s="506" t="s">
        <v>1032</v>
      </c>
      <c r="C47" s="506" t="s">
        <v>929</v>
      </c>
      <c r="D47" s="506" t="s">
        <v>1101</v>
      </c>
      <c r="E47" s="506" t="s">
        <v>1102</v>
      </c>
      <c r="F47" s="521">
        <v>1</v>
      </c>
      <c r="G47" s="521">
        <v>23</v>
      </c>
      <c r="H47" s="521">
        <v>1</v>
      </c>
      <c r="I47" s="521">
        <v>23</v>
      </c>
      <c r="J47" s="521"/>
      <c r="K47" s="521"/>
      <c r="L47" s="521"/>
      <c r="M47" s="521"/>
      <c r="N47" s="521"/>
      <c r="O47" s="521"/>
      <c r="P47" s="511"/>
      <c r="Q47" s="522"/>
    </row>
    <row r="48" spans="1:17" ht="14.4" customHeight="1" x14ac:dyDescent="0.3">
      <c r="A48" s="505" t="s">
        <v>1031</v>
      </c>
      <c r="B48" s="506" t="s">
        <v>1032</v>
      </c>
      <c r="C48" s="506" t="s">
        <v>929</v>
      </c>
      <c r="D48" s="506" t="s">
        <v>1103</v>
      </c>
      <c r="E48" s="506" t="s">
        <v>1104</v>
      </c>
      <c r="F48" s="521">
        <v>1</v>
      </c>
      <c r="G48" s="521">
        <v>19</v>
      </c>
      <c r="H48" s="521">
        <v>1</v>
      </c>
      <c r="I48" s="521">
        <v>19</v>
      </c>
      <c r="J48" s="521"/>
      <c r="K48" s="521"/>
      <c r="L48" s="521"/>
      <c r="M48" s="521"/>
      <c r="N48" s="521"/>
      <c r="O48" s="521"/>
      <c r="P48" s="511"/>
      <c r="Q48" s="522"/>
    </row>
    <row r="49" spans="1:17" ht="14.4" customHeight="1" x14ac:dyDescent="0.3">
      <c r="A49" s="505" t="s">
        <v>1031</v>
      </c>
      <c r="B49" s="506" t="s">
        <v>1032</v>
      </c>
      <c r="C49" s="506" t="s">
        <v>929</v>
      </c>
      <c r="D49" s="506" t="s">
        <v>1105</v>
      </c>
      <c r="E49" s="506" t="s">
        <v>1106</v>
      </c>
      <c r="F49" s="521">
        <v>17</v>
      </c>
      <c r="G49" s="521">
        <v>340</v>
      </c>
      <c r="H49" s="521">
        <v>1</v>
      </c>
      <c r="I49" s="521">
        <v>20</v>
      </c>
      <c r="J49" s="521"/>
      <c r="K49" s="521"/>
      <c r="L49" s="521"/>
      <c r="M49" s="521"/>
      <c r="N49" s="521"/>
      <c r="O49" s="521"/>
      <c r="P49" s="511"/>
      <c r="Q49" s="522"/>
    </row>
    <row r="50" spans="1:17" ht="14.4" customHeight="1" x14ac:dyDescent="0.3">
      <c r="A50" s="505" t="s">
        <v>1031</v>
      </c>
      <c r="B50" s="506" t="s">
        <v>1032</v>
      </c>
      <c r="C50" s="506" t="s">
        <v>929</v>
      </c>
      <c r="D50" s="506" t="s">
        <v>1107</v>
      </c>
      <c r="E50" s="506" t="s">
        <v>1108</v>
      </c>
      <c r="F50" s="521">
        <v>1</v>
      </c>
      <c r="G50" s="521">
        <v>298</v>
      </c>
      <c r="H50" s="521">
        <v>1</v>
      </c>
      <c r="I50" s="521">
        <v>298</v>
      </c>
      <c r="J50" s="521"/>
      <c r="K50" s="521"/>
      <c r="L50" s="521"/>
      <c r="M50" s="521"/>
      <c r="N50" s="521"/>
      <c r="O50" s="521"/>
      <c r="P50" s="511"/>
      <c r="Q50" s="522"/>
    </row>
    <row r="51" spans="1:17" ht="14.4" customHeight="1" x14ac:dyDescent="0.3">
      <c r="A51" s="505" t="s">
        <v>1031</v>
      </c>
      <c r="B51" s="506" t="s">
        <v>1032</v>
      </c>
      <c r="C51" s="506" t="s">
        <v>929</v>
      </c>
      <c r="D51" s="506" t="s">
        <v>1109</v>
      </c>
      <c r="E51" s="506" t="s">
        <v>1110</v>
      </c>
      <c r="F51" s="521">
        <v>1</v>
      </c>
      <c r="G51" s="521">
        <v>21</v>
      </c>
      <c r="H51" s="521">
        <v>1</v>
      </c>
      <c r="I51" s="521">
        <v>21</v>
      </c>
      <c r="J51" s="521"/>
      <c r="K51" s="521"/>
      <c r="L51" s="521"/>
      <c r="M51" s="521"/>
      <c r="N51" s="521"/>
      <c r="O51" s="521"/>
      <c r="P51" s="511"/>
      <c r="Q51" s="522"/>
    </row>
    <row r="52" spans="1:17" ht="14.4" customHeight="1" x14ac:dyDescent="0.3">
      <c r="A52" s="505" t="s">
        <v>1031</v>
      </c>
      <c r="B52" s="506" t="s">
        <v>1032</v>
      </c>
      <c r="C52" s="506" t="s">
        <v>929</v>
      </c>
      <c r="D52" s="506" t="s">
        <v>1111</v>
      </c>
      <c r="E52" s="506" t="s">
        <v>1112</v>
      </c>
      <c r="F52" s="521">
        <v>1</v>
      </c>
      <c r="G52" s="521">
        <v>189</v>
      </c>
      <c r="H52" s="521">
        <v>1</v>
      </c>
      <c r="I52" s="521">
        <v>189</v>
      </c>
      <c r="J52" s="521"/>
      <c r="K52" s="521"/>
      <c r="L52" s="521"/>
      <c r="M52" s="521"/>
      <c r="N52" s="521"/>
      <c r="O52" s="521"/>
      <c r="P52" s="511"/>
      <c r="Q52" s="522"/>
    </row>
    <row r="53" spans="1:17" ht="14.4" customHeight="1" x14ac:dyDescent="0.3">
      <c r="A53" s="505" t="s">
        <v>1031</v>
      </c>
      <c r="B53" s="506" t="s">
        <v>1032</v>
      </c>
      <c r="C53" s="506" t="s">
        <v>929</v>
      </c>
      <c r="D53" s="506" t="s">
        <v>1113</v>
      </c>
      <c r="E53" s="506" t="s">
        <v>1114</v>
      </c>
      <c r="F53" s="521">
        <v>2</v>
      </c>
      <c r="G53" s="521">
        <v>410</v>
      </c>
      <c r="H53" s="521">
        <v>1</v>
      </c>
      <c r="I53" s="521">
        <v>205</v>
      </c>
      <c r="J53" s="521"/>
      <c r="K53" s="521"/>
      <c r="L53" s="521"/>
      <c r="M53" s="521"/>
      <c r="N53" s="521"/>
      <c r="O53" s="521"/>
      <c r="P53" s="511"/>
      <c r="Q53" s="522"/>
    </row>
    <row r="54" spans="1:17" ht="14.4" customHeight="1" x14ac:dyDescent="0.3">
      <c r="A54" s="505" t="s">
        <v>1031</v>
      </c>
      <c r="B54" s="506" t="s">
        <v>1032</v>
      </c>
      <c r="C54" s="506" t="s">
        <v>929</v>
      </c>
      <c r="D54" s="506" t="s">
        <v>1115</v>
      </c>
      <c r="E54" s="506" t="s">
        <v>1116</v>
      </c>
      <c r="F54" s="521">
        <v>1</v>
      </c>
      <c r="G54" s="521">
        <v>27</v>
      </c>
      <c r="H54" s="521">
        <v>1</v>
      </c>
      <c r="I54" s="521">
        <v>27</v>
      </c>
      <c r="J54" s="521"/>
      <c r="K54" s="521"/>
      <c r="L54" s="521"/>
      <c r="M54" s="521"/>
      <c r="N54" s="521"/>
      <c r="O54" s="521"/>
      <c r="P54" s="511"/>
      <c r="Q54" s="522"/>
    </row>
    <row r="55" spans="1:17" ht="14.4" customHeight="1" x14ac:dyDescent="0.3">
      <c r="A55" s="505" t="s">
        <v>1031</v>
      </c>
      <c r="B55" s="506" t="s">
        <v>1032</v>
      </c>
      <c r="C55" s="506" t="s">
        <v>929</v>
      </c>
      <c r="D55" s="506" t="s">
        <v>1117</v>
      </c>
      <c r="E55" s="506" t="s">
        <v>1118</v>
      </c>
      <c r="F55" s="521">
        <v>2</v>
      </c>
      <c r="G55" s="521">
        <v>86</v>
      </c>
      <c r="H55" s="521">
        <v>1</v>
      </c>
      <c r="I55" s="521">
        <v>43</v>
      </c>
      <c r="J55" s="521"/>
      <c r="K55" s="521"/>
      <c r="L55" s="521"/>
      <c r="M55" s="521"/>
      <c r="N55" s="521"/>
      <c r="O55" s="521"/>
      <c r="P55" s="511"/>
      <c r="Q55" s="522"/>
    </row>
    <row r="56" spans="1:17" ht="14.4" customHeight="1" x14ac:dyDescent="0.3">
      <c r="A56" s="505" t="s">
        <v>1119</v>
      </c>
      <c r="B56" s="506" t="s">
        <v>1120</v>
      </c>
      <c r="C56" s="506" t="s">
        <v>911</v>
      </c>
      <c r="D56" s="506" t="s">
        <v>1121</v>
      </c>
      <c r="E56" s="506" t="s">
        <v>1122</v>
      </c>
      <c r="F56" s="521">
        <v>0.08</v>
      </c>
      <c r="G56" s="521">
        <v>866.13</v>
      </c>
      <c r="H56" s="521">
        <v>1</v>
      </c>
      <c r="I56" s="521">
        <v>10826.625</v>
      </c>
      <c r="J56" s="521"/>
      <c r="K56" s="521"/>
      <c r="L56" s="521"/>
      <c r="M56" s="521"/>
      <c r="N56" s="521"/>
      <c r="O56" s="521"/>
      <c r="P56" s="511"/>
      <c r="Q56" s="522"/>
    </row>
    <row r="57" spans="1:17" ht="14.4" customHeight="1" x14ac:dyDescent="0.3">
      <c r="A57" s="505" t="s">
        <v>1119</v>
      </c>
      <c r="B57" s="506" t="s">
        <v>1120</v>
      </c>
      <c r="C57" s="506" t="s">
        <v>929</v>
      </c>
      <c r="D57" s="506" t="s">
        <v>1123</v>
      </c>
      <c r="E57" s="506" t="s">
        <v>1124</v>
      </c>
      <c r="F57" s="521">
        <v>3</v>
      </c>
      <c r="G57" s="521">
        <v>612</v>
      </c>
      <c r="H57" s="521">
        <v>1</v>
      </c>
      <c r="I57" s="521">
        <v>204</v>
      </c>
      <c r="J57" s="521"/>
      <c r="K57" s="521"/>
      <c r="L57" s="521"/>
      <c r="M57" s="521"/>
      <c r="N57" s="521"/>
      <c r="O57" s="521"/>
      <c r="P57" s="511"/>
      <c r="Q57" s="522"/>
    </row>
    <row r="58" spans="1:17" ht="14.4" customHeight="1" x14ac:dyDescent="0.3">
      <c r="A58" s="505" t="s">
        <v>1119</v>
      </c>
      <c r="B58" s="506" t="s">
        <v>1120</v>
      </c>
      <c r="C58" s="506" t="s">
        <v>929</v>
      </c>
      <c r="D58" s="506" t="s">
        <v>1125</v>
      </c>
      <c r="E58" s="506" t="s">
        <v>1126</v>
      </c>
      <c r="F58" s="521">
        <v>6</v>
      </c>
      <c r="G58" s="521">
        <v>894</v>
      </c>
      <c r="H58" s="521">
        <v>1</v>
      </c>
      <c r="I58" s="521">
        <v>149</v>
      </c>
      <c r="J58" s="521"/>
      <c r="K58" s="521"/>
      <c r="L58" s="521"/>
      <c r="M58" s="521"/>
      <c r="N58" s="521"/>
      <c r="O58" s="521"/>
      <c r="P58" s="511"/>
      <c r="Q58" s="522"/>
    </row>
    <row r="59" spans="1:17" ht="14.4" customHeight="1" x14ac:dyDescent="0.3">
      <c r="A59" s="505" t="s">
        <v>1119</v>
      </c>
      <c r="B59" s="506" t="s">
        <v>1120</v>
      </c>
      <c r="C59" s="506" t="s">
        <v>929</v>
      </c>
      <c r="D59" s="506" t="s">
        <v>1127</v>
      </c>
      <c r="E59" s="506" t="s">
        <v>1128</v>
      </c>
      <c r="F59" s="521">
        <v>5</v>
      </c>
      <c r="G59" s="521">
        <v>905</v>
      </c>
      <c r="H59" s="521">
        <v>1</v>
      </c>
      <c r="I59" s="521">
        <v>181</v>
      </c>
      <c r="J59" s="521"/>
      <c r="K59" s="521"/>
      <c r="L59" s="521"/>
      <c r="M59" s="521"/>
      <c r="N59" s="521"/>
      <c r="O59" s="521"/>
      <c r="P59" s="511"/>
      <c r="Q59" s="522"/>
    </row>
    <row r="60" spans="1:17" ht="14.4" customHeight="1" x14ac:dyDescent="0.3">
      <c r="A60" s="505" t="s">
        <v>1119</v>
      </c>
      <c r="B60" s="506" t="s">
        <v>1120</v>
      </c>
      <c r="C60" s="506" t="s">
        <v>929</v>
      </c>
      <c r="D60" s="506" t="s">
        <v>1129</v>
      </c>
      <c r="E60" s="506" t="s">
        <v>1130</v>
      </c>
      <c r="F60" s="521">
        <v>21</v>
      </c>
      <c r="G60" s="521">
        <v>4536</v>
      </c>
      <c r="H60" s="521">
        <v>1</v>
      </c>
      <c r="I60" s="521">
        <v>216</v>
      </c>
      <c r="J60" s="521"/>
      <c r="K60" s="521"/>
      <c r="L60" s="521"/>
      <c r="M60" s="521"/>
      <c r="N60" s="521"/>
      <c r="O60" s="521"/>
      <c r="P60" s="511"/>
      <c r="Q60" s="522"/>
    </row>
    <row r="61" spans="1:17" ht="14.4" customHeight="1" x14ac:dyDescent="0.3">
      <c r="A61" s="505" t="s">
        <v>1119</v>
      </c>
      <c r="B61" s="506" t="s">
        <v>1120</v>
      </c>
      <c r="C61" s="506" t="s">
        <v>929</v>
      </c>
      <c r="D61" s="506" t="s">
        <v>1131</v>
      </c>
      <c r="E61" s="506" t="s">
        <v>1132</v>
      </c>
      <c r="F61" s="521">
        <v>22</v>
      </c>
      <c r="G61" s="521">
        <v>3784</v>
      </c>
      <c r="H61" s="521">
        <v>1</v>
      </c>
      <c r="I61" s="521">
        <v>172</v>
      </c>
      <c r="J61" s="521"/>
      <c r="K61" s="521"/>
      <c r="L61" s="521"/>
      <c r="M61" s="521"/>
      <c r="N61" s="521"/>
      <c r="O61" s="521"/>
      <c r="P61" s="511"/>
      <c r="Q61" s="522"/>
    </row>
    <row r="62" spans="1:17" ht="14.4" customHeight="1" x14ac:dyDescent="0.3">
      <c r="A62" s="505" t="s">
        <v>1119</v>
      </c>
      <c r="B62" s="506" t="s">
        <v>1120</v>
      </c>
      <c r="C62" s="506" t="s">
        <v>929</v>
      </c>
      <c r="D62" s="506" t="s">
        <v>1133</v>
      </c>
      <c r="E62" s="506" t="s">
        <v>1134</v>
      </c>
      <c r="F62" s="521">
        <v>1</v>
      </c>
      <c r="G62" s="521">
        <v>1994</v>
      </c>
      <c r="H62" s="521">
        <v>1</v>
      </c>
      <c r="I62" s="521">
        <v>1994</v>
      </c>
      <c r="J62" s="521"/>
      <c r="K62" s="521"/>
      <c r="L62" s="521"/>
      <c r="M62" s="521"/>
      <c r="N62" s="521"/>
      <c r="O62" s="521"/>
      <c r="P62" s="511"/>
      <c r="Q62" s="522"/>
    </row>
    <row r="63" spans="1:17" ht="14.4" customHeight="1" x14ac:dyDescent="0.3">
      <c r="A63" s="505" t="s">
        <v>1119</v>
      </c>
      <c r="B63" s="506" t="s">
        <v>1120</v>
      </c>
      <c r="C63" s="506" t="s">
        <v>929</v>
      </c>
      <c r="D63" s="506" t="s">
        <v>1135</v>
      </c>
      <c r="E63" s="506" t="s">
        <v>1136</v>
      </c>
      <c r="F63" s="521">
        <v>15</v>
      </c>
      <c r="G63" s="521">
        <v>2235</v>
      </c>
      <c r="H63" s="521">
        <v>1</v>
      </c>
      <c r="I63" s="521">
        <v>149</v>
      </c>
      <c r="J63" s="521"/>
      <c r="K63" s="521"/>
      <c r="L63" s="521"/>
      <c r="M63" s="521"/>
      <c r="N63" s="521"/>
      <c r="O63" s="521"/>
      <c r="P63" s="511"/>
      <c r="Q63" s="522"/>
    </row>
    <row r="64" spans="1:17" ht="14.4" customHeight="1" x14ac:dyDescent="0.3">
      <c r="A64" s="505" t="s">
        <v>1119</v>
      </c>
      <c r="B64" s="506" t="s">
        <v>1120</v>
      </c>
      <c r="C64" s="506" t="s">
        <v>929</v>
      </c>
      <c r="D64" s="506" t="s">
        <v>1137</v>
      </c>
      <c r="E64" s="506" t="s">
        <v>1138</v>
      </c>
      <c r="F64" s="521">
        <v>1</v>
      </c>
      <c r="G64" s="521">
        <v>192</v>
      </c>
      <c r="H64" s="521">
        <v>1</v>
      </c>
      <c r="I64" s="521">
        <v>192</v>
      </c>
      <c r="J64" s="521"/>
      <c r="K64" s="521"/>
      <c r="L64" s="521"/>
      <c r="M64" s="521"/>
      <c r="N64" s="521"/>
      <c r="O64" s="521"/>
      <c r="P64" s="511"/>
      <c r="Q64" s="522"/>
    </row>
    <row r="65" spans="1:17" ht="14.4" customHeight="1" x14ac:dyDescent="0.3">
      <c r="A65" s="505" t="s">
        <v>1119</v>
      </c>
      <c r="B65" s="506" t="s">
        <v>1120</v>
      </c>
      <c r="C65" s="506" t="s">
        <v>929</v>
      </c>
      <c r="D65" s="506" t="s">
        <v>1139</v>
      </c>
      <c r="E65" s="506" t="s">
        <v>1140</v>
      </c>
      <c r="F65" s="521">
        <v>1</v>
      </c>
      <c r="G65" s="521">
        <v>157</v>
      </c>
      <c r="H65" s="521">
        <v>1</v>
      </c>
      <c r="I65" s="521">
        <v>157</v>
      </c>
      <c r="J65" s="521"/>
      <c r="K65" s="521"/>
      <c r="L65" s="521"/>
      <c r="M65" s="521"/>
      <c r="N65" s="521"/>
      <c r="O65" s="521"/>
      <c r="P65" s="511"/>
      <c r="Q65" s="522"/>
    </row>
    <row r="66" spans="1:17" ht="14.4" customHeight="1" x14ac:dyDescent="0.3">
      <c r="A66" s="505" t="s">
        <v>1119</v>
      </c>
      <c r="B66" s="506" t="s">
        <v>1120</v>
      </c>
      <c r="C66" s="506" t="s">
        <v>929</v>
      </c>
      <c r="D66" s="506" t="s">
        <v>1141</v>
      </c>
      <c r="E66" s="506" t="s">
        <v>1142</v>
      </c>
      <c r="F66" s="521">
        <v>1</v>
      </c>
      <c r="G66" s="521">
        <v>2116</v>
      </c>
      <c r="H66" s="521">
        <v>1</v>
      </c>
      <c r="I66" s="521">
        <v>2116</v>
      </c>
      <c r="J66" s="521"/>
      <c r="K66" s="521"/>
      <c r="L66" s="521"/>
      <c r="M66" s="521"/>
      <c r="N66" s="521"/>
      <c r="O66" s="521"/>
      <c r="P66" s="511"/>
      <c r="Q66" s="522"/>
    </row>
    <row r="67" spans="1:17" ht="14.4" customHeight="1" x14ac:dyDescent="0.3">
      <c r="A67" s="505" t="s">
        <v>1143</v>
      </c>
      <c r="B67" s="506" t="s">
        <v>1144</v>
      </c>
      <c r="C67" s="506" t="s">
        <v>929</v>
      </c>
      <c r="D67" s="506" t="s">
        <v>1145</v>
      </c>
      <c r="E67" s="506" t="s">
        <v>1146</v>
      </c>
      <c r="F67" s="521">
        <v>2</v>
      </c>
      <c r="G67" s="521">
        <v>348</v>
      </c>
      <c r="H67" s="521">
        <v>1</v>
      </c>
      <c r="I67" s="521">
        <v>174</v>
      </c>
      <c r="J67" s="521"/>
      <c r="K67" s="521"/>
      <c r="L67" s="521"/>
      <c r="M67" s="521"/>
      <c r="N67" s="521"/>
      <c r="O67" s="521"/>
      <c r="P67" s="511"/>
      <c r="Q67" s="522"/>
    </row>
    <row r="68" spans="1:17" ht="14.4" customHeight="1" x14ac:dyDescent="0.3">
      <c r="A68" s="505" t="s">
        <v>1143</v>
      </c>
      <c r="B68" s="506" t="s">
        <v>1144</v>
      </c>
      <c r="C68" s="506" t="s">
        <v>929</v>
      </c>
      <c r="D68" s="506" t="s">
        <v>1147</v>
      </c>
      <c r="E68" s="506" t="s">
        <v>1148</v>
      </c>
      <c r="F68" s="521">
        <v>1</v>
      </c>
      <c r="G68" s="521">
        <v>582</v>
      </c>
      <c r="H68" s="521">
        <v>1</v>
      </c>
      <c r="I68" s="521">
        <v>582</v>
      </c>
      <c r="J68" s="521"/>
      <c r="K68" s="521"/>
      <c r="L68" s="521"/>
      <c r="M68" s="521"/>
      <c r="N68" s="521"/>
      <c r="O68" s="521"/>
      <c r="P68" s="511"/>
      <c r="Q68" s="522"/>
    </row>
    <row r="69" spans="1:17" ht="14.4" customHeight="1" x14ac:dyDescent="0.3">
      <c r="A69" s="505" t="s">
        <v>1143</v>
      </c>
      <c r="B69" s="506" t="s">
        <v>1144</v>
      </c>
      <c r="C69" s="506" t="s">
        <v>929</v>
      </c>
      <c r="D69" s="506" t="s">
        <v>1149</v>
      </c>
      <c r="E69" s="506" t="s">
        <v>1150</v>
      </c>
      <c r="F69" s="521">
        <v>2</v>
      </c>
      <c r="G69" s="521">
        <v>430</v>
      </c>
      <c r="H69" s="521">
        <v>1</v>
      </c>
      <c r="I69" s="521">
        <v>215</v>
      </c>
      <c r="J69" s="521"/>
      <c r="K69" s="521"/>
      <c r="L69" s="521"/>
      <c r="M69" s="521"/>
      <c r="N69" s="521"/>
      <c r="O69" s="521"/>
      <c r="P69" s="511"/>
      <c r="Q69" s="522"/>
    </row>
    <row r="70" spans="1:17" ht="14.4" customHeight="1" x14ac:dyDescent="0.3">
      <c r="A70" s="505" t="s">
        <v>1143</v>
      </c>
      <c r="B70" s="506" t="s">
        <v>1144</v>
      </c>
      <c r="C70" s="506" t="s">
        <v>929</v>
      </c>
      <c r="D70" s="506" t="s">
        <v>1151</v>
      </c>
      <c r="E70" s="506" t="s">
        <v>1152</v>
      </c>
      <c r="F70" s="521">
        <v>1</v>
      </c>
      <c r="G70" s="521">
        <v>1015</v>
      </c>
      <c r="H70" s="521">
        <v>1</v>
      </c>
      <c r="I70" s="521">
        <v>1015</v>
      </c>
      <c r="J70" s="521"/>
      <c r="K70" s="521"/>
      <c r="L70" s="521"/>
      <c r="M70" s="521"/>
      <c r="N70" s="521"/>
      <c r="O70" s="521"/>
      <c r="P70" s="511"/>
      <c r="Q70" s="522"/>
    </row>
    <row r="71" spans="1:17" ht="14.4" customHeight="1" x14ac:dyDescent="0.3">
      <c r="A71" s="505" t="s">
        <v>1153</v>
      </c>
      <c r="B71" s="506" t="s">
        <v>1154</v>
      </c>
      <c r="C71" s="506" t="s">
        <v>929</v>
      </c>
      <c r="D71" s="506" t="s">
        <v>1155</v>
      </c>
      <c r="E71" s="506" t="s">
        <v>1156</v>
      </c>
      <c r="F71" s="521">
        <v>1</v>
      </c>
      <c r="G71" s="521">
        <v>453</v>
      </c>
      <c r="H71" s="521">
        <v>1</v>
      </c>
      <c r="I71" s="521">
        <v>453</v>
      </c>
      <c r="J71" s="521"/>
      <c r="K71" s="521"/>
      <c r="L71" s="521"/>
      <c r="M71" s="521"/>
      <c r="N71" s="521"/>
      <c r="O71" s="521"/>
      <c r="P71" s="511"/>
      <c r="Q71" s="522"/>
    </row>
    <row r="72" spans="1:17" ht="14.4" customHeight="1" x14ac:dyDescent="0.3">
      <c r="A72" s="505" t="s">
        <v>1153</v>
      </c>
      <c r="B72" s="506" t="s">
        <v>1154</v>
      </c>
      <c r="C72" s="506" t="s">
        <v>929</v>
      </c>
      <c r="D72" s="506" t="s">
        <v>1157</v>
      </c>
      <c r="E72" s="506" t="s">
        <v>1158</v>
      </c>
      <c r="F72" s="521">
        <v>1</v>
      </c>
      <c r="G72" s="521">
        <v>345</v>
      </c>
      <c r="H72" s="521">
        <v>1</v>
      </c>
      <c r="I72" s="521">
        <v>345</v>
      </c>
      <c r="J72" s="521"/>
      <c r="K72" s="521"/>
      <c r="L72" s="521"/>
      <c r="M72" s="521"/>
      <c r="N72" s="521"/>
      <c r="O72" s="521"/>
      <c r="P72" s="511"/>
      <c r="Q72" s="522"/>
    </row>
    <row r="73" spans="1:17" ht="14.4" customHeight="1" x14ac:dyDescent="0.3">
      <c r="A73" s="505" t="s">
        <v>1153</v>
      </c>
      <c r="B73" s="506" t="s">
        <v>1154</v>
      </c>
      <c r="C73" s="506" t="s">
        <v>929</v>
      </c>
      <c r="D73" s="506" t="s">
        <v>1159</v>
      </c>
      <c r="E73" s="506" t="s">
        <v>1160</v>
      </c>
      <c r="F73" s="521">
        <v>4</v>
      </c>
      <c r="G73" s="521">
        <v>212</v>
      </c>
      <c r="H73" s="521">
        <v>1</v>
      </c>
      <c r="I73" s="521">
        <v>53</v>
      </c>
      <c r="J73" s="521"/>
      <c r="K73" s="521"/>
      <c r="L73" s="521"/>
      <c r="M73" s="521"/>
      <c r="N73" s="521"/>
      <c r="O73" s="521"/>
      <c r="P73" s="511"/>
      <c r="Q73" s="522"/>
    </row>
    <row r="74" spans="1:17" ht="14.4" customHeight="1" x14ac:dyDescent="0.3">
      <c r="A74" s="505" t="s">
        <v>1161</v>
      </c>
      <c r="B74" s="506" t="s">
        <v>1162</v>
      </c>
      <c r="C74" s="506" t="s">
        <v>929</v>
      </c>
      <c r="D74" s="506" t="s">
        <v>1163</v>
      </c>
      <c r="E74" s="506" t="s">
        <v>1164</v>
      </c>
      <c r="F74" s="521">
        <v>3</v>
      </c>
      <c r="G74" s="521">
        <v>117</v>
      </c>
      <c r="H74" s="521">
        <v>1</v>
      </c>
      <c r="I74" s="521">
        <v>39</v>
      </c>
      <c r="J74" s="521"/>
      <c r="K74" s="521"/>
      <c r="L74" s="521"/>
      <c r="M74" s="521"/>
      <c r="N74" s="521"/>
      <c r="O74" s="521"/>
      <c r="P74" s="511"/>
      <c r="Q74" s="522"/>
    </row>
    <row r="75" spans="1:17" ht="14.4" customHeight="1" x14ac:dyDescent="0.3">
      <c r="A75" s="505" t="s">
        <v>1161</v>
      </c>
      <c r="B75" s="506" t="s">
        <v>1162</v>
      </c>
      <c r="C75" s="506" t="s">
        <v>929</v>
      </c>
      <c r="D75" s="506" t="s">
        <v>1165</v>
      </c>
      <c r="E75" s="506" t="s">
        <v>1166</v>
      </c>
      <c r="F75" s="521">
        <v>3</v>
      </c>
      <c r="G75" s="521">
        <v>108</v>
      </c>
      <c r="H75" s="521">
        <v>1</v>
      </c>
      <c r="I75" s="521">
        <v>36</v>
      </c>
      <c r="J75" s="521"/>
      <c r="K75" s="521"/>
      <c r="L75" s="521"/>
      <c r="M75" s="521"/>
      <c r="N75" s="521"/>
      <c r="O75" s="521"/>
      <c r="P75" s="511"/>
      <c r="Q75" s="522"/>
    </row>
    <row r="76" spans="1:17" ht="14.4" customHeight="1" x14ac:dyDescent="0.3">
      <c r="A76" s="505" t="s">
        <v>1161</v>
      </c>
      <c r="B76" s="506" t="s">
        <v>1162</v>
      </c>
      <c r="C76" s="506" t="s">
        <v>929</v>
      </c>
      <c r="D76" s="506" t="s">
        <v>1167</v>
      </c>
      <c r="E76" s="506" t="s">
        <v>1168</v>
      </c>
      <c r="F76" s="521">
        <v>2</v>
      </c>
      <c r="G76" s="521">
        <v>224</v>
      </c>
      <c r="H76" s="521">
        <v>1</v>
      </c>
      <c r="I76" s="521">
        <v>112</v>
      </c>
      <c r="J76" s="521"/>
      <c r="K76" s="521"/>
      <c r="L76" s="521"/>
      <c r="M76" s="521"/>
      <c r="N76" s="521"/>
      <c r="O76" s="521"/>
      <c r="P76" s="511"/>
      <c r="Q76" s="522"/>
    </row>
    <row r="77" spans="1:17" ht="14.4" customHeight="1" x14ac:dyDescent="0.3">
      <c r="A77" s="505" t="s">
        <v>1161</v>
      </c>
      <c r="B77" s="506" t="s">
        <v>1162</v>
      </c>
      <c r="C77" s="506" t="s">
        <v>929</v>
      </c>
      <c r="D77" s="506" t="s">
        <v>1169</v>
      </c>
      <c r="E77" s="506" t="s">
        <v>1170</v>
      </c>
      <c r="F77" s="521">
        <v>11</v>
      </c>
      <c r="G77" s="521">
        <v>5346</v>
      </c>
      <c r="H77" s="521">
        <v>1</v>
      </c>
      <c r="I77" s="521">
        <v>486</v>
      </c>
      <c r="J77" s="521"/>
      <c r="K77" s="521"/>
      <c r="L77" s="521"/>
      <c r="M77" s="521"/>
      <c r="N77" s="521"/>
      <c r="O77" s="521"/>
      <c r="P77" s="511"/>
      <c r="Q77" s="522"/>
    </row>
    <row r="78" spans="1:17" ht="14.4" customHeight="1" x14ac:dyDescent="0.3">
      <c r="A78" s="505" t="s">
        <v>1161</v>
      </c>
      <c r="B78" s="506" t="s">
        <v>1162</v>
      </c>
      <c r="C78" s="506" t="s">
        <v>929</v>
      </c>
      <c r="D78" s="506" t="s">
        <v>1171</v>
      </c>
      <c r="E78" s="506" t="s">
        <v>1172</v>
      </c>
      <c r="F78" s="521">
        <v>1</v>
      </c>
      <c r="G78" s="521">
        <v>2013</v>
      </c>
      <c r="H78" s="521">
        <v>1</v>
      </c>
      <c r="I78" s="521">
        <v>2013</v>
      </c>
      <c r="J78" s="521"/>
      <c r="K78" s="521"/>
      <c r="L78" s="521"/>
      <c r="M78" s="521"/>
      <c r="N78" s="521"/>
      <c r="O78" s="521"/>
      <c r="P78" s="511"/>
      <c r="Q78" s="522"/>
    </row>
    <row r="79" spans="1:17" ht="14.4" customHeight="1" x14ac:dyDescent="0.3">
      <c r="A79" s="505" t="s">
        <v>1173</v>
      </c>
      <c r="B79" s="506" t="s">
        <v>1174</v>
      </c>
      <c r="C79" s="506" t="s">
        <v>929</v>
      </c>
      <c r="D79" s="506" t="s">
        <v>1175</v>
      </c>
      <c r="E79" s="506" t="s">
        <v>1176</v>
      </c>
      <c r="F79" s="521">
        <v>1</v>
      </c>
      <c r="G79" s="521">
        <v>649</v>
      </c>
      <c r="H79" s="521">
        <v>1</v>
      </c>
      <c r="I79" s="521">
        <v>649</v>
      </c>
      <c r="J79" s="521"/>
      <c r="K79" s="521"/>
      <c r="L79" s="521"/>
      <c r="M79" s="521"/>
      <c r="N79" s="521"/>
      <c r="O79" s="521"/>
      <c r="P79" s="511"/>
      <c r="Q79" s="522"/>
    </row>
    <row r="80" spans="1:17" ht="14.4" customHeight="1" x14ac:dyDescent="0.3">
      <c r="A80" s="505" t="s">
        <v>1173</v>
      </c>
      <c r="B80" s="506" t="s">
        <v>1174</v>
      </c>
      <c r="C80" s="506" t="s">
        <v>929</v>
      </c>
      <c r="D80" s="506" t="s">
        <v>1177</v>
      </c>
      <c r="E80" s="506" t="s">
        <v>1178</v>
      </c>
      <c r="F80" s="521">
        <v>2</v>
      </c>
      <c r="G80" s="521">
        <v>1016</v>
      </c>
      <c r="H80" s="521">
        <v>1</v>
      </c>
      <c r="I80" s="521">
        <v>508</v>
      </c>
      <c r="J80" s="521"/>
      <c r="K80" s="521"/>
      <c r="L80" s="521"/>
      <c r="M80" s="521"/>
      <c r="N80" s="521"/>
      <c r="O80" s="521"/>
      <c r="P80" s="511"/>
      <c r="Q80" s="522"/>
    </row>
    <row r="81" spans="1:17" ht="14.4" customHeight="1" x14ac:dyDescent="0.3">
      <c r="A81" s="505" t="s">
        <v>1173</v>
      </c>
      <c r="B81" s="506" t="s">
        <v>1174</v>
      </c>
      <c r="C81" s="506" t="s">
        <v>929</v>
      </c>
      <c r="D81" s="506" t="s">
        <v>1179</v>
      </c>
      <c r="E81" s="506" t="s">
        <v>1180</v>
      </c>
      <c r="F81" s="521">
        <v>2</v>
      </c>
      <c r="G81" s="521">
        <v>836</v>
      </c>
      <c r="H81" s="521">
        <v>1</v>
      </c>
      <c r="I81" s="521">
        <v>418</v>
      </c>
      <c r="J81" s="521"/>
      <c r="K81" s="521"/>
      <c r="L81" s="521"/>
      <c r="M81" s="521"/>
      <c r="N81" s="521"/>
      <c r="O81" s="521"/>
      <c r="P81" s="511"/>
      <c r="Q81" s="522"/>
    </row>
    <row r="82" spans="1:17" ht="14.4" customHeight="1" x14ac:dyDescent="0.3">
      <c r="A82" s="505" t="s">
        <v>1173</v>
      </c>
      <c r="B82" s="506" t="s">
        <v>1174</v>
      </c>
      <c r="C82" s="506" t="s">
        <v>929</v>
      </c>
      <c r="D82" s="506" t="s">
        <v>1181</v>
      </c>
      <c r="E82" s="506" t="s">
        <v>1182</v>
      </c>
      <c r="F82" s="521">
        <v>3</v>
      </c>
      <c r="G82" s="521">
        <v>1029</v>
      </c>
      <c r="H82" s="521">
        <v>1</v>
      </c>
      <c r="I82" s="521">
        <v>343</v>
      </c>
      <c r="J82" s="521"/>
      <c r="K82" s="521"/>
      <c r="L82" s="521"/>
      <c r="M82" s="521"/>
      <c r="N82" s="521"/>
      <c r="O82" s="521"/>
      <c r="P82" s="511"/>
      <c r="Q82" s="522"/>
    </row>
    <row r="83" spans="1:17" ht="14.4" customHeight="1" x14ac:dyDescent="0.3">
      <c r="A83" s="505" t="s">
        <v>1173</v>
      </c>
      <c r="B83" s="506" t="s">
        <v>1174</v>
      </c>
      <c r="C83" s="506" t="s">
        <v>929</v>
      </c>
      <c r="D83" s="506" t="s">
        <v>1183</v>
      </c>
      <c r="E83" s="506" t="s">
        <v>1184</v>
      </c>
      <c r="F83" s="521">
        <v>1</v>
      </c>
      <c r="G83" s="521">
        <v>216</v>
      </c>
      <c r="H83" s="521">
        <v>1</v>
      </c>
      <c r="I83" s="521">
        <v>216</v>
      </c>
      <c r="J83" s="521"/>
      <c r="K83" s="521"/>
      <c r="L83" s="521"/>
      <c r="M83" s="521"/>
      <c r="N83" s="521"/>
      <c r="O83" s="521"/>
      <c r="P83" s="511"/>
      <c r="Q83" s="522"/>
    </row>
    <row r="84" spans="1:17" ht="14.4" customHeight="1" x14ac:dyDescent="0.3">
      <c r="A84" s="505" t="s">
        <v>1173</v>
      </c>
      <c r="B84" s="506" t="s">
        <v>1174</v>
      </c>
      <c r="C84" s="506" t="s">
        <v>929</v>
      </c>
      <c r="D84" s="506" t="s">
        <v>1185</v>
      </c>
      <c r="E84" s="506" t="s">
        <v>1186</v>
      </c>
      <c r="F84" s="521">
        <v>1</v>
      </c>
      <c r="G84" s="521">
        <v>110</v>
      </c>
      <c r="H84" s="521">
        <v>1</v>
      </c>
      <c r="I84" s="521">
        <v>110</v>
      </c>
      <c r="J84" s="521"/>
      <c r="K84" s="521"/>
      <c r="L84" s="521"/>
      <c r="M84" s="521"/>
      <c r="N84" s="521"/>
      <c r="O84" s="521"/>
      <c r="P84" s="511"/>
      <c r="Q84" s="522"/>
    </row>
    <row r="85" spans="1:17" ht="14.4" customHeight="1" x14ac:dyDescent="0.3">
      <c r="A85" s="505" t="s">
        <v>1173</v>
      </c>
      <c r="B85" s="506" t="s">
        <v>1174</v>
      </c>
      <c r="C85" s="506" t="s">
        <v>929</v>
      </c>
      <c r="D85" s="506" t="s">
        <v>1077</v>
      </c>
      <c r="E85" s="506" t="s">
        <v>1078</v>
      </c>
      <c r="F85" s="521">
        <v>1</v>
      </c>
      <c r="G85" s="521">
        <v>147</v>
      </c>
      <c r="H85" s="521">
        <v>1</v>
      </c>
      <c r="I85" s="521">
        <v>147</v>
      </c>
      <c r="J85" s="521"/>
      <c r="K85" s="521"/>
      <c r="L85" s="521"/>
      <c r="M85" s="521"/>
      <c r="N85" s="521"/>
      <c r="O85" s="521"/>
      <c r="P85" s="511"/>
      <c r="Q85" s="522"/>
    </row>
    <row r="86" spans="1:17" ht="14.4" customHeight="1" x14ac:dyDescent="0.3">
      <c r="A86" s="505" t="s">
        <v>1173</v>
      </c>
      <c r="B86" s="506" t="s">
        <v>1174</v>
      </c>
      <c r="C86" s="506" t="s">
        <v>929</v>
      </c>
      <c r="D86" s="506" t="s">
        <v>1187</v>
      </c>
      <c r="E86" s="506" t="s">
        <v>1188</v>
      </c>
      <c r="F86" s="521">
        <v>2</v>
      </c>
      <c r="G86" s="521">
        <v>76</v>
      </c>
      <c r="H86" s="521">
        <v>1</v>
      </c>
      <c r="I86" s="521">
        <v>38</v>
      </c>
      <c r="J86" s="521"/>
      <c r="K86" s="521"/>
      <c r="L86" s="521"/>
      <c r="M86" s="521"/>
      <c r="N86" s="521"/>
      <c r="O86" s="521"/>
      <c r="P86" s="511"/>
      <c r="Q86" s="522"/>
    </row>
    <row r="87" spans="1:17" ht="14.4" customHeight="1" thickBot="1" x14ac:dyDescent="0.35">
      <c r="A87" s="513" t="s">
        <v>1173</v>
      </c>
      <c r="B87" s="514" t="s">
        <v>1174</v>
      </c>
      <c r="C87" s="514" t="s">
        <v>929</v>
      </c>
      <c r="D87" s="514" t="s">
        <v>1189</v>
      </c>
      <c r="E87" s="514" t="s">
        <v>1190</v>
      </c>
      <c r="F87" s="523">
        <v>2</v>
      </c>
      <c r="G87" s="523">
        <v>572</v>
      </c>
      <c r="H87" s="523">
        <v>1</v>
      </c>
      <c r="I87" s="523">
        <v>286</v>
      </c>
      <c r="J87" s="523"/>
      <c r="K87" s="523"/>
      <c r="L87" s="523"/>
      <c r="M87" s="523"/>
      <c r="N87" s="523"/>
      <c r="O87" s="523"/>
      <c r="P87" s="519"/>
      <c r="Q87" s="52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2014-06-18T07:39:14Z</dcterms:modified>
</cp:coreProperties>
</file>