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62913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6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C23" i="414"/>
  <c r="E23" i="414" s="1"/>
  <c r="F13" i="339"/>
  <c r="E13" i="339"/>
  <c r="E15" i="339" s="1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D18" i="414"/>
  <c r="C4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<sst xmlns="http://schemas.openxmlformats.org/spreadsheetml/2006/main" count="3770" uniqueCount="1161">
  <si>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</si>
  <si>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</si>
  <si>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</si>
  <si>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</si>
  <si>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</si>
  <si>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</si>
  <si>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</si>
  <si>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</si>
  <si>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</si>
  <si>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</si>
  <si>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</si>
  <si>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</si>
  <si>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</si>
  <si>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</si>
  <si>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</si>
  <si>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</si>
  <si>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</si>
  <si>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</si>
  <si>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</si>
  <si>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</si>
  <si>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</si>
  <si>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</si>
  <si>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</si>
  <si>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</si>
  <si>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</si>
  <si>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</si>
  <si>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</si>
  <si>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</si>
  <si>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</si>
  <si>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</si>
  <si>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</si>
  <si>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</si>
  <si>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</si>
  <si>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</si>
  <si>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</si>
  <si>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</si>
  <si>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</si>
  <si>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</si>
  <si>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</si>
  <si>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</si>
  <si>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</si>
  <si>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</si>
  <si>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</si>
  <si>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</si>
  <si>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</si>
  <si>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</si>
  <si>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</si>
  <si>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</si>
  <si>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</si>
  <si>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</si>
  <si>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</si>
  <si>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</si>
  <si>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</si>
  <si>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</si>
  <si>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</si>
  <si>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</si>
  <si>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</si>
  <si>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</si>
  <si>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</si>
  <si>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</si>
  <si>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</si>
  <si>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</si>
  <si>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</si>
  <si>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</si>
  <si>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</si>
  <si>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</si>
  <si>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</si>
  <si>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</si>
  <si>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</si>
  <si>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</si>
  <si>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</si>
  <si>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</si>
  <si>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</si>
  <si>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</si>
  <si>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</si>
  <si>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</si>
  <si>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</si>
  <si>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</si>
  <si>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</si>
  <si>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</si>
  <si>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</si>
  <si>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</si>
  <si>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</si>
  <si>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</si>
  <si>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</si>
  <si>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</si>
  <si>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</si>
  <si>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</si>
  <si>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</si>
  <si>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</si>
  <si>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</si>
  <si>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</si>
  <si>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</si>
  <si>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</si>
  <si>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</si>
  <si>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</si>
  <si>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</si>
  <si>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</si>
  <si>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</si>
  <si>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</si>
  <si>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</si>
  <si>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</si>
  <si>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</si>
  <si>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</si>
  <si>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</si>
  <si>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</si>
  <si>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</si>
  <si>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</si>
  <si>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</si>
  <si>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</si>
  <si>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</si>
  <si>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</si>
  <si>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</si>
  <si>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</si>
  <si>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</si>
  <si>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</si>
  <si>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</si>
  <si>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</si>
  <si>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</si>
  <si>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</si>
  <si>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</si>
  <si>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</si>
  <si>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</si>
  <si>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</si>
  <si>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</si>
  <si>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</si>
  <si>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</si>
  <si>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</si>
  <si>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</si>
  <si>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</si>
  <si>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</si>
  <si>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</si>
  <si>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</si>
  <si>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</si>
  <si>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</si>
  <si>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</si>
  <si>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</si>
  <si>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</si>
  <si>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</si>
  <si>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</si>
  <si>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</si>
  <si>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</si>
  <si>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</si>
  <si>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</si>
  <si>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</si>
  <si>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</si>
  <si>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</si>
  <si>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</si>
  <si>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</si>
  <si>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</si>
  <si>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</si>
  <si>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</si>
  <si>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</si>
  <si>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</si>
  <si>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</si>
  <si>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</si>
  <si>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</si>
  <si>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</si>
  <si>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</si>
  <si>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</si>
  <si>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</si>
  <si>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</si>
  <si>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</si>
  <si>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</si>
  <si>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</si>
  <si>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</si>
  <si>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</si>
  <si>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</si>
  <si>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</si>
  <si>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</si>
  <si>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</si>
  <si>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</si>
  <si>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</si>
  <si>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</si>
  <si>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</si>
  <si>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</si>
  <si>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</si>
  <si>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</si>
  <si>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</si>
  <si>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</si>
  <si>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</si>
  <si>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</si>
  <si>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</si>
  <si>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</si>
  <si>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</si>
  <si>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</si>
  <si>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</si>
  <si>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</si>
  <si>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</si>
  <si>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</si>
  <si>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</si>
  <si>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</si>
  <si>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</si>
  <si>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</si>
  <si>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</si>
  <si>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</si>
  <si>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</si>
  <si>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</si>
  <si>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</si>
  <si>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</si>
  <si>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</si>
  <si>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</si>
  <si>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</si>
  <si>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</si>
  <si>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</si>
  <si>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</si>
  <si>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</si>
  <si>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</si>
  <si>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</si>
  <si>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</si>
  <si>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</si>
  <si>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</si>
  <si>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</si>
  <si>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</si>
  <si>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</si>
  <si>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</si>
  <si>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</si>
  <si>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</si>
  <si>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</si>
  <si>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</si>
  <si>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</si>
  <si>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</si>
  <si>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</si>
  <si>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</si>
  <si>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</si>
  <si>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</si>
  <si>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</si>
  <si>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</si>
  <si>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</si>
  <si>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</si>
  <si>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</si>
  <si>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</si>
  <si>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</si>
  <si>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</si>
  <si>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</si>
  <si>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</si>
  <si>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</si>
  <si>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</si>
  <si>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</si>
  <si>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</si>
  <si>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</si>
  <si>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</si>
  <si>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</si>
  <si>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</si>
  <si>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</si>
  <si>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</si>
  <si>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</si>
  <si>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</si>
  <si>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</si>
  <si>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</si>
  <si>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</si>
  <si>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</si>
  <si>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</si>
  <si>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</si>
  <si>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</si>
  <si>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</si>
  <si>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</si>
  <si>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</si>
  <si>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</si>
  <si>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</si>
  <si>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</si>
  <si>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</si>
  <si>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</si>
  <si>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</si>
  <si>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</si>
  <si>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</si>
  <si>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</si>
  <si>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</si>
  <si>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</si>
  <si>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</si>
  <si>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</si>
  <si>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</si>
  <si>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</si>
  <si>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</si>
  <si>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</si>
  <si>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</si>
  <si>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</si>
  <si>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</si>
  <si>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</si>
  <si>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</si>
  <si>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</si>
  <si>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</si>
  <si>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</si>
  <si>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</si>
  <si>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</si>
  <si>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</si>
  <si>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</si>
  <si>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</si>
  <si>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</si>
  <si>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</si>
  <si>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</si>
  <si>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</si>
  <si>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</si>
  <si>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</si>
  <si>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</si>
  <si>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</si>
  <si>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</si>
  <si>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</si>
  <si>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</si>
  <si>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</si>
  <si>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</si>
  <si>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</si>
  <si>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</si>
  <si>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</si>
  <si>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</si>
  <si>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</si>
  <si>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</si>
  <si>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</si>
  <si>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</si>
  <si>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</si>
  <si>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</si>
  <si>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</si>
  <si>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</si>
  <si>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</si>
  <si>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</si>
  <si>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</si>
  <si>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</si>
  <si>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</si>
  <si>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</si>
  <si>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</si>
  <si>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</si>
  <si>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</si>
  <si>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</si>
  <si>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</si>
  <si>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</si>
  <si>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</si>
  <si>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</si>
  <si>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</si>
  <si>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</si>
  <si>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</si>
  <si>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</si>
  <si>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</si>
  <si>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</si>
  <si>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</si>
  <si>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</si>
  <si>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</si>
  <si>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</si>
  <si>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</si>
  <si>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</si>
  <si>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</si>
  <si>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</si>
  <si>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</si>
  <si>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</si>
  <si>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</si>
  <si>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</si>
  <si>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</si>
  <si>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</si>
  <si>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</si>
  <si>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</si>
  <si>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</si>
  <si>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</si>
  <si>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</si>
  <si>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</si>
  <si>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</si>
  <si>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</si>
  <si>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</si>
  <si>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</si>
  <si>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</si>
  <si>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</si>
  <si>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</si>
  <si>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</si>
  <si>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</si>
  <si>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</si>
  <si>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</si>
  <si>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</si>
  <si>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</si>
  <si>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</si>
  <si>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</si>
  <si>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</si>
  <si>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</si>
  <si>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</si>
  <si>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</si>
  <si>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</si>
  <si>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</si>
  <si>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</si>
  <si>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</si>
  <si>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</si>
  <si>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</si>
  <si>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</si>
  <si>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</si>
  <si>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</si>
  <si>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</si>
  <si>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</si>
  <si>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</si>
  <si>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</si>
  <si>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</si>
  <si>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</si>
  <si>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</si>
  <si>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</si>
  <si>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</si>
  <si>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</si>
  <si>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</si>
  <si>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</si>
  <si>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</si>
  <si>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</si>
  <si>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</si>
  <si>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</si>
  <si>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</si>
  <si>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</si>
  <si>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</si>
  <si>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</si>
  <si>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</si>
  <si>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</si>
  <si>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</si>
  <si>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</si>
  <si>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</si>
  <si>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</si>
  <si>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</si>
  <si>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</si>
  <si>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</si>
  <si>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</si>
  <si>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</si>
  <si>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</si>
  <si>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</si>
  <si>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</si>
  <si>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</si>
  <si>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</si>
  <si>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</si>
  <si>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</si>
  <si>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</si>
  <si>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</si>
  <si>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</si>
  <si>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</si>
  <si>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</si>
  <si>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</si>
  <si>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</si>
  <si>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</si>
  <si>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</si>
  <si>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</si>
  <si>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</si>
  <si>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</si>
  <si>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</si>
  <si>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</si>
  <si>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</si>
  <si>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</si>
  <si>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</si>
  <si>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</si>
  <si>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</si>
  <si>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</si>
  <si>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</si>
  <si>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</si>
  <si>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</si>
  <si>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</si>
  <si>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</si>
  <si>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</si>
  <si>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</si>
  <si>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50113190     medicinální plyny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</si>
  <si>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</si>
  <si>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</si>
  <si>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</si>
  <si>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</si>
  <si>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</si>
  <si>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</si>
  <si>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</si>
  <si>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</si>
  <si>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</si>
  <si>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</si>
  <si>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</si>
  <si>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</si>
  <si>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</si>
  <si>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</si>
  <si>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</si>
  <si>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</si>
  <si>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</si>
  <si>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</si>
  <si>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</si>
  <si>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</si>
  <si>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</si>
  <si>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</si>
  <si>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</si>
  <si>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</si>
  <si>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</si>
  <si>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</si>
  <si>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100527</t>
  </si>
  <si>
    <t>527</t>
  </si>
  <si>
    <t>NATRIUM SALICYLICUM BIOTIKA</t>
  </si>
  <si>
    <t>INJ 10X10ML 10%</t>
  </si>
  <si>
    <t>107981</t>
  </si>
  <si>
    <t>7981</t>
  </si>
  <si>
    <t>NOVALGIN</t>
  </si>
  <si>
    <t>INJ 10X2ML/1000MG</t>
  </si>
  <si>
    <t>124067</t>
  </si>
  <si>
    <t>HYDROCORTISON VUAB 100 MG</t>
  </si>
  <si>
    <t>INJ PLV SOL 1X100MG</t>
  </si>
  <si>
    <t>158249</t>
  </si>
  <si>
    <t>58249</t>
  </si>
  <si>
    <t>GUAJACURAN « 5 % INJ</t>
  </si>
  <si>
    <t>176496</t>
  </si>
  <si>
    <t>76496</t>
  </si>
  <si>
    <t>BERODUAL</t>
  </si>
  <si>
    <t>INH LIQ 1X20ML</t>
  </si>
  <si>
    <t>189212</t>
  </si>
  <si>
    <t>89212</t>
  </si>
  <si>
    <t>INJECTIO PROCAIN.CHLOR.0.2% ARD</t>
  </si>
  <si>
    <t>INJ 1X200ML 0.2%</t>
  </si>
  <si>
    <t>395997</t>
  </si>
  <si>
    <t>DZ SOFTASEPT N BEZBARVÝ 250 ml</t>
  </si>
  <si>
    <t>920304</t>
  </si>
  <si>
    <t>KL EKG GEL 100G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</si>
  <si>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</si>
  <si>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</si>
  <si>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</si>
  <si>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</si>
  <si>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</si>
  <si>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</si>
  <si>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</si>
  <si>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</si>
  <si>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</si>
  <si>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</si>
  <si>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</si>
  <si>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</si>
  <si>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</si>
  <si>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</si>
  <si>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900321</t>
  </si>
  <si>
    <t>KL PRIPRAVEK</t>
  </si>
  <si>
    <t>169755</t>
  </si>
  <si>
    <t>69755</t>
  </si>
  <si>
    <t>ARDEANUTRISOL G 40</t>
  </si>
  <si>
    <t>INF 1X80ML</t>
  </si>
  <si>
    <t>P</t>
  </si>
  <si>
    <t>132087</t>
  </si>
  <si>
    <t>32087</t>
  </si>
  <si>
    <t>TRALGIT 100 INJ</t>
  </si>
  <si>
    <t>INJ SOL 5X2ML/100MG</t>
  </si>
  <si>
    <t>104062</t>
  </si>
  <si>
    <t>4062</t>
  </si>
  <si>
    <t>CAVINTON</t>
  </si>
  <si>
    <t>156171</t>
  </si>
  <si>
    <t>56171</t>
  </si>
  <si>
    <t>ENGERIX-B 20RG(VE STRIKACCE)</t>
  </si>
  <si>
    <t>INJ 1X1ML/20RG</t>
  </si>
  <si>
    <t>28144</t>
  </si>
  <si>
    <t>DUKORAL</t>
  </si>
  <si>
    <t>POR SUS 3ML+2SAC</t>
  </si>
  <si>
    <t>100084</t>
  </si>
  <si>
    <t>VAXIGRIP</t>
  </si>
  <si>
    <t>INJ SUS 20X0.5ML/DÁV+J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</si>
  <si>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</si>
  <si>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</si>
  <si>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</si>
  <si>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</si>
  <si>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</si>
  <si>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</si>
  <si>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</si>
  <si>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</si>
  <si>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149080</t>
  </si>
  <si>
    <t>IXIARO 6 MCG</t>
  </si>
  <si>
    <t>INJ SUS 1X0.5ML/DÁV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</si>
  <si>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</si>
  <si>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</si>
  <si>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</si>
  <si>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</si>
  <si>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</si>
  <si>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</si>
  <si>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</si>
  <si>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</si>
  <si>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</si>
  <si>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</si>
  <si>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</si>
  <si>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</si>
  <si>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193236</t>
  </si>
  <si>
    <t>NIMENRIX 5 MCG</t>
  </si>
  <si>
    <t>INJ PSO LQF 1+1X1.25ML</t>
  </si>
  <si>
    <t>847178</t>
  </si>
  <si>
    <t>107496</t>
  </si>
  <si>
    <t>VERORAB</t>
  </si>
  <si>
    <t>INJ PSU LQF 1DAV.+0.5ML ST</t>
  </si>
  <si>
    <t>185172</t>
  </si>
  <si>
    <t>85172</t>
  </si>
  <si>
    <t>PNEUMO 23</t>
  </si>
  <si>
    <t>INJ SOL1X0.5ML</t>
  </si>
  <si>
    <t>120102</t>
  </si>
  <si>
    <t>BOOSTRIX INJ. STŘÍKAČKA</t>
  </si>
  <si>
    <t>INJ SUS 1X1DÁV</t>
  </si>
  <si>
    <t>132827</t>
  </si>
  <si>
    <t>32827</t>
  </si>
  <si>
    <t>ENCEPUR PRO DOSPĚLÉ</t>
  </si>
  <si>
    <t>INJ SUS 1X0.5ML+JEH</t>
  </si>
  <si>
    <t>155106</t>
  </si>
  <si>
    <t>55106</t>
  </si>
  <si>
    <t>FSME-IMMUN 0.25ML BAXTER</t>
  </si>
  <si>
    <t>INJ SUS1X0.25ML/DÁV</t>
  </si>
  <si>
    <t>10277</t>
  </si>
  <si>
    <t>VARILRIX</t>
  </si>
  <si>
    <t>INJ PSO LQF 1DÁV+ST2J</t>
  </si>
  <si>
    <t>168331</t>
  </si>
  <si>
    <t>MENVEO</t>
  </si>
  <si>
    <t>INJ PSL SOL 1+1</t>
  </si>
  <si>
    <t>845282</t>
  </si>
  <si>
    <t>107133</t>
  </si>
  <si>
    <t>AVAXIM</t>
  </si>
  <si>
    <t>INJ SUS 1X0.5ML-STŘ</t>
  </si>
  <si>
    <t>103073</t>
  </si>
  <si>
    <t>ENGERIX-B 20 MCG</t>
  </si>
  <si>
    <t>INJ SUS 1X1ML/20RG</t>
  </si>
  <si>
    <t>Klinika pracovního lékařství, ambulance</t>
  </si>
  <si>
    <t>PRAC, ambulance - Centrum očkování</t>
  </si>
  <si>
    <t>Lékárna - léčiva</t>
  </si>
  <si>
    <t>1921 - Klinika pracovního lékařství, ambulance</t>
  </si>
  <si>
    <t>N06BX18 - Vinpocetin</t>
  </si>
  <si>
    <t>N02AX02 - Tramadol</t>
  </si>
  <si>
    <t>N02AX02</t>
  </si>
  <si>
    <t>N06BX18</t>
  </si>
  <si>
    <t>INJ SOL 10X2ML/10MG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</si>
  <si>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</si>
  <si>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</si>
  <si>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</si>
  <si>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</si>
  <si>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</si>
  <si>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</si>
  <si>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</si>
  <si>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</si>
  <si>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</si>
  <si>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</si>
  <si>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</si>
  <si>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Fialová Jarmila</t>
  </si>
  <si>
    <t>Holá Jaroslava</t>
  </si>
  <si>
    <t>Nakládalová Marie</t>
  </si>
  <si>
    <t>Radiměřská Dagmar</t>
  </si>
  <si>
    <t>Vildová Helena</t>
  </si>
  <si>
    <t>Aciklovir</t>
  </si>
  <si>
    <t>84129</t>
  </si>
  <si>
    <t>HERPESIN 400</t>
  </si>
  <si>
    <t>POR TBL NOB 50X400MG</t>
  </si>
  <si>
    <t>Amoxicilin a enzymový inhibitor</t>
  </si>
  <si>
    <t>12494</t>
  </si>
  <si>
    <t>AUGMENTIN 1 G</t>
  </si>
  <si>
    <t>POR TBL FLM 14 I</t>
  </si>
  <si>
    <t>Cetirizin</t>
  </si>
  <si>
    <t>47032</t>
  </si>
  <si>
    <t>ZYRTEC</t>
  </si>
  <si>
    <t>POR TBL FLM 50X10MG</t>
  </si>
  <si>
    <t>Diklofenak</t>
  </si>
  <si>
    <t>75633</t>
  </si>
  <si>
    <t>DICLOFENAC AL RETARD</t>
  </si>
  <si>
    <t>POR TBL RET 100X100MG</t>
  </si>
  <si>
    <t>Diosmin, kombinace</t>
  </si>
  <si>
    <t>14075</t>
  </si>
  <si>
    <t>DETRALEX</t>
  </si>
  <si>
    <t>POR TBL FLM 60X500MG</t>
  </si>
  <si>
    <t>Klarithromycin</t>
  </si>
  <si>
    <t>53853</t>
  </si>
  <si>
    <t>KLACID 500</t>
  </si>
  <si>
    <t>POR TBL FLM 14X500MG</t>
  </si>
  <si>
    <t>Kyanokobalamin</t>
  </si>
  <si>
    <t>643</t>
  </si>
  <si>
    <t>VITAMIN B12 LÉČIVA 1000 MCG</t>
  </si>
  <si>
    <t>INJ SOL 5X1ML/1000RG</t>
  </si>
  <si>
    <t>Levothyroxin, sodná sůl</t>
  </si>
  <si>
    <t>47141</t>
  </si>
  <si>
    <t>LETROX 50</t>
  </si>
  <si>
    <t>POR TBL NOB 100X50RG I</t>
  </si>
  <si>
    <t>Nifuroxazid</t>
  </si>
  <si>
    <t>46405</t>
  </si>
  <si>
    <t>ERCEFURYL 200 MG CPS.</t>
  </si>
  <si>
    <t>POR CPS DUR 14X200MG</t>
  </si>
  <si>
    <t>Nimesulid</t>
  </si>
  <si>
    <t>12892</t>
  </si>
  <si>
    <t>AULIN</t>
  </si>
  <si>
    <t>POR TBL NOB 30X100MG</t>
  </si>
  <si>
    <t>Ofloxacin</t>
  </si>
  <si>
    <t>56675</t>
  </si>
  <si>
    <t>FLOXAL</t>
  </si>
  <si>
    <t>OPH GTT SOL 1X5ML</t>
  </si>
  <si>
    <t>Pentoxifylin</t>
  </si>
  <si>
    <t>155875</t>
  </si>
  <si>
    <t>TRENTAL</t>
  </si>
  <si>
    <t>INF SOL 5X5ML/100MG</t>
  </si>
  <si>
    <t>45008</t>
  </si>
  <si>
    <t>214616</t>
  </si>
  <si>
    <t>Progvanil, kombinace</t>
  </si>
  <si>
    <t>30690</t>
  </si>
  <si>
    <t>MALARONE</t>
  </si>
  <si>
    <t>POR TBL FLM 12</t>
  </si>
  <si>
    <t>Přípravky pro léčbu bradavic a kuřích ok</t>
  </si>
  <si>
    <t>60890</t>
  </si>
  <si>
    <t>VERRUMAL</t>
  </si>
  <si>
    <t>DRM SOL 13ML</t>
  </si>
  <si>
    <t>Pseudoefedrin, kombinace</t>
  </si>
  <si>
    <t>64934</t>
  </si>
  <si>
    <t>CLARINASE REPETABS</t>
  </si>
  <si>
    <t>POR TBL RET 7</t>
  </si>
  <si>
    <t>Sulodexid</t>
  </si>
  <si>
    <t>96117</t>
  </si>
  <si>
    <t>VESSEL DUE F</t>
  </si>
  <si>
    <t>INJ SOL 10X2ML/600LSU</t>
  </si>
  <si>
    <t>Sumatriptan</t>
  </si>
  <si>
    <t>14786</t>
  </si>
  <si>
    <t>ROSEMIG 100 MG</t>
  </si>
  <si>
    <t>POR TBL FLM 2X100MG I</t>
  </si>
  <si>
    <t>99600</t>
  </si>
  <si>
    <t>ZODAC</t>
  </si>
  <si>
    <t>POR TBL FLM 90X10MG</t>
  </si>
  <si>
    <t>201992</t>
  </si>
  <si>
    <t>POR TBL FLM 120X500MG</t>
  </si>
  <si>
    <t>Epinefrin (adrenalin)</t>
  </si>
  <si>
    <t>180471</t>
  </si>
  <si>
    <t>EPIPEN 300 MIKROGRAMŮ</t>
  </si>
  <si>
    <t>INJ SOL PEP 1X0.3ML</t>
  </si>
  <si>
    <t>Isosorbid-dinitrát</t>
  </si>
  <si>
    <t>85719</t>
  </si>
  <si>
    <t>ISOKET SPRAY</t>
  </si>
  <si>
    <t>ORM SPR SLG 1X15ML</t>
  </si>
  <si>
    <t>Kyselina acetylsalicylová</t>
  </si>
  <si>
    <t>155782</t>
  </si>
  <si>
    <t>GODASAL 100</t>
  </si>
  <si>
    <t>POR TBL NOB 100</t>
  </si>
  <si>
    <t>Loperamid</t>
  </si>
  <si>
    <t>189238</t>
  </si>
  <si>
    <t>IMODIUM RAPID 2 MG</t>
  </si>
  <si>
    <t>POR TBL DIS 12X2MG</t>
  </si>
  <si>
    <t>Losartan</t>
  </si>
  <si>
    <t>13888</t>
  </si>
  <si>
    <t>LOZAP 12,5 ZENTIVA</t>
  </si>
  <si>
    <t>POR TBL FLM 90X12.5MG</t>
  </si>
  <si>
    <t>Rosuvastatin</t>
  </si>
  <si>
    <t>148070</t>
  </si>
  <si>
    <t>ROSUCARD 10 MG POTAHOVANÉ TABLETY</t>
  </si>
  <si>
    <t>Aceklofenak</t>
  </si>
  <si>
    <t>160839</t>
  </si>
  <si>
    <t>BIOFENAC 100 MG POTAHOVANÉ TABLETY</t>
  </si>
  <si>
    <t>POR TBL FLM 60X100MG</t>
  </si>
  <si>
    <t>Acetazolamid</t>
  </si>
  <si>
    <t>113</t>
  </si>
  <si>
    <t>DILURAN</t>
  </si>
  <si>
    <t>POR TBL NOB 20X250MG</t>
  </si>
  <si>
    <t>Alopurinol</t>
  </si>
  <si>
    <t>2592</t>
  </si>
  <si>
    <t>MILURIT 100</t>
  </si>
  <si>
    <t>POR TBL NOB 50X100MG</t>
  </si>
  <si>
    <t>Alprazolam</t>
  </si>
  <si>
    <t>90957</t>
  </si>
  <si>
    <t>XANAX 0,25 MG</t>
  </si>
  <si>
    <t>POR TBL NOB 30X0.25MG</t>
  </si>
  <si>
    <t>Citalopram</t>
  </si>
  <si>
    <t>17431</t>
  </si>
  <si>
    <t>CITALEC 20 ZENTIVA</t>
  </si>
  <si>
    <t>POR TBL FLM 30X20MG</t>
  </si>
  <si>
    <t>Dexketoprofen</t>
  </si>
  <si>
    <t>57094</t>
  </si>
  <si>
    <t>DEXOKET 12,5 TABLETY</t>
  </si>
  <si>
    <t>POR TBL FLM 10X12.5MG</t>
  </si>
  <si>
    <t>119672</t>
  </si>
  <si>
    <t>DICLOFENAC DUO PHARMASWISS 75 MG</t>
  </si>
  <si>
    <t>POR CPS RDR 30X75MG I</t>
  </si>
  <si>
    <t>75631</t>
  </si>
  <si>
    <t>POR TBL RET 20X100MG</t>
  </si>
  <si>
    <t>Drotaverin</t>
  </si>
  <si>
    <t>192729</t>
  </si>
  <si>
    <t>NO-SPA</t>
  </si>
  <si>
    <t>POR TBL NOB 24X40MG</t>
  </si>
  <si>
    <t>Hořčík (různé sole v kombinaci)</t>
  </si>
  <si>
    <t>66555</t>
  </si>
  <si>
    <t>MAGNOSOLV</t>
  </si>
  <si>
    <t>POR GRA SOL SCC 30X365MG</t>
  </si>
  <si>
    <t>Hydroxyzin</t>
  </si>
  <si>
    <t>85060</t>
  </si>
  <si>
    <t>ATARAX</t>
  </si>
  <si>
    <t>POR TBL FLM 25X25MG</t>
  </si>
  <si>
    <t>Chinapril</t>
  </si>
  <si>
    <t>94959</t>
  </si>
  <si>
    <t>ACCUPRO 10</t>
  </si>
  <si>
    <t>POR TBL FLM 30X10MG</t>
  </si>
  <si>
    <t>Jiná antibiotika pro lokální aplikaci</t>
  </si>
  <si>
    <t>1066</t>
  </si>
  <si>
    <t>FRAMYKOIN</t>
  </si>
  <si>
    <t>DRM UNG 10GM</t>
  </si>
  <si>
    <t>Ketoprofen</t>
  </si>
  <si>
    <t>18966</t>
  </si>
  <si>
    <t>KEPLAT</t>
  </si>
  <si>
    <t>DRM EMP MED 7X20 MG</t>
  </si>
  <si>
    <t>Kolchicin</t>
  </si>
  <si>
    <t>119697</t>
  </si>
  <si>
    <t>COLCHICUM-DISPERT</t>
  </si>
  <si>
    <t>POR TBL OBD 20X500RG</t>
  </si>
  <si>
    <t>Levocetirizin</t>
  </si>
  <si>
    <t>124339</t>
  </si>
  <si>
    <t>CEZERA 5 MG</t>
  </si>
  <si>
    <t>POR TBL FLM 10X5MG</t>
  </si>
  <si>
    <t>137174</t>
  </si>
  <si>
    <t>POR TBL FLM 30X5MG</t>
  </si>
  <si>
    <t>13894</t>
  </si>
  <si>
    <t>LOZAP 50 ZENTIVA</t>
  </si>
  <si>
    <t>POR TBL FLM 90X50MG I</t>
  </si>
  <si>
    <t>Losartan a diuretika</t>
  </si>
  <si>
    <t>15317</t>
  </si>
  <si>
    <t>LOZAP H</t>
  </si>
  <si>
    <t>POR TBL FLM 90</t>
  </si>
  <si>
    <t>Makrogol</t>
  </si>
  <si>
    <t>58827</t>
  </si>
  <si>
    <t>FORTRANS</t>
  </si>
  <si>
    <t>POR PLV SOL 1X4</t>
  </si>
  <si>
    <t>Metformin</t>
  </si>
  <si>
    <t>18630</t>
  </si>
  <si>
    <t>SIOFOR 1000</t>
  </si>
  <si>
    <t>POR TBL FLM 60X1000MG</t>
  </si>
  <si>
    <t>Metoprolol</t>
  </si>
  <si>
    <t>46980</t>
  </si>
  <si>
    <t>BETALOC SR 200 MG</t>
  </si>
  <si>
    <t>POR TBL PRO 100X200MG</t>
  </si>
  <si>
    <t>12895</t>
  </si>
  <si>
    <t>POR GRA SUS 30X100MG I</t>
  </si>
  <si>
    <t>Omeprazol</t>
  </si>
  <si>
    <t>132530</t>
  </si>
  <si>
    <t>HELICID 20</t>
  </si>
  <si>
    <t>POR CPS ETD 28X20MG</t>
  </si>
  <si>
    <t>Prednison</t>
  </si>
  <si>
    <t>2963</t>
  </si>
  <si>
    <t>PREDNISON 20 LÉČIVA</t>
  </si>
  <si>
    <t>POR TBL NOB 20X20MG</t>
  </si>
  <si>
    <t>Tizanidin</t>
  </si>
  <si>
    <t>16051</t>
  </si>
  <si>
    <t>SIRDALUD 2 MG</t>
  </si>
  <si>
    <t>POR TBL NOB 30X2MG</t>
  </si>
  <si>
    <t>Tramadol</t>
  </si>
  <si>
    <t>84262</t>
  </si>
  <si>
    <t>TRALGIT GTT.</t>
  </si>
  <si>
    <t>POR GTT SOL 1X96ML</t>
  </si>
  <si>
    <t>Verapamil</t>
  </si>
  <si>
    <t>43879</t>
  </si>
  <si>
    <t>VEROGALID ER 240 MG</t>
  </si>
  <si>
    <t>POR TBL PRO 100X240MG</t>
  </si>
  <si>
    <t>191730</t>
  </si>
  <si>
    <t>Ambroxol</t>
  </si>
  <si>
    <t>45325</t>
  </si>
  <si>
    <t>MUCOSOLVAN</t>
  </si>
  <si>
    <t>POR TBL NOB 50X30MG</t>
  </si>
  <si>
    <t>Atorvastatin</t>
  </si>
  <si>
    <t>93016</t>
  </si>
  <si>
    <t>SORTIS 20 MG</t>
  </si>
  <si>
    <t>Doxycyklin</t>
  </si>
  <si>
    <t>4013</t>
  </si>
  <si>
    <t>DOXYBENE 200 MG TABLETY</t>
  </si>
  <si>
    <t>POR TBL NOB 10X200MG</t>
  </si>
  <si>
    <t>Fosinopril</t>
  </si>
  <si>
    <t>84530</t>
  </si>
  <si>
    <t>MONOPRIL 20 MG</t>
  </si>
  <si>
    <t>POR TBL NOB 28X20MG</t>
  </si>
  <si>
    <t>Klopidogrel</t>
  </si>
  <si>
    <t>169252</t>
  </si>
  <si>
    <t>TROMBEX 75 MG POTAHOVANÉ TABLETY</t>
  </si>
  <si>
    <t>POR TBL FLM 90X75MG</t>
  </si>
  <si>
    <t>149483</t>
  </si>
  <si>
    <t>ZYLLT 75 MG</t>
  </si>
  <si>
    <t>POR TBL FLM 56X75MG</t>
  </si>
  <si>
    <t>Mupirocin</t>
  </si>
  <si>
    <t>90778</t>
  </si>
  <si>
    <t>BACTROBAN</t>
  </si>
  <si>
    <t>DRM UNG 1X15GM</t>
  </si>
  <si>
    <t>Ramipril a diuretika</t>
  </si>
  <si>
    <t>125099</t>
  </si>
  <si>
    <t>TRITAZIDE 5 MG/25 MG</t>
  </si>
  <si>
    <t>POR TBL NOB 28</t>
  </si>
  <si>
    <t>Rifaximin</t>
  </si>
  <si>
    <t>44285</t>
  </si>
  <si>
    <t>NORMIX</t>
  </si>
  <si>
    <t>POR TBL FLM 12X200MG</t>
  </si>
  <si>
    <t>Zolpidem</t>
  </si>
  <si>
    <t>163146</t>
  </si>
  <si>
    <t>HYPNOGEN</t>
  </si>
  <si>
    <t>POR TBL FLM 20X10MG</t>
  </si>
  <si>
    <t>163149</t>
  </si>
  <si>
    <t>POR TBL FLM 100X10MG</t>
  </si>
  <si>
    <t>163145</t>
  </si>
  <si>
    <t>75632</t>
  </si>
  <si>
    <t>POR TBL RET 50X100MG</t>
  </si>
  <si>
    <t>113892</t>
  </si>
  <si>
    <t>METFORMIN-TEVA 1000 MG POTAHOVANÉ TABLETY</t>
  </si>
  <si>
    <t>122136</t>
  </si>
  <si>
    <t>METFIREX 1 G</t>
  </si>
  <si>
    <t>169550</t>
  </si>
  <si>
    <t>METFORMIN MYLAN 1000 MG</t>
  </si>
  <si>
    <t>POR TBL FLM 90X1000MG</t>
  </si>
  <si>
    <t>Methylprednisolon</t>
  </si>
  <si>
    <t>40368</t>
  </si>
  <si>
    <t>MEDROL 4 MG</t>
  </si>
  <si>
    <t>POR TBL NOB 30X4MG</t>
  </si>
  <si>
    <t>Telmisartan a diuretika</t>
  </si>
  <si>
    <t>26575</t>
  </si>
  <si>
    <t>MICARDISPLUS 80 MG/12,5 MG</t>
  </si>
  <si>
    <t>POR TBL NOB 98</t>
  </si>
  <si>
    <t>26578</t>
  </si>
  <si>
    <t>Desloratadin</t>
  </si>
  <si>
    <t>27899</t>
  </si>
  <si>
    <t>AERIUS 5 MG</t>
  </si>
  <si>
    <t>POR TBL FLM 90X5MG</t>
  </si>
  <si>
    <t>Erdostein</t>
  </si>
  <si>
    <t>87076</t>
  </si>
  <si>
    <t>ERDOMED</t>
  </si>
  <si>
    <t>POR CPS DUR 20X300MG</t>
  </si>
  <si>
    <t>Mefenoxalon</t>
  </si>
  <si>
    <t>85656</t>
  </si>
  <si>
    <t>DORSIFLEX 200 MG</t>
  </si>
  <si>
    <t>POR TBL NOB 30X200MG</t>
  </si>
  <si>
    <t>155871</t>
  </si>
  <si>
    <t>Perindopril</t>
  </si>
  <si>
    <t>101227</t>
  </si>
  <si>
    <t>PRESTARIUM NEO FORTE</t>
  </si>
  <si>
    <t>Sodná sůl metamizolu</t>
  </si>
  <si>
    <t>55823</t>
  </si>
  <si>
    <t>NOVALGIN TABLETY</t>
  </si>
  <si>
    <t>POR TBL FLM 20X500MG</t>
  </si>
  <si>
    <t>16286</t>
  </si>
  <si>
    <t>STILNOX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</si>
  <si>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</si>
  <si>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</si>
  <si>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</si>
  <si>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</si>
  <si>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C08DA01 - Verapamil</t>
  </si>
  <si>
    <t>C09BA05 - Ramipril a diuretika</t>
  </si>
  <si>
    <t>A10BA02 - Metformin</t>
  </si>
  <si>
    <t>R06AE07 - Cetirizin</t>
  </si>
  <si>
    <t>H03AA01 - Levothyroxin, sodná sůl</t>
  </si>
  <si>
    <t>N05BA12 - Alprazolam</t>
  </si>
  <si>
    <t>C09AA04 - Perindopril</t>
  </si>
  <si>
    <t>J01FA09 - Klarithromycin</t>
  </si>
  <si>
    <t>M01AX17 - Nimesulid</t>
  </si>
  <si>
    <t>C09CA01 - Losartan</t>
  </si>
  <si>
    <t>N02CC01 - Sumatriptan</t>
  </si>
  <si>
    <t>C09DA01 - Losartan a diuretika</t>
  </si>
  <si>
    <t>N06AB04 - Citalopram</t>
  </si>
  <si>
    <t>C10AA05 - Atorvastatin</t>
  </si>
  <si>
    <t>R06AE09 - Levocetirizin</t>
  </si>
  <si>
    <t>C10AA07 - Rosuvastatin</t>
  </si>
  <si>
    <t>H02AB04 - Methylprednisolon</t>
  </si>
  <si>
    <t>H03AA01</t>
  </si>
  <si>
    <t>M01AX17</t>
  </si>
  <si>
    <t>N02CC01</t>
  </si>
  <si>
    <t>R06AE07</t>
  </si>
  <si>
    <t>C09CA01</t>
  </si>
  <si>
    <t>C10AA07</t>
  </si>
  <si>
    <t>A10BA02</t>
  </si>
  <si>
    <t>C08DA01</t>
  </si>
  <si>
    <t>C09DA01</t>
  </si>
  <si>
    <t>N05BA12</t>
  </si>
  <si>
    <t>N06AB04</t>
  </si>
  <si>
    <t>R06AE09</t>
  </si>
  <si>
    <t>B01AC04</t>
  </si>
  <si>
    <t>C09BA05</t>
  </si>
  <si>
    <t>C10AA05</t>
  </si>
  <si>
    <t>J01FA09</t>
  </si>
  <si>
    <t>H02AB04</t>
  </si>
  <si>
    <t>C09AA04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</si>
  <si>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</si>
  <si>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</si>
  <si>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</si>
  <si>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</si>
  <si>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</si>
  <si>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</si>
  <si>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ZA429</t>
  </si>
  <si>
    <t>Obinadlo elastické idealtex   8 cm x 5 m 931061</t>
  </si>
  <si>
    <t>ZA446</t>
  </si>
  <si>
    <t>Vata buničitá přířezy 20 x 30 cm 1230200129</t>
  </si>
  <si>
    <t>ZA562</t>
  </si>
  <si>
    <t>Náplast cosmopor i. v. 6 x 8 cm 9008054</t>
  </si>
  <si>
    <t>ZA593</t>
  </si>
  <si>
    <t>Tampon stáčený sterilní 20 x 20 cm / 5 ks 28003</t>
  </si>
  <si>
    <t>ZB404</t>
  </si>
  <si>
    <t>Náplast cosmos 8 cm x 1 m 5403353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</si>
  <si>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</si>
  <si>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</si>
  <si>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</si>
  <si>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</si>
  <si>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</si>
  <si>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</si>
  <si>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</si>
  <si>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</si>
  <si>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</si>
  <si>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</si>
  <si>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</si>
  <si>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</si>
  <si>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ZA728</t>
  </si>
  <si>
    <t>Lopatka lékařská nesterilní dřevěná ústní bal. á 100 ks 1320100655</t>
  </si>
  <si>
    <t>Lopatka ústní dřevěná lékařská nesterilní bal. á 100 ks 1320100655</t>
  </si>
  <si>
    <t>ZA788</t>
  </si>
  <si>
    <t>Stříkačka injekční 2-dílná 20 ml L Inject Solo 4606205V</t>
  </si>
  <si>
    <t>ZA808</t>
  </si>
  <si>
    <t>Kanyla venofix safety 23G modrá 4056353</t>
  </si>
  <si>
    <t>ZB724</t>
  </si>
  <si>
    <t>Kapilára sedimentační kalibrovaná 727111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</si>
  <si>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</si>
  <si>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</si>
  <si>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</si>
  <si>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</si>
  <si>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</si>
  <si>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</si>
  <si>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ZB761</t>
  </si>
  <si>
    <t>Zkumavka červená 4 ml 454092</t>
  </si>
  <si>
    <t>ZB762</t>
  </si>
  <si>
    <t>Zkumavka červená 6 ml 456092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</si>
  <si>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</si>
  <si>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</si>
  <si>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</si>
  <si>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</si>
  <si>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</si>
  <si>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</si>
  <si>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ZB776</t>
  </si>
  <si>
    <t>Zkumavka zelená 3 ml 454082</t>
  </si>
  <si>
    <t>ZB777</t>
  </si>
  <si>
    <t>Zkumavka červená 4 ml gel 454071</t>
  </si>
  <si>
    <t>ZD903</t>
  </si>
  <si>
    <t>Kontejner+lopatka 30 ml nesterilní 331690251330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</si>
  <si>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</si>
  <si>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</si>
  <si>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</si>
  <si>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</si>
  <si>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</si>
  <si>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</si>
  <si>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</si>
  <si>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</si>
  <si>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ZG466</t>
  </si>
  <si>
    <t>Náústek papírový pro spirometr 26/24 flowscreen bal. á 100 ks 400847690</t>
  </si>
  <si>
    <t>ZA715</t>
  </si>
  <si>
    <t>Set infuzní intrafix primeline classic 150 cm 4062957</t>
  </si>
  <si>
    <t>ZA360</t>
  </si>
  <si>
    <t>Jehla sterican 0,5 x 25 mm oranžová 9186158</t>
  </si>
  <si>
    <t>ZA832</t>
  </si>
  <si>
    <t>Jehla injekční 0,9 x 40 mm žlutá 4657519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</si>
  <si>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</si>
  <si>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</si>
  <si>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</si>
  <si>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</si>
  <si>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</si>
  <si>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</si>
  <si>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</si>
  <si>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</si>
  <si>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</si>
  <si>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</si>
  <si>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ZF714</t>
  </si>
  <si>
    <t>Náplast derma plast sensitive spots pr.22 mm bal. á 200 ks 535382</t>
  </si>
  <si>
    <t>ZA789</t>
  </si>
  <si>
    <t>Stříkačka injekční 2-dílná 2 ml L Inject Solo 4606027V</t>
  </si>
  <si>
    <t>ZB775</t>
  </si>
  <si>
    <t>Zkumavka koagulace 4 ml modrá 454328</t>
  </si>
  <si>
    <t>Zkumavka koagulace 4 ml modrá 454329</t>
  </si>
  <si>
    <t>ZC769</t>
  </si>
  <si>
    <t>Hadička spojovací HS 1,8 x 450LL 606301-ND</t>
  </si>
  <si>
    <t>ZI182</t>
  </si>
  <si>
    <t>Zkumavka + aplikátor s chem.stabilizátorem UriSwab žlutá 802CE.A</t>
  </si>
  <si>
    <t>ZB533</t>
  </si>
  <si>
    <t>Zkumavka na kovy 6 ml 456080</t>
  </si>
  <si>
    <t>ZB556</t>
  </si>
  <si>
    <t>Jehla injekční 1,2 x 40 mm růžová 4665120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</si>
  <si>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</si>
  <si>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</si>
  <si>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</si>
  <si>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</si>
  <si>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</si>
  <si>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</si>
  <si>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</si>
  <si>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</si>
  <si>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</si>
  <si>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</si>
  <si>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</si>
  <si>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</si>
  <si>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</si>
  <si>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</si>
  <si>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</si>
  <si>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</si>
  <si>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</si>
  <si>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</si>
  <si>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</si>
  <si>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</si>
  <si>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Aujeský René</t>
  </si>
  <si>
    <t>beze jména</t>
  </si>
  <si>
    <t>Schusterová Bronislava</t>
  </si>
  <si>
    <t>Smolková Petra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</si>
  <si>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</si>
  <si>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</si>
  <si>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</si>
  <si>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</si>
  <si>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</si>
  <si>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</si>
  <si>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</si>
  <si>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</si>
  <si>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0000610</t>
  </si>
  <si>
    <t>SYNTOPHYLLIN</t>
  </si>
  <si>
    <t>0007981</t>
  </si>
  <si>
    <t>NOVALGIN INJEKCE</t>
  </si>
  <si>
    <t>0032087</t>
  </si>
  <si>
    <t>0058249</t>
  </si>
  <si>
    <t>GUAJACURAN 5%</t>
  </si>
  <si>
    <t>0058712</t>
  </si>
  <si>
    <t>INFUSIO NATRII CHLORATI ISOTONICA MEDIEKOS F 1/1</t>
  </si>
  <si>
    <t>0083947</t>
  </si>
  <si>
    <t>0089212</t>
  </si>
  <si>
    <t>INJECTIO PROCAINII CHLORATI 0,2% ARDEAPHARMA</t>
  </si>
  <si>
    <t>0107295</t>
  </si>
  <si>
    <t>0.9%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</si>
  <si>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</si>
  <si>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</si>
  <si>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</si>
  <si>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</si>
  <si>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</si>
  <si>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</si>
  <si>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</si>
  <si>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</si>
  <si>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</si>
  <si>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</si>
  <si>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</si>
  <si>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</si>
  <si>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</si>
  <si>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</si>
  <si>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</si>
  <si>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</si>
  <si>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</si>
  <si>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</si>
  <si>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PLETYSMOGRAFICKÉ METODY JEDNODUCHÉ (NA JEDNÉ KONČE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</si>
  <si>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</si>
  <si>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</si>
  <si>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</si>
  <si>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</si>
  <si>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</si>
  <si>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</si>
  <si>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</si>
  <si>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</si>
  <si>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</si>
  <si>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</si>
  <si>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</si>
  <si>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</si>
  <si>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</si>
  <si>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</si>
  <si>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</si>
  <si>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</si>
  <si>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</si>
  <si>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</si>
  <si>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</si>
  <si>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</si>
  <si>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</si>
  <si>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</si>
  <si>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</si>
  <si>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</si>
  <si>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</si>
  <si>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</si>
  <si>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</si>
  <si>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</si>
  <si>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</si>
  <si>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 xml:space="preserve">PLETYSMOGRAFICKÉ METODY ZÁTĚŽOVÉ A SLOŽITĚJŠÍ (NA </t>
  </si>
  <si>
    <t>41021</t>
  </si>
  <si>
    <t>KOMPLEXNÍ VYŠETŘENÍ PRACOVNÍM LÉKAŘEM</t>
  </si>
  <si>
    <t>41040</t>
  </si>
  <si>
    <t>POSOUZENÍ ZDRAVOTNÍHO STAVU Z HLEDISKA PROFESIONÁL</t>
  </si>
  <si>
    <t>902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</si>
  <si>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</si>
  <si>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</si>
  <si>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</si>
  <si>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</si>
  <si>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16 - Klinika plicních nemocí a tuberkulózy</t>
  </si>
  <si>
    <t>17 - Neurologická klinika</t>
  </si>
  <si>
    <t>01</t>
  </si>
  <si>
    <t>03</t>
  </si>
  <si>
    <t>05</t>
  </si>
  <si>
    <t>16</t>
  </si>
  <si>
    <t>17</t>
  </si>
  <si>
    <t>Zdravotní výkony vykázané na pracovišti pro pacienty hospitalizované ve FNOL - orientační přehled</t>
  </si>
  <si>
    <t>34 - Radiologická klinika</t>
  </si>
  <si>
    <t>34</t>
  </si>
  <si>
    <t>809</t>
  </si>
  <si>
    <t>89131</t>
  </si>
  <si>
    <t>RTG HRUDNÍKU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</si>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</sst>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6" xfId="0" applyNumberFormat="1" applyFont="1" applyFill="1" applyBorder="1"/>
    <xf numFmtId="3" fontId="54" fillId="8" borderId="77" xfId="0" applyNumberFormat="1" applyFont="1" applyFill="1" applyBorder="1"/>
    <xf numFmtId="3" fontId="54" fillId="8" borderId="76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80" xfId="0" applyNumberFormat="1" applyFont="1" applyFill="1" applyBorder="1" applyAlignment="1">
      <alignment horizontal="center" vertical="center"/>
    </xf>
    <xf numFmtId="0" fontId="40" fillId="2" borderId="81" xfId="0" applyFont="1" applyFill="1" applyBorder="1" applyAlignment="1">
      <alignment horizontal="center" vertical="center"/>
    </xf>
    <xf numFmtId="3" fontId="56" fillId="2" borderId="83" xfId="0" applyNumberFormat="1" applyFont="1" applyFill="1" applyBorder="1" applyAlignment="1">
      <alignment horizontal="center" vertical="center" wrapText="1"/>
    </xf>
    <xf numFmtId="0" fontId="56" fillId="2" borderId="84" xfId="0" applyFont="1" applyFill="1" applyBorder="1" applyAlignment="1">
      <alignment horizontal="center" vertical="center" wrapText="1"/>
    </xf>
    <xf numFmtId="0" fontId="40" fillId="2" borderId="86" xfId="0" applyFont="1" applyFill="1" applyBorder="1" applyAlignment="1"/>
    <xf numFmtId="0" fontId="40" fillId="2" borderId="88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6" xfId="0" applyFont="1" applyFill="1" applyBorder="1" applyAlignment="1"/>
    <xf numFmtId="0" fontId="40" fillId="4" borderId="88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2" borderId="88" xfId="0" quotePrefix="1" applyFont="1" applyFill="1" applyBorder="1" applyAlignment="1">
      <alignment horizontal="left" indent="2"/>
    </xf>
    <xf numFmtId="0" fontId="33" fillId="2" borderId="94" xfId="0" quotePrefix="1" applyFont="1" applyFill="1" applyBorder="1" applyAlignment="1">
      <alignment horizontal="left" indent="2"/>
    </xf>
    <xf numFmtId="0" fontId="40" fillId="2" borderId="86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0" borderId="104" xfId="0" applyFont="1" applyBorder="1"/>
    <xf numFmtId="3" fontId="33" fillId="0" borderId="104" xfId="0" applyNumberFormat="1" applyFont="1" applyBorder="1"/>
    <xf numFmtId="0" fontId="40" fillId="4" borderId="78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3" xfId="0" applyNumberFormat="1" applyFont="1" applyFill="1" applyBorder="1" applyAlignment="1">
      <alignment horizontal="center" vertical="center"/>
    </xf>
    <xf numFmtId="3" fontId="56" fillId="2" borderId="101" xfId="0" applyNumberFormat="1" applyFont="1" applyFill="1" applyBorder="1" applyAlignment="1">
      <alignment horizontal="center" vertical="center" wrapText="1"/>
    </xf>
    <xf numFmtId="173" fontId="40" fillId="4" borderId="87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4" borderId="81" xfId="0" applyNumberFormat="1" applyFont="1" applyFill="1" applyBorder="1" applyAlignment="1"/>
    <xf numFmtId="173" fontId="40" fillId="0" borderId="89" xfId="0" applyNumberFormat="1" applyFont="1" applyBorder="1"/>
    <xf numFmtId="173" fontId="33" fillId="0" borderId="93" xfId="0" applyNumberFormat="1" applyFont="1" applyBorder="1"/>
    <xf numFmtId="173" fontId="33" fillId="0" borderId="91" xfId="0" applyNumberFormat="1" applyFont="1" applyBorder="1"/>
    <xf numFmtId="173" fontId="40" fillId="0" borderId="100" xfId="0" applyNumberFormat="1" applyFont="1" applyBorder="1"/>
    <xf numFmtId="173" fontId="33" fillId="0" borderId="101" xfId="0" applyNumberFormat="1" applyFont="1" applyBorder="1"/>
    <xf numFmtId="173" fontId="33" fillId="0" borderId="84" xfId="0" applyNumberFormat="1" applyFont="1" applyBorder="1"/>
    <xf numFmtId="173" fontId="40" fillId="2" borderId="102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2" borderId="81" xfId="0" applyNumberFormat="1" applyFont="1" applyFill="1" applyBorder="1" applyAlignment="1"/>
    <xf numFmtId="173" fontId="40" fillId="0" borderId="95" xfId="0" applyNumberFormat="1" applyFont="1" applyBorder="1"/>
    <xf numFmtId="173" fontId="33" fillId="0" borderId="96" xfId="0" applyNumberFormat="1" applyFont="1" applyBorder="1"/>
    <xf numFmtId="173" fontId="33" fillId="0" borderId="97" xfId="0" applyNumberFormat="1" applyFont="1" applyBorder="1"/>
    <xf numFmtId="173" fontId="40" fillId="0" borderId="87" xfId="0" applyNumberFormat="1" applyFont="1" applyBorder="1"/>
    <xf numFmtId="173" fontId="33" fillId="0" borderId="103" xfId="0" applyNumberFormat="1" applyFont="1" applyBorder="1"/>
    <xf numFmtId="173" fontId="33" fillId="0" borderId="81" xfId="0" applyNumberFormat="1" applyFont="1" applyBorder="1"/>
    <xf numFmtId="174" fontId="40" fillId="2" borderId="87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33" fillId="2" borderId="81" xfId="0" applyNumberFormat="1" applyFont="1" applyFill="1" applyBorder="1" applyAlignment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3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97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7" xfId="0" applyNumberFormat="1" applyFont="1" applyFill="1" applyBorder="1" applyAlignment="1">
      <alignment horizontal="center"/>
    </xf>
    <xf numFmtId="175" fontId="40" fillId="0" borderId="95" xfId="0" applyNumberFormat="1" applyFont="1" applyBorder="1"/>
    <xf numFmtId="0" fontId="32" fillId="2" borderId="11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4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9" xfId="0" applyNumberFormat="1" applyFont="1" applyBorder="1"/>
    <xf numFmtId="9" fontId="33" fillId="0" borderId="93" xfId="0" applyNumberFormat="1" applyFont="1" applyBorder="1"/>
    <xf numFmtId="9" fontId="33" fillId="0" borderId="91" xfId="0" applyNumberFormat="1" applyFont="1" applyBorder="1"/>
    <xf numFmtId="0" fontId="41" fillId="0" borderId="104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4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1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110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9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2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0" xfId="0" applyNumberFormat="1" applyFont="1" applyFill="1" applyBorder="1"/>
    <xf numFmtId="3" fontId="33" fillId="0" borderId="132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29" xfId="0" applyFont="1" applyFill="1" applyBorder="1"/>
    <xf numFmtId="3" fontId="40" fillId="2" borderId="131" xfId="0" applyNumberFormat="1" applyFont="1" applyFill="1" applyBorder="1"/>
    <xf numFmtId="9" fontId="40" fillId="2" borderId="75" xfId="0" applyNumberFormat="1" applyFont="1" applyFill="1" applyBorder="1"/>
    <xf numFmtId="3" fontId="40" fillId="2" borderId="67" xfId="0" applyNumberFormat="1" applyFont="1" applyFill="1" applyBorder="1"/>
    <xf numFmtId="9" fontId="33" fillId="0" borderId="130" xfId="0" applyNumberFormat="1" applyFont="1" applyFill="1" applyBorder="1"/>
    <xf numFmtId="9" fontId="33" fillId="0" borderId="81" xfId="0" applyNumberFormat="1" applyFont="1" applyFill="1" applyBorder="1"/>
    <xf numFmtId="9" fontId="33" fillId="0" borderId="84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9" xfId="0" applyFont="1" applyFill="1" applyBorder="1"/>
    <xf numFmtId="0" fontId="33" fillId="5" borderId="10" xfId="0" applyFont="1" applyFill="1" applyBorder="1" applyAlignment="1">
      <alignment wrapText="1"/>
    </xf>
    <xf numFmtId="9" fontId="33" fillId="0" borderId="91" xfId="0" applyNumberFormat="1" applyFont="1" applyFill="1" applyBorder="1"/>
    <xf numFmtId="3" fontId="33" fillId="0" borderId="97" xfId="0" applyNumberFormat="1" applyFont="1" applyFill="1" applyBorder="1"/>
    <xf numFmtId="9" fontId="33" fillId="0" borderId="97" xfId="0" applyNumberFormat="1" applyFont="1" applyFill="1" applyBorder="1"/>
    <xf numFmtId="3" fontId="33" fillId="0" borderId="98" xfId="0" applyNumberFormat="1" applyFont="1" applyFill="1" applyBorder="1"/>
    <xf numFmtId="0" fontId="40" fillId="0" borderId="80" xfId="0" applyFont="1" applyFill="1" applyBorder="1"/>
    <xf numFmtId="0" fontId="40" fillId="0" borderId="133" xfId="0" applyFont="1" applyFill="1" applyBorder="1"/>
    <xf numFmtId="0" fontId="40" fillId="2" borderId="130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7" xfId="80" applyNumberFormat="1" applyFont="1" applyFill="1" applyBorder="1"/>
    <xf numFmtId="3" fontId="3" fillId="2" borderId="98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" fillId="2" borderId="98" xfId="80" applyNumberFormat="1" applyFont="1" applyFill="1" applyBorder="1"/>
    <xf numFmtId="9" fontId="33" fillId="0" borderId="82" xfId="0" applyNumberFormat="1" applyFont="1" applyFill="1" applyBorder="1"/>
    <xf numFmtId="9" fontId="33" fillId="0" borderId="92" xfId="0" applyNumberFormat="1" applyFont="1" applyFill="1" applyBorder="1"/>
    <xf numFmtId="9" fontId="33" fillId="0" borderId="85" xfId="0" applyNumberFormat="1" applyFont="1" applyFill="1" applyBorder="1"/>
    <xf numFmtId="0" fontId="40" fillId="0" borderId="111" xfId="0" applyFont="1" applyFill="1" applyBorder="1"/>
    <xf numFmtId="0" fontId="40" fillId="0" borderId="109" xfId="0" applyFont="1" applyFill="1" applyBorder="1" applyAlignment="1">
      <alignment horizontal="left" indent="1"/>
    </xf>
    <xf numFmtId="0" fontId="40" fillId="0" borderId="110" xfId="0" applyFont="1" applyFill="1" applyBorder="1" applyAlignment="1">
      <alignment horizontal="left" indent="1"/>
    </xf>
    <xf numFmtId="9" fontId="33" fillId="0" borderId="103" xfId="0" applyNumberFormat="1" applyFont="1" applyFill="1" applyBorder="1"/>
    <xf numFmtId="9" fontId="33" fillId="0" borderId="93" xfId="0" applyNumberFormat="1" applyFont="1" applyFill="1" applyBorder="1"/>
    <xf numFmtId="9" fontId="33" fillId="0" borderId="101" xfId="0" applyNumberFormat="1" applyFont="1" applyFill="1" applyBorder="1"/>
    <xf numFmtId="3" fontId="33" fillId="0" borderId="80" xfId="0" applyNumberFormat="1" applyFont="1" applyFill="1" applyBorder="1"/>
    <xf numFmtId="3" fontId="33" fillId="0" borderId="90" xfId="0" applyNumberFormat="1" applyFont="1" applyFill="1" applyBorder="1"/>
    <xf numFmtId="3" fontId="33" fillId="0" borderId="83" xfId="0" applyNumberFormat="1" applyFont="1" applyFill="1" applyBorder="1"/>
    <xf numFmtId="9" fontId="33" fillId="0" borderId="107" xfId="0" applyNumberFormat="1" applyFont="1" applyFill="1" applyBorder="1"/>
    <xf numFmtId="9" fontId="33" fillId="0" borderId="105" xfId="0" applyNumberFormat="1" applyFont="1" applyFill="1" applyBorder="1"/>
    <xf numFmtId="9" fontId="33" fillId="0" borderId="106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1" xfId="0" applyFont="1" applyFill="1" applyBorder="1"/>
    <xf numFmtId="0" fontId="40" fillId="10" borderId="109" xfId="0" applyFont="1" applyFill="1" applyBorder="1"/>
    <xf numFmtId="0" fontId="40" fillId="10" borderId="110" xfId="0" applyFont="1" applyFill="1" applyBorder="1"/>
    <xf numFmtId="0" fontId="3" fillId="2" borderId="97" xfId="80" applyFont="1" applyFill="1" applyBorder="1"/>
    <xf numFmtId="3" fontId="33" fillId="0" borderId="107" xfId="0" applyNumberFormat="1" applyFont="1" applyFill="1" applyBorder="1"/>
    <xf numFmtId="3" fontId="33" fillId="0" borderId="105" xfId="0" applyNumberFormat="1" applyFont="1" applyFill="1" applyBorder="1"/>
    <xf numFmtId="3" fontId="33" fillId="0" borderId="106" xfId="0" applyNumberFormat="1" applyFont="1" applyFill="1" applyBorder="1"/>
    <xf numFmtId="0" fontId="33" fillId="0" borderId="111" xfId="0" applyFont="1" applyFill="1" applyBorder="1"/>
    <xf numFmtId="0" fontId="33" fillId="0" borderId="109" xfId="0" applyFont="1" applyFill="1" applyBorder="1"/>
    <xf numFmtId="0" fontId="33" fillId="0" borderId="110" xfId="0" applyFont="1" applyFill="1" applyBorder="1"/>
    <xf numFmtId="3" fontId="33" fillId="0" borderId="103" xfId="0" applyNumberFormat="1" applyFont="1" applyFill="1" applyBorder="1"/>
    <xf numFmtId="3" fontId="33" fillId="0" borderId="93" xfId="0" applyNumberFormat="1" applyFont="1" applyFill="1" applyBorder="1"/>
    <xf numFmtId="3" fontId="33" fillId="0" borderId="101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33" fillId="0" borderId="141" xfId="0" applyFont="1" applyFill="1" applyBorder="1"/>
    <xf numFmtId="0" fontId="33" fillId="0" borderId="142" xfId="0" applyFont="1" applyFill="1" applyBorder="1"/>
    <xf numFmtId="0" fontId="33" fillId="0" borderId="142" xfId="0" applyFont="1" applyFill="1" applyBorder="1" applyAlignment="1">
      <alignment horizontal="right"/>
    </xf>
    <xf numFmtId="0" fontId="33" fillId="0" borderId="142" xfId="0" applyFont="1" applyFill="1" applyBorder="1" applyAlignment="1">
      <alignment horizontal="left"/>
    </xf>
    <xf numFmtId="164" fontId="33" fillId="0" borderId="142" xfId="0" applyNumberFormat="1" applyFont="1" applyFill="1" applyBorder="1"/>
    <xf numFmtId="165" fontId="33" fillId="0" borderId="142" xfId="0" applyNumberFormat="1" applyFont="1" applyFill="1" applyBorder="1"/>
    <xf numFmtId="9" fontId="33" fillId="0" borderId="142" xfId="0" applyNumberFormat="1" applyFont="1" applyFill="1" applyBorder="1"/>
    <xf numFmtId="9" fontId="33" fillId="0" borderId="143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3" fontId="33" fillId="0" borderId="143" xfId="0" applyNumberFormat="1" applyFont="1" applyFill="1" applyBorder="1"/>
    <xf numFmtId="3" fontId="33" fillId="0" borderId="145" xfId="0" applyNumberFormat="1" applyFont="1" applyFill="1" applyBorder="1"/>
    <xf numFmtId="9" fontId="33" fillId="0" borderId="145" xfId="0" applyNumberFormat="1" applyFont="1" applyFill="1" applyBorder="1"/>
    <xf numFmtId="3" fontId="33" fillId="0" borderId="146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40" fillId="0" borderId="144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42" xfId="0" applyNumberFormat="1" applyFont="1" applyFill="1" applyBorder="1" applyAlignment="1">
      <alignment horizontal="right"/>
    </xf>
    <xf numFmtId="173" fontId="40" fillId="4" borderId="150" xfId="0" applyNumberFormat="1" applyFont="1" applyFill="1" applyBorder="1" applyAlignment="1">
      <alignment horizontal="center"/>
    </xf>
    <xf numFmtId="173" fontId="40" fillId="4" borderId="151" xfId="0" applyNumberFormat="1" applyFont="1" applyFill="1" applyBorder="1" applyAlignment="1">
      <alignment horizontal="center"/>
    </xf>
    <xf numFmtId="173" fontId="33" fillId="0" borderId="152" xfId="0" applyNumberFormat="1" applyFont="1" applyBorder="1" applyAlignment="1">
      <alignment horizontal="right"/>
    </xf>
    <xf numFmtId="173" fontId="33" fillId="0" borderId="153" xfId="0" applyNumberFormat="1" applyFont="1" applyBorder="1" applyAlignment="1">
      <alignment horizontal="right"/>
    </xf>
    <xf numFmtId="173" fontId="33" fillId="0" borderId="153" xfId="0" applyNumberFormat="1" applyFont="1" applyBorder="1" applyAlignment="1">
      <alignment horizontal="right" wrapText="1"/>
    </xf>
    <xf numFmtId="175" fontId="33" fillId="0" borderId="152" xfId="0" applyNumberFormat="1" applyFont="1" applyBorder="1" applyAlignment="1">
      <alignment horizontal="right"/>
    </xf>
    <xf numFmtId="175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9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8" xfId="0" applyNumberFormat="1" applyFont="1" applyBorder="1"/>
    <xf numFmtId="174" fontId="33" fillId="0" borderId="156" xfId="0" applyNumberFormat="1" applyFont="1" applyBorder="1"/>
    <xf numFmtId="173" fontId="40" fillId="4" borderId="57" xfId="0" applyNumberFormat="1" applyFont="1" applyFill="1" applyBorder="1" applyAlignment="1"/>
    <xf numFmtId="173" fontId="33" fillId="0" borderId="148" xfId="0" applyNumberFormat="1" applyFont="1" applyBorder="1"/>
    <xf numFmtId="173" fontId="33" fillId="0" borderId="149" xfId="0" applyNumberFormat="1" applyFont="1" applyBorder="1"/>
    <xf numFmtId="173" fontId="40" fillId="2" borderId="57" xfId="0" applyNumberFormat="1" applyFont="1" applyFill="1" applyBorder="1" applyAlignment="1"/>
    <xf numFmtId="173" fontId="33" fillId="0" borderId="156" xfId="0" applyNumberFormat="1" applyFont="1" applyBorder="1"/>
    <xf numFmtId="173" fontId="33" fillId="0" borderId="57" xfId="0" applyNumberFormat="1" applyFont="1" applyBorder="1"/>
    <xf numFmtId="9" fontId="33" fillId="0" borderId="148" xfId="0" applyNumberFormat="1" applyFont="1" applyBorder="1"/>
    <xf numFmtId="173" fontId="40" fillId="4" borderId="157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59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60" xfId="0" applyNumberFormat="1" applyFont="1" applyBorder="1" applyAlignment="1">
      <alignment horizontal="right"/>
    </xf>
    <xf numFmtId="175" fontId="33" fillId="0" borderId="160" xfId="0" applyNumberFormat="1" applyFont="1" applyBorder="1" applyAlignment="1">
      <alignment horizontal="right"/>
    </xf>
    <xf numFmtId="173" fontId="33" fillId="0" borderId="147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42" xfId="0" applyNumberFormat="1" applyFont="1" applyFill="1" applyBorder="1"/>
    <xf numFmtId="0" fontId="40" fillId="0" borderId="141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169" fontId="33" fillId="0" borderId="143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0.27487807798315306</c:v>
                </c:pt>
                <c:pt idx="1">
                  <c:v>0.2559369649024601</c:v>
                </c:pt>
                <c:pt idx="2">
                  <c:v>0.2601808115499103</c:v>
                </c:pt>
                <c:pt idx="3">
                  <c:v>0.26181341970055017</c:v>
                </c:pt>
                <c:pt idx="4">
                  <c:v>0.26194807771220457</c:v>
                </c:pt>
                <c:pt idx="5">
                  <c:v>0.26376094399249023</c:v>
                </c:pt>
                <c:pt idx="6">
                  <c:v>0.24480629114390989</c:v>
                </c:pt>
                <c:pt idx="7">
                  <c:v>0.23362677024665132</c:v>
                </c:pt>
                <c:pt idx="8">
                  <c:v>0.23508468673461227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0.19388325334868733</c:v>
                </c:pt>
                <c:pt idx="1">
                  <c:v>0.19388325334868733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30" t="s">
        <v>109</v>
      </c>
      <c r="B1" s="330"/>
    </row>
    <row r="2" spans="1:3" ht="14.4" customHeight="1" thickBot="1" x14ac:dyDescent="0.35">
      <c r="A2" s="239" t="s">
        <v>286</v>
      </c>
      <c r="B2" s="46"/>
    </row>
    <row r="3" spans="1:3" ht="14.4" customHeight="1" thickBot="1" x14ac:dyDescent="0.35">
      <c r="A3" s="326" t="s">
        <v>145</v>
      </c>
      <c r="B3" s="327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141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288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28" t="s">
        <v>110</v>
      </c>
      <c r="B10" s="327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142</v>
      </c>
      <c r="C11" s="47" t="s">
        <v>115</v>
      </c>
    </row>
    <row r="12" spans="1:3" ht="14.4" customHeight="1" x14ac:dyDescent="0.3">
      <c r="A12" s="150" t="str">
        <f t="shared" ref="A12:A23" si="2">HYPERLINK("#'"&amp;C12&amp;"'!A1",C12)</f>
        <v>LŽ Detail</v>
      </c>
      <c r="B12" s="91" t="s">
        <v>169</v>
      </c>
      <c r="C12" s="47" t="s">
        <v>116</v>
      </c>
    </row>
    <row r="13" spans="1:3" ht="28.8" customHeight="1" x14ac:dyDescent="0.3">
      <c r="A13" s="150" t="str">
        <f t="shared" si="2"/>
        <v>LŽ PL</v>
      </c>
      <c r="B13" s="498" t="s">
        <v>170</v>
      </c>
      <c r="C13" s="47" t="s">
        <v>149</v>
      </c>
    </row>
    <row r="14" spans="1:3" ht="14.4" customHeight="1" x14ac:dyDescent="0.3">
      <c r="A14" s="150" t="str">
        <f t="shared" si="2"/>
        <v>LŽ PL Detail</v>
      </c>
      <c r="B14" s="91" t="s">
        <v>604</v>
      </c>
      <c r="C14" s="47" t="s">
        <v>151</v>
      </c>
    </row>
    <row r="15" spans="1:3" ht="14.4" customHeight="1" x14ac:dyDescent="0.3">
      <c r="A15" s="150" t="str">
        <f t="shared" si="2"/>
        <v>LŽ Statim</v>
      </c>
      <c r="B15" s="313" t="s">
        <v>249</v>
      </c>
      <c r="C15" s="47" t="s">
        <v>259</v>
      </c>
    </row>
    <row r="16" spans="1:3" ht="14.4" customHeight="1" x14ac:dyDescent="0.3">
      <c r="A16" s="150" t="str">
        <f t="shared" si="2"/>
        <v>Léky Recepty</v>
      </c>
      <c r="B16" s="91" t="s">
        <v>143</v>
      </c>
      <c r="C16" s="47" t="s">
        <v>117</v>
      </c>
    </row>
    <row r="17" spans="1:3" ht="14.4" customHeight="1" x14ac:dyDescent="0.3">
      <c r="A17" s="150" t="str">
        <f t="shared" si="2"/>
        <v>LRp Lékaři</v>
      </c>
      <c r="B17" s="91" t="s">
        <v>154</v>
      </c>
      <c r="C17" s="47" t="s">
        <v>155</v>
      </c>
    </row>
    <row r="18" spans="1:3" ht="14.4" customHeight="1" x14ac:dyDescent="0.3">
      <c r="A18" s="150" t="str">
        <f t="shared" si="2"/>
        <v>LRp Detail</v>
      </c>
      <c r="B18" s="91" t="s">
        <v>905</v>
      </c>
      <c r="C18" s="47" t="s">
        <v>118</v>
      </c>
    </row>
    <row r="19" spans="1:3" ht="28.8" customHeight="1" x14ac:dyDescent="0.3">
      <c r="A19" s="150" t="str">
        <f t="shared" si="2"/>
        <v>LRp PL</v>
      </c>
      <c r="B19" s="498" t="s">
        <v>906</v>
      </c>
      <c r="C19" s="47" t="s">
        <v>150</v>
      </c>
    </row>
    <row r="20" spans="1:3" ht="14.4" customHeight="1" x14ac:dyDescent="0.3">
      <c r="A20" s="150" t="str">
        <f>HYPERLINK("#'"&amp;C20&amp;"'!A1",C20)</f>
        <v>LRp PL Detail</v>
      </c>
      <c r="B20" s="91" t="s">
        <v>943</v>
      </c>
      <c r="C20" s="47" t="s">
        <v>152</v>
      </c>
    </row>
    <row r="21" spans="1:3" ht="14.4" customHeight="1" x14ac:dyDescent="0.3">
      <c r="A21" s="152" t="str">
        <f t="shared" ref="A21" si="3">HYPERLINK("#'"&amp;C21&amp;"'!A1",C21)</f>
        <v>Materiál Žádanky</v>
      </c>
      <c r="B21" s="91" t="s">
        <v>144</v>
      </c>
      <c r="C21" s="47" t="s">
        <v>119</v>
      </c>
    </row>
    <row r="22" spans="1:3" ht="14.4" customHeight="1" x14ac:dyDescent="0.3">
      <c r="A22" s="150" t="str">
        <f t="shared" si="2"/>
        <v>MŽ Detail</v>
      </c>
      <c r="B22" s="91" t="s">
        <v>1056</v>
      </c>
      <c r="C22" s="47" t="s">
        <v>120</v>
      </c>
    </row>
    <row r="23" spans="1:3" ht="14.4" customHeight="1" thickBot="1" x14ac:dyDescent="0.35">
      <c r="A23" s="152" t="str">
        <f t="shared" si="2"/>
        <v>Osobní náklady</v>
      </c>
      <c r="B23" s="91" t="s">
        <v>107</v>
      </c>
      <c r="C23" s="47" t="s">
        <v>121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29" t="s">
        <v>111</v>
      </c>
      <c r="B25" s="327"/>
    </row>
    <row r="26" spans="1:3" ht="14.4" customHeight="1" x14ac:dyDescent="0.3">
      <c r="A26" s="153" t="str">
        <f t="shared" ref="A26:A32" si="4">HYPERLINK("#'"&amp;C26&amp;"'!A1",C26)</f>
        <v>ZV Vykáz.-A</v>
      </c>
      <c r="B26" s="90" t="s">
        <v>1060</v>
      </c>
      <c r="C26" s="47" t="s">
        <v>126</v>
      </c>
    </row>
    <row r="27" spans="1:3" ht="14.4" customHeight="1" x14ac:dyDescent="0.3">
      <c r="A27" s="150" t="str">
        <f t="shared" ref="A27" si="5">HYPERLINK("#'"&amp;C27&amp;"'!A1",C27)</f>
        <v>ZV Vykáz.-A Lékaři</v>
      </c>
      <c r="B27" s="91" t="s">
        <v>1067</v>
      </c>
      <c r="C27" s="47" t="s">
        <v>262</v>
      </c>
    </row>
    <row r="28" spans="1:3" ht="14.4" customHeight="1" x14ac:dyDescent="0.3">
      <c r="A28" s="150" t="str">
        <f t="shared" si="4"/>
        <v>ZV Vykáz.-A Detail</v>
      </c>
      <c r="B28" s="91" t="s">
        <v>1143</v>
      </c>
      <c r="C28" s="47" t="s">
        <v>127</v>
      </c>
    </row>
    <row r="29" spans="1:3" ht="14.4" customHeight="1" x14ac:dyDescent="0.3">
      <c r="A29" s="150" t="str">
        <f t="shared" si="4"/>
        <v>ZV Vykáz.-H</v>
      </c>
      <c r="B29" s="91" t="s">
        <v>130</v>
      </c>
      <c r="C29" s="47" t="s">
        <v>128</v>
      </c>
    </row>
    <row r="30" spans="1:3" ht="14.4" customHeight="1" x14ac:dyDescent="0.3">
      <c r="A30" s="150" t="str">
        <f t="shared" si="4"/>
        <v>ZV Vykáz.-H Detail</v>
      </c>
      <c r="B30" s="91" t="s">
        <v>1154</v>
      </c>
      <c r="C30" s="47" t="s">
        <v>129</v>
      </c>
    </row>
    <row r="31" spans="1:3" ht="14.4" customHeight="1" x14ac:dyDescent="0.3">
      <c r="A31" s="150" t="str">
        <f t="shared" si="4"/>
        <v>ZV Vyžád.</v>
      </c>
      <c r="B31" s="91" t="s">
        <v>131</v>
      </c>
      <c r="C31" s="47" t="s">
        <v>123</v>
      </c>
    </row>
    <row r="32" spans="1:3" ht="14.4" customHeight="1" x14ac:dyDescent="0.3">
      <c r="A32" s="150" t="str">
        <f t="shared" si="4"/>
        <v>ZV Vyžád. Detail</v>
      </c>
      <c r="B32" s="91" t="s">
        <v>1160</v>
      </c>
      <c r="C32" s="47" t="s">
        <v>122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30" t="s">
        <v>124</v>
      </c>
      <c r="B1" s="330"/>
      <c r="C1" s="331"/>
      <c r="D1" s="331"/>
      <c r="E1" s="331"/>
    </row>
    <row r="2" spans="1:5" ht="14.4" customHeight="1" thickBot="1" x14ac:dyDescent="0.35">
      <c r="A2" s="239" t="s">
        <v>286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7263.3710012455522</v>
      </c>
      <c r="D4" s="164">
        <f ca="1">IF(ISERROR(VLOOKUP("Náklady celkem",INDIRECT("HI!$A:$G"),5,0)),0,VLOOKUP("Náklady celkem",INDIRECT("HI!$A:$G"),5,0))</f>
        <v>7516.6441700000014</v>
      </c>
      <c r="E4" s="165">
        <f ca="1">IF(C4=0,0,D4/C4)</f>
        <v>1.034869920414504</v>
      </c>
    </row>
    <row r="5" spans="1:5" ht="14.4" customHeight="1" x14ac:dyDescent="0.3">
      <c r="A5" s="166" t="s">
        <v>157</v>
      </c>
      <c r="B5" s="167"/>
      <c r="C5" s="168"/>
      <c r="D5" s="168"/>
      <c r="E5" s="169"/>
    </row>
    <row r="6" spans="1:5" ht="14.4" customHeight="1" x14ac:dyDescent="0.3">
      <c r="A6" s="170" t="s">
        <v>162</v>
      </c>
      <c r="B6" s="171"/>
      <c r="C6" s="172"/>
      <c r="D6" s="172"/>
      <c r="E6" s="169"/>
    </row>
    <row r="7" spans="1:5" ht="14.4" customHeight="1" x14ac:dyDescent="0.3">
      <c r="A7" s="3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501.45764424491773</v>
      </c>
      <c r="D7" s="172">
        <f>IF(ISERROR(HI!E5),"",HI!E5)</f>
        <v>393.66744</v>
      </c>
      <c r="E7" s="169">
        <f t="shared" ref="E7:E15" si="0">IF(C7=0,0,D7/C7)</f>
        <v>0.78504624372168963</v>
      </c>
    </row>
    <row r="8" spans="1:5" ht="14.4" customHeight="1" x14ac:dyDescent="0.3">
      <c r="A8" s="316" t="str">
        <f>HYPERLINK("#'LŽ PL'!A1","Plnění pozitivního listu (min. 90%)")</f>
        <v>Plnění pozitivního listu (min. 90%)</v>
      </c>
      <c r="B8" s="171" t="s">
        <v>149</v>
      </c>
      <c r="C8" s="173">
        <v>0.9</v>
      </c>
      <c r="D8" s="173">
        <f>IF(ISERROR(VLOOKUP("celkem",'LŽ PL'!$A:$F,5,0)),0,VLOOKUP("celkem",'LŽ PL'!$A:$F,5,0))</f>
        <v>1</v>
      </c>
      <c r="E8" s="169">
        <f t="shared" si="0"/>
        <v>1.1111111111111112</v>
      </c>
    </row>
    <row r="9" spans="1:5" ht="14.4" customHeight="1" x14ac:dyDescent="0.3">
      <c r="A9" s="316" t="str">
        <f>HYPERLINK("#'LŽ Statim'!A1","Podíl statimových žádanek (max. 30%)")</f>
        <v>Podíl statimových žádanek (max. 30%)</v>
      </c>
      <c r="B9" s="314" t="s">
        <v>259</v>
      </c>
      <c r="C9" s="315">
        <v>0.3</v>
      </c>
      <c r="D9" s="315">
        <f>IF('LŽ Statim'!G3="",0,'LŽ Statim'!G3)</f>
        <v>0</v>
      </c>
      <c r="E9" s="169">
        <f>IF(C9=0,0,D9/C9)</f>
        <v>0</v>
      </c>
    </row>
    <row r="10" spans="1:5" ht="14.4" customHeight="1" x14ac:dyDescent="0.3">
      <c r="A10" s="174" t="s">
        <v>158</v>
      </c>
      <c r="B10" s="171"/>
      <c r="C10" s="172"/>
      <c r="D10" s="172"/>
      <c r="E10" s="169"/>
    </row>
    <row r="11" spans="1:5" ht="14.4" customHeight="1" x14ac:dyDescent="0.3">
      <c r="A11" s="316" t="str">
        <f>HYPERLINK("#'Léky Recepty'!A1","Záchyt v lékárně (Úhrada Kč, min. 60%)")</f>
        <v>Záchyt v lékárně (Úhrada Kč, min. 60%)</v>
      </c>
      <c r="B11" s="171" t="s">
        <v>117</v>
      </c>
      <c r="C11" s="173">
        <v>0.6</v>
      </c>
      <c r="D11" s="173">
        <f>IF(ISERROR(VLOOKUP("Celkem",'Léky Recepty'!B:H,5,0)),0,VLOOKUP("Celkem",'Léky Recepty'!B:H,5,0))</f>
        <v>0.70549017482123055</v>
      </c>
      <c r="E11" s="169">
        <f t="shared" si="0"/>
        <v>1.1758169580353843</v>
      </c>
    </row>
    <row r="12" spans="1:5" ht="14.4" customHeight="1" x14ac:dyDescent="0.3">
      <c r="A12" s="316" t="str">
        <f>HYPERLINK("#'LRp PL'!A1","Plnění pozitivního listu (min. 80%)")</f>
        <v>Plnění pozitivního listu (min. 80%)</v>
      </c>
      <c r="B12" s="171" t="s">
        <v>150</v>
      </c>
      <c r="C12" s="173">
        <v>0.8</v>
      </c>
      <c r="D12" s="173">
        <f>IF(ISERROR(VLOOKUP("Celkem",'LRp PL'!A:F,5,0)),0,VLOOKUP("Celkem",'LRp PL'!A:F,5,0))</f>
        <v>0.63681520061728392</v>
      </c>
      <c r="E12" s="169">
        <f t="shared" si="0"/>
        <v>0.79601900077160481</v>
      </c>
    </row>
    <row r="13" spans="1:5" ht="14.4" customHeight="1" x14ac:dyDescent="0.3">
      <c r="A13" s="174" t="s">
        <v>159</v>
      </c>
      <c r="B13" s="171"/>
      <c r="C13" s="172"/>
      <c r="D13" s="172"/>
      <c r="E13" s="169"/>
    </row>
    <row r="14" spans="1:5" ht="14.4" customHeight="1" x14ac:dyDescent="0.3">
      <c r="A14" s="175" t="s">
        <v>163</v>
      </c>
      <c r="B14" s="171"/>
      <c r="C14" s="168"/>
      <c r="D14" s="168"/>
      <c r="E14" s="169"/>
    </row>
    <row r="15" spans="1:5" ht="14.4" customHeight="1" x14ac:dyDescent="0.3">
      <c r="A15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71" t="s">
        <v>112</v>
      </c>
      <c r="C15" s="172">
        <f>IF(ISERROR(HI!F6),"",HI!F6)</f>
        <v>62.510353031074494</v>
      </c>
      <c r="D15" s="172">
        <f>IF(ISERROR(HI!E6),"",HI!E6)</f>
        <v>50.938650000000003</v>
      </c>
      <c r="E15" s="169">
        <f t="shared" si="0"/>
        <v>0.81488341578678836</v>
      </c>
    </row>
    <row r="16" spans="1:5" ht="14.4" customHeight="1" thickBot="1" x14ac:dyDescent="0.35">
      <c r="A16" s="177" t="str">
        <f>HYPERLINK("#HI!A1","Osobní náklady")</f>
        <v>Osobní náklady</v>
      </c>
      <c r="B16" s="171"/>
      <c r="C16" s="168">
        <f ca="1">IF(ISERROR(VLOOKUP("Osobní náklady (Kč) *",INDIRECT("HI!$A:$G"),6,0)),0,VLOOKUP("Osobní náklady (Kč) *",INDIRECT("HI!$A:$G"),6,0))</f>
        <v>5277.7498337636698</v>
      </c>
      <c r="D16" s="168">
        <f ca="1">IF(ISERROR(VLOOKUP("Osobní náklady (Kč) *",INDIRECT("HI!$A:$G"),5,0)),0,VLOOKUP("Osobní náklady (Kč) *",INDIRECT("HI!$A:$G"),5,0))</f>
        <v>5690.2450800000024</v>
      </c>
      <c r="E16" s="169">
        <f ca="1">IF(C16=0,0,D16/C16)</f>
        <v>1.0781574078402603</v>
      </c>
    </row>
    <row r="17" spans="1:5" ht="14.4" customHeight="1" thickBot="1" x14ac:dyDescent="0.35">
      <c r="A17" s="181"/>
      <c r="B17" s="182"/>
      <c r="C17" s="183"/>
      <c r="D17" s="183"/>
      <c r="E17" s="184"/>
    </row>
    <row r="18" spans="1:5" ht="14.4" customHeight="1" thickBot="1" x14ac:dyDescent="0.35">
      <c r="A18" s="185" t="str">
        <f>HYPERLINK("#HI!A1","VÝNOSY CELKEM (v tisících)")</f>
        <v>VÝNOSY CELKEM (v tisících)</v>
      </c>
      <c r="B18" s="186"/>
      <c r="C18" s="187">
        <f ca="1">IF(ISERROR(VLOOKUP("Výnosy celkem",INDIRECT("HI!$A:$G"),6,0)),0,VLOOKUP("Výnosy celkem",INDIRECT("HI!$A:$G"),6,0))</f>
        <v>1408.2460000000001</v>
      </c>
      <c r="D18" s="187">
        <f ca="1">IF(ISERROR(VLOOKUP("Výnosy celkem",INDIRECT("HI!$A:$G"),5,0)),0,VLOOKUP("Výnosy celkem",INDIRECT("HI!$A:$G"),5,0))</f>
        <v>1767.0479699999999</v>
      </c>
      <c r="E18" s="188">
        <f t="shared" ref="E18:E23" ca="1" si="1">IF(C18=0,0,D18/C18)</f>
        <v>1.2547864293596429</v>
      </c>
    </row>
    <row r="19" spans="1:5" ht="14.4" customHeight="1" x14ac:dyDescent="0.3">
      <c r="A19" s="189" t="str">
        <f>HYPERLINK("#HI!A1","Ambulance (body za výkony + Kč za ZUM a ZULP)")</f>
        <v>Ambulance (body za výkony + Kč za ZUM a ZULP)</v>
      </c>
      <c r="B19" s="167"/>
      <c r="C19" s="168">
        <f ca="1">IF(ISERROR(VLOOKUP("Ambulance *",INDIRECT("HI!$A:$G"),6,0)),0,VLOOKUP("Ambulance *",INDIRECT("HI!$A:$G"),6,0))</f>
        <v>1408.2460000000001</v>
      </c>
      <c r="D19" s="168">
        <f ca="1">IF(ISERROR(VLOOKUP("Ambulance *",INDIRECT("HI!$A:$G"),5,0)),0,VLOOKUP("Ambulance *",INDIRECT("HI!$A:$G"),5,0))</f>
        <v>1767.0479699999999</v>
      </c>
      <c r="E19" s="169">
        <f t="shared" ca="1" si="1"/>
        <v>1.2547864293596429</v>
      </c>
    </row>
    <row r="20" spans="1:5" ht="14.4" customHeight="1" x14ac:dyDescent="0.3">
      <c r="A20" s="190" t="str">
        <f>HYPERLINK("#'ZV Vykáz.-A'!A1","Zdravotní výkony vykázané u ambulantních pacientů (min. 100 %)")</f>
        <v>Zdravotní výkony vykázané u ambulantních pacientů (min. 100 %)</v>
      </c>
      <c r="B20" s="154" t="s">
        <v>126</v>
      </c>
      <c r="C20" s="173">
        <v>1</v>
      </c>
      <c r="D20" s="173">
        <f>IF(ISERROR(VLOOKUP("Celkem:",'ZV Vykáz.-A'!$A:$S,7,0)),"",VLOOKUP("Celkem:",'ZV Vykáz.-A'!$A:$S,7,0))</f>
        <v>1.2547864293596429</v>
      </c>
      <c r="E20" s="169">
        <f t="shared" si="1"/>
        <v>1.2547864293596429</v>
      </c>
    </row>
    <row r="21" spans="1:5" ht="14.4" customHeight="1" x14ac:dyDescent="0.3">
      <c r="A21" s="190" t="str">
        <f>HYPERLINK("#'ZV Vykáz.-H'!A1","Zdravotní výkony vykázané u hospitalizovaných pacientů (max. 85 %)")</f>
        <v>Zdravotní výkony vykázané u hospitalizovaných pacientů (max. 85 %)</v>
      </c>
      <c r="B21" s="154" t="s">
        <v>128</v>
      </c>
      <c r="C21" s="173">
        <v>0.85</v>
      </c>
      <c r="D21" s="173">
        <f>IF(ISERROR(VLOOKUP("Celkem:",'ZV Vykáz.-H'!$A:$S,7,0)),"",VLOOKUP("Celkem:",'ZV Vykáz.-H'!$A:$S,7,0))</f>
        <v>0.33510186757215621</v>
      </c>
      <c r="E21" s="169">
        <f t="shared" si="1"/>
        <v>0.39423749126136026</v>
      </c>
    </row>
    <row r="22" spans="1:5" ht="14.4" customHeight="1" x14ac:dyDescent="0.3">
      <c r="A22" s="191" t="str">
        <f>HYPERLINK("#HI!A1","Hospitalizace (casemix * 30000)")</f>
        <v>Hospitalizace (casemix * 30000)</v>
      </c>
      <c r="B22" s="171"/>
      <c r="C22" s="168">
        <f ca="1">IF(ISERROR(VLOOKUP("Hospitalizace *",INDIRECT("HI!$A:$G"),6,0)),0,VLOOKUP("Hospitalizace *",INDIRECT("HI!$A:$G"),6,0))</f>
        <v>0</v>
      </c>
      <c r="D22" s="168">
        <f ca="1">IF(ISERROR(VLOOKUP("Hospitalizace *",INDIRECT("HI!$A:$G"),5,0)),0,VLOOKUP("Hospitalizace *",INDIRECT("HI!$A:$G"),5,0))</f>
        <v>0</v>
      </c>
      <c r="E22" s="169">
        <f ca="1">IF(C22=0,0,D22/C22)</f>
        <v>0</v>
      </c>
    </row>
    <row r="23" spans="1:5" ht="27.6" x14ac:dyDescent="0.3">
      <c r="A23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71" t="s">
        <v>123</v>
      </c>
      <c r="C23" s="173" t="e">
        <f>IF(#REF!&gt;1,95%,95%-2*ABS(#REF!-#REF!))</f>
        <v>#REF!</v>
      </c>
      <c r="D23" s="173">
        <f>IF(ISERROR(VLOOKUP("Celkem:",'ZV Vyžád.'!$A:$M,7,0)),"",VLOOKUP("Celkem:",'ZV Vyžád.'!$A:$M,7,0))</f>
        <v>0</v>
      </c>
      <c r="E23" s="169" t="e">
        <f t="shared" si="1"/>
        <v>#REF!</v>
      </c>
    </row>
    <row r="24" spans="1:5" ht="14.4" customHeight="1" thickBot="1" x14ac:dyDescent="0.35">
      <c r="A24" s="193" t="s">
        <v>160</v>
      </c>
      <c r="B24" s="178"/>
      <c r="C24" s="179"/>
      <c r="D24" s="179"/>
      <c r="E24" s="180"/>
    </row>
    <row r="25" spans="1:5" ht="14.4" customHeight="1" thickBot="1" x14ac:dyDescent="0.35">
      <c r="A25" s="194"/>
      <c r="B25" s="195"/>
      <c r="C25" s="196"/>
      <c r="D25" s="196"/>
      <c r="E25" s="197"/>
    </row>
    <row r="26" spans="1:5" ht="14.4" customHeight="1" thickBot="1" x14ac:dyDescent="0.35">
      <c r="A26" s="198" t="s">
        <v>161</v>
      </c>
      <c r="B26" s="199"/>
      <c r="C26" s="200"/>
      <c r="D26" s="200"/>
      <c r="E26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2" priority="20" operator="lessThan">
      <formula>1</formula>
    </cfRule>
  </conditionalFormatting>
  <conditionalFormatting sqref="E9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30" t="s">
        <v>141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9" t="s">
        <v>286</v>
      </c>
      <c r="B2" s="114"/>
      <c r="C2" s="114"/>
      <c r="D2" s="114"/>
      <c r="E2" s="114"/>
      <c r="F2" s="114"/>
    </row>
    <row r="3" spans="1:8" ht="14.4" customHeight="1" x14ac:dyDescent="0.3">
      <c r="A3" s="332"/>
      <c r="B3" s="110">
        <v>2013</v>
      </c>
      <c r="C3" s="40">
        <v>2014</v>
      </c>
      <c r="D3" s="7"/>
      <c r="E3" s="336">
        <v>2015</v>
      </c>
      <c r="F3" s="337"/>
      <c r="G3" s="337"/>
      <c r="H3" s="338"/>
    </row>
    <row r="4" spans="1:8" ht="14.4" customHeight="1" thickBot="1" x14ac:dyDescent="0.35">
      <c r="A4" s="333"/>
      <c r="B4" s="334" t="s">
        <v>73</v>
      </c>
      <c r="C4" s="335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453.69802999999797</v>
      </c>
      <c r="C5" s="29">
        <v>419.16987</v>
      </c>
      <c r="D5" s="8"/>
      <c r="E5" s="120">
        <v>393.66744</v>
      </c>
      <c r="F5" s="28">
        <v>501.45764424491773</v>
      </c>
      <c r="G5" s="119">
        <f>E5-F5</f>
        <v>-107.79020424491773</v>
      </c>
      <c r="H5" s="125">
        <f>IF(F5&lt;0.00000001,"",E5/F5)</f>
        <v>0.78504624372168963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46.157909999997997</v>
      </c>
      <c r="C6" s="31">
        <v>42.687930000000001</v>
      </c>
      <c r="D6" s="8"/>
      <c r="E6" s="121">
        <v>50.938650000000003</v>
      </c>
      <c r="F6" s="30">
        <v>62.510353031074494</v>
      </c>
      <c r="G6" s="122">
        <f>E6-F6</f>
        <v>-11.571703031074492</v>
      </c>
      <c r="H6" s="126">
        <f>IF(F6&lt;0.00000001,"",E6/F6)</f>
        <v>0.81488341578678836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4775.9817100000009</v>
      </c>
      <c r="C7" s="31">
        <v>5132.5172200000034</v>
      </c>
      <c r="D7" s="8"/>
      <c r="E7" s="121">
        <v>5690.2450800000024</v>
      </c>
      <c r="F7" s="30">
        <v>5277.7498337636698</v>
      </c>
      <c r="G7" s="122">
        <f>E7-F7</f>
        <v>412.4952462363326</v>
      </c>
      <c r="H7" s="126">
        <f>IF(F7&lt;0.00000001,"",E7/F7)</f>
        <v>1.0781574078402603</v>
      </c>
    </row>
    <row r="8" spans="1:8" ht="14.4" customHeight="1" thickBot="1" x14ac:dyDescent="0.35">
      <c r="A8" s="1" t="s">
        <v>76</v>
      </c>
      <c r="B8" s="11">
        <v>1326.9796900000008</v>
      </c>
      <c r="C8" s="33">
        <v>1296.1478099999993</v>
      </c>
      <c r="D8" s="8"/>
      <c r="E8" s="123">
        <v>1381.792999999999</v>
      </c>
      <c r="F8" s="32">
        <v>1421.6531702058901</v>
      </c>
      <c r="G8" s="124">
        <f>E8-F8</f>
        <v>-39.860170205891109</v>
      </c>
      <c r="H8" s="127">
        <f>IF(F8&lt;0.00000001,"",E8/F8)</f>
        <v>0.97196209944784329</v>
      </c>
    </row>
    <row r="9" spans="1:8" ht="14.4" customHeight="1" thickBot="1" x14ac:dyDescent="0.35">
      <c r="A9" s="2" t="s">
        <v>77</v>
      </c>
      <c r="B9" s="3">
        <v>6602.8173399999978</v>
      </c>
      <c r="C9" s="35">
        <v>6890.5228300000026</v>
      </c>
      <c r="D9" s="8"/>
      <c r="E9" s="3">
        <v>7516.6441700000014</v>
      </c>
      <c r="F9" s="34">
        <v>7263.3710012455522</v>
      </c>
      <c r="G9" s="34">
        <f>E9-F9</f>
        <v>253.27316875444922</v>
      </c>
      <c r="H9" s="128">
        <f>IF(F9&lt;0.00000001,"",E9/F9)</f>
        <v>1.034869920414504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1408.2460000000001</v>
      </c>
      <c r="C11" s="29">
        <f>IF(ISERROR(VLOOKUP("Celkem:",'ZV Vykáz.-A'!A:F,4,0)),0,VLOOKUP("Celkem:",'ZV Vykáz.-A'!A:F,4,0)/1000)</f>
        <v>1556.0989999999999</v>
      </c>
      <c r="D11" s="8"/>
      <c r="E11" s="120">
        <f>IF(ISERROR(VLOOKUP("Celkem:",'ZV Vykáz.-A'!A:F,6,0)),0,VLOOKUP("Celkem:",'ZV Vykáz.-A'!A:F,6,0)/1000)</f>
        <v>1767.0479699999999</v>
      </c>
      <c r="F11" s="28">
        <f>B11</f>
        <v>1408.2460000000001</v>
      </c>
      <c r="G11" s="119">
        <f>E11-F11</f>
        <v>358.80196999999976</v>
      </c>
      <c r="H11" s="125">
        <f>IF(F11&lt;0.00000001,"",E11/F11)</f>
        <v>1.2547864293596429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1408.2460000000001</v>
      </c>
      <c r="C13" s="37">
        <f>SUM(C11:C12)</f>
        <v>1556.0989999999999</v>
      </c>
      <c r="D13" s="8"/>
      <c r="E13" s="5">
        <f>SUM(E11:E12)</f>
        <v>1767.0479699999999</v>
      </c>
      <c r="F13" s="36">
        <f>SUM(F11:F12)</f>
        <v>1408.2460000000001</v>
      </c>
      <c r="G13" s="36">
        <f>E13-F13</f>
        <v>358.80196999999976</v>
      </c>
      <c r="H13" s="129">
        <f>IF(F13&lt;0.00000001,"",E13/F13)</f>
        <v>1.2547864293596429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0.21327956347797447</v>
      </c>
      <c r="C15" s="39">
        <f>IF(C9=0,"",C13/C9)</f>
        <v>0.22583177480017136</v>
      </c>
      <c r="D15" s="8"/>
      <c r="E15" s="6">
        <f>IF(E9=0,"",E13/E9)</f>
        <v>0.23508469072575502</v>
      </c>
      <c r="F15" s="38">
        <f>IF(F9=0,"",F13/F9)</f>
        <v>0.19388325334868733</v>
      </c>
      <c r="G15" s="38">
        <f>IF(ISERROR(F15-E15),"",E15-F15)</f>
        <v>4.120143737706769E-2</v>
      </c>
      <c r="H15" s="130">
        <f>IF(ISERROR(F15-E15),"",IF(F15&lt;0.00000001,"",E15/F15))</f>
        <v>1.2125064267565666</v>
      </c>
    </row>
    <row r="17" spans="1:8" ht="14.4" customHeight="1" x14ac:dyDescent="0.3">
      <c r="A17" s="116" t="s">
        <v>165</v>
      </c>
    </row>
    <row r="18" spans="1:8" ht="14.4" customHeight="1" x14ac:dyDescent="0.3">
      <c r="A18" s="292" t="s">
        <v>206</v>
      </c>
      <c r="B18" s="293"/>
      <c r="C18" s="293"/>
      <c r="D18" s="293"/>
      <c r="E18" s="293"/>
      <c r="F18" s="293"/>
      <c r="G18" s="293"/>
      <c r="H18" s="293"/>
    </row>
    <row r="19" spans="1:8" x14ac:dyDescent="0.3">
      <c r="A19" s="291" t="s">
        <v>205</v>
      </c>
      <c r="B19" s="293"/>
      <c r="C19" s="293"/>
      <c r="D19" s="293"/>
      <c r="E19" s="293"/>
      <c r="F19" s="293"/>
      <c r="G19" s="293"/>
      <c r="H19" s="293"/>
    </row>
    <row r="20" spans="1:8" ht="14.4" customHeight="1" x14ac:dyDescent="0.3">
      <c r="A20" s="117" t="s">
        <v>260</v>
      </c>
    </row>
    <row r="21" spans="1:8" ht="14.4" customHeight="1" x14ac:dyDescent="0.3">
      <c r="A21" s="117" t="s">
        <v>166</v>
      </c>
    </row>
    <row r="22" spans="1:8" ht="14.4" customHeight="1" x14ac:dyDescent="0.3">
      <c r="A22" s="118" t="s">
        <v>167</v>
      </c>
    </row>
    <row r="23" spans="1:8" ht="14.4" customHeight="1" x14ac:dyDescent="0.3">
      <c r="A23" s="118" t="s">
        <v>168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30" t="s">
        <v>105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9" t="s">
        <v>286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0.27487807798315306</v>
      </c>
      <c r="C4" s="205">
        <f t="shared" ref="C4:M4" si="0">(C10+C8)/C6</f>
        <v>0.2559369649024601</v>
      </c>
      <c r="D4" s="205">
        <f t="shared" si="0"/>
        <v>0.2601808115499103</v>
      </c>
      <c r="E4" s="205">
        <f t="shared" si="0"/>
        <v>0.26181341970055017</v>
      </c>
      <c r="F4" s="205">
        <f t="shared" si="0"/>
        <v>0.26194807771220457</v>
      </c>
      <c r="G4" s="205">
        <f t="shared" si="0"/>
        <v>0.26376094399249023</v>
      </c>
      <c r="H4" s="205">
        <f t="shared" si="0"/>
        <v>0.24480629114390989</v>
      </c>
      <c r="I4" s="205">
        <f t="shared" si="0"/>
        <v>0.23362677024665132</v>
      </c>
      <c r="J4" s="205">
        <f t="shared" si="0"/>
        <v>0.23508468673461227</v>
      </c>
      <c r="K4" s="205">
        <f t="shared" si="0"/>
        <v>0.23508468673461227</v>
      </c>
      <c r="L4" s="205">
        <f t="shared" si="0"/>
        <v>0.23508468673461227</v>
      </c>
      <c r="M4" s="205">
        <f t="shared" si="0"/>
        <v>0.23508468673461227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829.61021000000005</v>
      </c>
      <c r="C5" s="205">
        <f>IF(ISERROR(VLOOKUP($A5,'Man Tab'!$A:$Q,COLUMN()+2,0)),0,VLOOKUP($A5,'Man Tab'!$A:$Q,COLUMN()+2,0))</f>
        <v>816.81859000000202</v>
      </c>
      <c r="D5" s="205">
        <f>IF(ISERROR(VLOOKUP($A5,'Man Tab'!$A:$Q,COLUMN()+2,0)),0,VLOOKUP($A5,'Man Tab'!$A:$Q,COLUMN()+2,0))</f>
        <v>821.62149999999997</v>
      </c>
      <c r="E5" s="205">
        <f>IF(ISERROR(VLOOKUP($A5,'Man Tab'!$A:$Q,COLUMN()+2,0)),0,VLOOKUP($A5,'Man Tab'!$A:$Q,COLUMN()+2,0))</f>
        <v>886.33974999999998</v>
      </c>
      <c r="F5" s="205">
        <f>IF(ISERROR(VLOOKUP($A5,'Man Tab'!$A:$Q,COLUMN()+2,0)),0,VLOOKUP($A5,'Man Tab'!$A:$Q,COLUMN()+2,0))</f>
        <v>771.24557000000004</v>
      </c>
      <c r="G5" s="205">
        <f>IF(ISERROR(VLOOKUP($A5,'Man Tab'!$A:$Q,COLUMN()+2,0)),0,VLOOKUP($A5,'Man Tab'!$A:$Q,COLUMN()+2,0))</f>
        <v>740.45987000000002</v>
      </c>
      <c r="H5" s="205">
        <f>IF(ISERROR(VLOOKUP($A5,'Man Tab'!$A:$Q,COLUMN()+2,0)),0,VLOOKUP($A5,'Man Tab'!$A:$Q,COLUMN()+2,0))</f>
        <v>1084.46621</v>
      </c>
      <c r="I5" s="205">
        <f>IF(ISERROR(VLOOKUP($A5,'Man Tab'!$A:$Q,COLUMN()+2,0)),0,VLOOKUP($A5,'Man Tab'!$A:$Q,COLUMN()+2,0))</f>
        <v>800.59073999999998</v>
      </c>
      <c r="J5" s="205">
        <f>IF(ISERROR(VLOOKUP($A5,'Man Tab'!$A:$Q,COLUMN()+2,0)),0,VLOOKUP($A5,'Man Tab'!$A:$Q,COLUMN()+2,0))</f>
        <v>765.49172999999996</v>
      </c>
      <c r="K5" s="205">
        <f>IF(ISERROR(VLOOKUP($A5,'Man Tab'!$A:$Q,COLUMN()+2,0)),0,VLOOKUP($A5,'Man Tab'!$A:$Q,COLUMN()+2,0))</f>
        <v>0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829.61021000000005</v>
      </c>
      <c r="C6" s="207">
        <f t="shared" ref="C6:M6" si="1">C5+B6</f>
        <v>1646.428800000002</v>
      </c>
      <c r="D6" s="207">
        <f t="shared" si="1"/>
        <v>2468.0503000000017</v>
      </c>
      <c r="E6" s="207">
        <f t="shared" si="1"/>
        <v>3354.3900500000018</v>
      </c>
      <c r="F6" s="207">
        <f t="shared" si="1"/>
        <v>4125.6356200000018</v>
      </c>
      <c r="G6" s="207">
        <f t="shared" si="1"/>
        <v>4866.0954900000015</v>
      </c>
      <c r="H6" s="207">
        <f t="shared" si="1"/>
        <v>5950.561700000002</v>
      </c>
      <c r="I6" s="207">
        <f t="shared" si="1"/>
        <v>6751.1524400000017</v>
      </c>
      <c r="J6" s="207">
        <f t="shared" si="1"/>
        <v>7516.6441700000014</v>
      </c>
      <c r="K6" s="207">
        <f t="shared" si="1"/>
        <v>7516.6441700000014</v>
      </c>
      <c r="L6" s="207">
        <f t="shared" si="1"/>
        <v>7516.6441700000014</v>
      </c>
      <c r="M6" s="207">
        <f t="shared" si="1"/>
        <v>7516.6441700000014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228041.66</v>
      </c>
      <c r="C9" s="206">
        <v>193340.33000000002</v>
      </c>
      <c r="D9" s="206">
        <v>220757.34</v>
      </c>
      <c r="E9" s="206">
        <v>236085</v>
      </c>
      <c r="F9" s="206">
        <v>202477.99</v>
      </c>
      <c r="G9" s="206">
        <v>202783.62000000002</v>
      </c>
      <c r="H9" s="206">
        <v>173249</v>
      </c>
      <c r="I9" s="206">
        <v>120515</v>
      </c>
      <c r="J9" s="206">
        <v>189798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228.04166000000001</v>
      </c>
      <c r="C10" s="207">
        <f t="shared" ref="C10:M10" si="3">C9/1000+B10</f>
        <v>421.38199000000003</v>
      </c>
      <c r="D10" s="207">
        <f t="shared" si="3"/>
        <v>642.13932999999997</v>
      </c>
      <c r="E10" s="207">
        <f t="shared" si="3"/>
        <v>878.22433000000001</v>
      </c>
      <c r="F10" s="207">
        <f t="shared" si="3"/>
        <v>1080.7023199999999</v>
      </c>
      <c r="G10" s="207">
        <f t="shared" si="3"/>
        <v>1283.4859399999998</v>
      </c>
      <c r="H10" s="207">
        <f t="shared" si="3"/>
        <v>1456.7349399999998</v>
      </c>
      <c r="I10" s="207">
        <f t="shared" si="3"/>
        <v>1577.2499399999999</v>
      </c>
      <c r="J10" s="207">
        <f t="shared" si="3"/>
        <v>1767.0479399999999</v>
      </c>
      <c r="K10" s="207">
        <f t="shared" si="3"/>
        <v>1767.0479399999999</v>
      </c>
      <c r="L10" s="207">
        <f t="shared" si="3"/>
        <v>1767.0479399999999</v>
      </c>
      <c r="M10" s="207">
        <f t="shared" si="3"/>
        <v>1767.0479399999999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9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0.19388325334868733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0.19388325334868733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39" t="s">
        <v>288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8" customFormat="1" ht="14.4" customHeight="1" thickBot="1" x14ac:dyDescent="0.3">
      <c r="A2" s="239" t="s">
        <v>286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40" t="s">
        <v>29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41"/>
      <c r="Q3" s="143"/>
    </row>
    <row r="4" spans="1:17" ht="14.4" customHeight="1" x14ac:dyDescent="0.3">
      <c r="A4" s="77"/>
      <c r="B4" s="20">
        <v>2015</v>
      </c>
      <c r="C4" s="142" t="s">
        <v>30</v>
      </c>
      <c r="D4" s="132" t="s">
        <v>263</v>
      </c>
      <c r="E4" s="132" t="s">
        <v>264</v>
      </c>
      <c r="F4" s="132" t="s">
        <v>265</v>
      </c>
      <c r="G4" s="132" t="s">
        <v>266</v>
      </c>
      <c r="H4" s="132" t="s">
        <v>267</v>
      </c>
      <c r="I4" s="132" t="s">
        <v>268</v>
      </c>
      <c r="J4" s="132" t="s">
        <v>269</v>
      </c>
      <c r="K4" s="132" t="s">
        <v>270</v>
      </c>
      <c r="L4" s="132" t="s">
        <v>271</v>
      </c>
      <c r="M4" s="132" t="s">
        <v>272</v>
      </c>
      <c r="N4" s="132" t="s">
        <v>273</v>
      </c>
      <c r="O4" s="132" t="s">
        <v>274</v>
      </c>
      <c r="P4" s="342" t="s">
        <v>3</v>
      </c>
      <c r="Q4" s="343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287</v>
      </c>
    </row>
    <row r="7" spans="1:17" ht="14.4" customHeight="1" x14ac:dyDescent="0.3">
      <c r="A7" s="15" t="s">
        <v>35</v>
      </c>
      <c r="B7" s="51">
        <v>668.61019232655701</v>
      </c>
      <c r="C7" s="52">
        <v>55.717516027213001</v>
      </c>
      <c r="D7" s="52">
        <v>32.337000000000003</v>
      </c>
      <c r="E7" s="52">
        <v>57.202620000000003</v>
      </c>
      <c r="F7" s="52">
        <v>53.716340000000002</v>
      </c>
      <c r="G7" s="52">
        <v>36.167870000000001</v>
      </c>
      <c r="H7" s="52">
        <v>51.388840000000002</v>
      </c>
      <c r="I7" s="52">
        <v>16.847359999999998</v>
      </c>
      <c r="J7" s="52">
        <v>68.300420000000003</v>
      </c>
      <c r="K7" s="52">
        <v>20.335920000000002</v>
      </c>
      <c r="L7" s="52">
        <v>57.371070000000003</v>
      </c>
      <c r="M7" s="52">
        <v>0</v>
      </c>
      <c r="N7" s="52">
        <v>0</v>
      </c>
      <c r="O7" s="52">
        <v>0</v>
      </c>
      <c r="P7" s="53">
        <v>393.66744</v>
      </c>
      <c r="Q7" s="96">
        <v>0.78504624372099996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287</v>
      </c>
    </row>
    <row r="9" spans="1:17" ht="14.4" customHeight="1" x14ac:dyDescent="0.3">
      <c r="A9" s="15" t="s">
        <v>37</v>
      </c>
      <c r="B9" s="51">
        <v>83.347137374767001</v>
      </c>
      <c r="C9" s="52">
        <v>6.9455947812299996</v>
      </c>
      <c r="D9" s="52">
        <v>2.94726</v>
      </c>
      <c r="E9" s="52">
        <v>4.3242500000000001</v>
      </c>
      <c r="F9" s="52">
        <v>5.1633699999999996</v>
      </c>
      <c r="G9" s="52">
        <v>4.8605499999999999</v>
      </c>
      <c r="H9" s="52">
        <v>6.8822599999999996</v>
      </c>
      <c r="I9" s="52">
        <v>6.30572</v>
      </c>
      <c r="J9" s="52">
        <v>6.2811700000000004</v>
      </c>
      <c r="K9" s="52">
        <v>6.6400499999999996</v>
      </c>
      <c r="L9" s="52">
        <v>7.5340199999999999</v>
      </c>
      <c r="M9" s="52">
        <v>0</v>
      </c>
      <c r="N9" s="52">
        <v>0</v>
      </c>
      <c r="O9" s="52">
        <v>0</v>
      </c>
      <c r="P9" s="53">
        <v>50.938650000000003</v>
      </c>
      <c r="Q9" s="96">
        <v>0.81488341578599999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287</v>
      </c>
    </row>
    <row r="11" spans="1:17" ht="14.4" customHeight="1" x14ac:dyDescent="0.3">
      <c r="A11" s="15" t="s">
        <v>39</v>
      </c>
      <c r="B11" s="51">
        <v>81.668284616121994</v>
      </c>
      <c r="C11" s="52">
        <v>6.8056903846759997</v>
      </c>
      <c r="D11" s="52">
        <v>6.8681700000000001</v>
      </c>
      <c r="E11" s="52">
        <v>4.4086499999999997</v>
      </c>
      <c r="F11" s="52">
        <v>5.6275700000000004</v>
      </c>
      <c r="G11" s="52">
        <v>4.57714</v>
      </c>
      <c r="H11" s="52">
        <v>5.2917300000000003</v>
      </c>
      <c r="I11" s="52">
        <v>8.4954900000000002</v>
      </c>
      <c r="J11" s="52">
        <v>5.8578700000000001</v>
      </c>
      <c r="K11" s="52">
        <v>6.5423900000000001</v>
      </c>
      <c r="L11" s="52">
        <v>12.57521</v>
      </c>
      <c r="M11" s="52">
        <v>0</v>
      </c>
      <c r="N11" s="52">
        <v>0</v>
      </c>
      <c r="O11" s="52">
        <v>0</v>
      </c>
      <c r="P11" s="53">
        <v>60.244219999999999</v>
      </c>
      <c r="Q11" s="96">
        <v>0.98355961612499998</v>
      </c>
    </row>
    <row r="12" spans="1:17" ht="14.4" customHeight="1" x14ac:dyDescent="0.3">
      <c r="A12" s="15" t="s">
        <v>40</v>
      </c>
      <c r="B12" s="51">
        <v>4.2952421738269999</v>
      </c>
      <c r="C12" s="52">
        <v>0.357936847818</v>
      </c>
      <c r="D12" s="52">
        <v>0</v>
      </c>
      <c r="E12" s="52">
        <v>0</v>
      </c>
      <c r="F12" s="52">
        <v>0.22387000000000001</v>
      </c>
      <c r="G12" s="52">
        <v>0</v>
      </c>
      <c r="H12" s="52">
        <v>0</v>
      </c>
      <c r="I12" s="52">
        <v>0</v>
      </c>
      <c r="J12" s="52">
        <v>0</v>
      </c>
      <c r="K12" s="52">
        <v>3.6639999999999999E-2</v>
      </c>
      <c r="L12" s="52">
        <v>3.6639999999999999E-2</v>
      </c>
      <c r="M12" s="52">
        <v>0</v>
      </c>
      <c r="N12" s="52">
        <v>0</v>
      </c>
      <c r="O12" s="52">
        <v>0</v>
      </c>
      <c r="P12" s="53">
        <v>0.29715000000000003</v>
      </c>
      <c r="Q12" s="96">
        <v>9.2241597554999999E-2</v>
      </c>
    </row>
    <row r="13" spans="1:17" ht="14.4" customHeight="1" x14ac:dyDescent="0.3">
      <c r="A13" s="15" t="s">
        <v>41</v>
      </c>
      <c r="B13" s="51">
        <v>7.9999997480190004</v>
      </c>
      <c r="C13" s="52">
        <v>0.66666664566800005</v>
      </c>
      <c r="D13" s="52">
        <v>0.66549999999999998</v>
      </c>
      <c r="E13" s="52">
        <v>0.23135</v>
      </c>
      <c r="F13" s="52">
        <v>0.79169</v>
      </c>
      <c r="G13" s="52">
        <v>0.37358000000000002</v>
      </c>
      <c r="H13" s="52">
        <v>0.54352999999999996</v>
      </c>
      <c r="I13" s="52">
        <v>0.85541</v>
      </c>
      <c r="J13" s="52">
        <v>2.1720299999999999</v>
      </c>
      <c r="K13" s="52">
        <v>0.75019999999999998</v>
      </c>
      <c r="L13" s="52">
        <v>0.62921000000000005</v>
      </c>
      <c r="M13" s="52">
        <v>0</v>
      </c>
      <c r="N13" s="52">
        <v>0</v>
      </c>
      <c r="O13" s="52">
        <v>0</v>
      </c>
      <c r="P13" s="53">
        <v>7.0125000000000002</v>
      </c>
      <c r="Q13" s="96">
        <v>1.1687500368120001</v>
      </c>
    </row>
    <row r="14" spans="1:17" ht="14.4" customHeight="1" x14ac:dyDescent="0.3">
      <c r="A14" s="15" t="s">
        <v>42</v>
      </c>
      <c r="B14" s="51">
        <v>1147.2710489045301</v>
      </c>
      <c r="C14" s="52">
        <v>95.605920742042997</v>
      </c>
      <c r="D14" s="52">
        <v>150.13399999999999</v>
      </c>
      <c r="E14" s="52">
        <v>128.328</v>
      </c>
      <c r="F14" s="52">
        <v>121.215</v>
      </c>
      <c r="G14" s="52">
        <v>100.756</v>
      </c>
      <c r="H14" s="52">
        <v>75.260999999999996</v>
      </c>
      <c r="I14" s="52">
        <v>61.527000000000001</v>
      </c>
      <c r="J14" s="52">
        <v>61.075000000000003</v>
      </c>
      <c r="K14" s="52">
        <v>62.829000000000001</v>
      </c>
      <c r="L14" s="52">
        <v>65.393000000000001</v>
      </c>
      <c r="M14" s="52">
        <v>0</v>
      </c>
      <c r="N14" s="52">
        <v>0</v>
      </c>
      <c r="O14" s="52">
        <v>0</v>
      </c>
      <c r="P14" s="53">
        <v>826.51800000000003</v>
      </c>
      <c r="Q14" s="96">
        <v>0.96056115165800005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287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287</v>
      </c>
    </row>
    <row r="17" spans="1:17" ht="14.4" customHeight="1" x14ac:dyDescent="0.3">
      <c r="A17" s="15" t="s">
        <v>45</v>
      </c>
      <c r="B17" s="51">
        <v>92.915825219316005</v>
      </c>
      <c r="C17" s="52">
        <v>7.7429854349429998</v>
      </c>
      <c r="D17" s="52">
        <v>2.0912600000000001</v>
      </c>
      <c r="E17" s="52">
        <v>1.38293</v>
      </c>
      <c r="F17" s="52">
        <v>1.43567</v>
      </c>
      <c r="G17" s="52">
        <v>6.4695999999999998</v>
      </c>
      <c r="H17" s="52">
        <v>0.73465000000000003</v>
      </c>
      <c r="I17" s="52">
        <v>8.8191400000000009</v>
      </c>
      <c r="J17" s="52">
        <v>0.82279999999999998</v>
      </c>
      <c r="K17" s="52">
        <v>1.48613</v>
      </c>
      <c r="L17" s="52">
        <v>0.74572000000000005</v>
      </c>
      <c r="M17" s="52">
        <v>0</v>
      </c>
      <c r="N17" s="52">
        <v>0</v>
      </c>
      <c r="O17" s="52">
        <v>0</v>
      </c>
      <c r="P17" s="53">
        <v>23.9879</v>
      </c>
      <c r="Q17" s="96">
        <v>0.344224103818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1.2150000000000001</v>
      </c>
      <c r="E18" s="52">
        <v>0.51200000000000001</v>
      </c>
      <c r="F18" s="52">
        <v>0.73399999999999999</v>
      </c>
      <c r="G18" s="52">
        <v>0.66700000000000004</v>
      </c>
      <c r="H18" s="52">
        <v>0.64200000000000002</v>
      </c>
      <c r="I18" s="52">
        <v>11.417999999999999</v>
      </c>
      <c r="J18" s="52">
        <v>0</v>
      </c>
      <c r="K18" s="52">
        <v>0</v>
      </c>
      <c r="L18" s="52">
        <v>1.77</v>
      </c>
      <c r="M18" s="52">
        <v>0</v>
      </c>
      <c r="N18" s="52">
        <v>0</v>
      </c>
      <c r="O18" s="52">
        <v>0</v>
      </c>
      <c r="P18" s="53">
        <v>16.957999999999998</v>
      </c>
      <c r="Q18" s="96" t="s">
        <v>287</v>
      </c>
    </row>
    <row r="19" spans="1:17" ht="14.4" customHeight="1" x14ac:dyDescent="0.3">
      <c r="A19" s="15" t="s">
        <v>47</v>
      </c>
      <c r="B19" s="51">
        <v>212.941452026062</v>
      </c>
      <c r="C19" s="52">
        <v>17.745121002171</v>
      </c>
      <c r="D19" s="52">
        <v>14.46546</v>
      </c>
      <c r="E19" s="52">
        <v>24.157730000000001</v>
      </c>
      <c r="F19" s="52">
        <v>27.59272</v>
      </c>
      <c r="G19" s="52">
        <v>18.808340000000001</v>
      </c>
      <c r="H19" s="52">
        <v>30.078109999999999</v>
      </c>
      <c r="I19" s="52">
        <v>15.393599999999999</v>
      </c>
      <c r="J19" s="52">
        <v>15.61313</v>
      </c>
      <c r="K19" s="52">
        <v>14.70715</v>
      </c>
      <c r="L19" s="52">
        <v>15.329829999999999</v>
      </c>
      <c r="M19" s="52">
        <v>0</v>
      </c>
      <c r="N19" s="52">
        <v>0</v>
      </c>
      <c r="O19" s="52">
        <v>0</v>
      </c>
      <c r="P19" s="53">
        <v>176.14607000000001</v>
      </c>
      <c r="Q19" s="96">
        <v>1.10293897422</v>
      </c>
    </row>
    <row r="20" spans="1:17" ht="14.4" customHeight="1" x14ac:dyDescent="0.3">
      <c r="A20" s="15" t="s">
        <v>48</v>
      </c>
      <c r="B20" s="51">
        <v>7036.99977835155</v>
      </c>
      <c r="C20" s="52">
        <v>586.41664819596303</v>
      </c>
      <c r="D20" s="52">
        <v>594.79556000000002</v>
      </c>
      <c r="E20" s="52">
        <v>572.18006000000105</v>
      </c>
      <c r="F20" s="52">
        <v>581.03126999999995</v>
      </c>
      <c r="G20" s="52">
        <v>689.56966999999997</v>
      </c>
      <c r="H20" s="52">
        <v>576.13989000000004</v>
      </c>
      <c r="I20" s="52">
        <v>584.57854999999995</v>
      </c>
      <c r="J20" s="52">
        <v>860.80778999999995</v>
      </c>
      <c r="K20" s="52">
        <v>652.52526</v>
      </c>
      <c r="L20" s="52">
        <v>578.61703</v>
      </c>
      <c r="M20" s="52">
        <v>0</v>
      </c>
      <c r="N20" s="52">
        <v>0</v>
      </c>
      <c r="O20" s="52">
        <v>0</v>
      </c>
      <c r="P20" s="53">
        <v>5690.2450799999997</v>
      </c>
      <c r="Q20" s="96">
        <v>1.07815740784</v>
      </c>
    </row>
    <row r="21" spans="1:17" ht="14.4" customHeight="1" x14ac:dyDescent="0.3">
      <c r="A21" s="16" t="s">
        <v>49</v>
      </c>
      <c r="B21" s="51">
        <v>288.99970758665302</v>
      </c>
      <c r="C21" s="52">
        <v>24.083308965554</v>
      </c>
      <c r="D21" s="52">
        <v>24.091000000000001</v>
      </c>
      <c r="E21" s="52">
        <v>24.091000000000001</v>
      </c>
      <c r="F21" s="52">
        <v>24.09</v>
      </c>
      <c r="G21" s="52">
        <v>24.09</v>
      </c>
      <c r="H21" s="52">
        <v>24.09</v>
      </c>
      <c r="I21" s="52">
        <v>24.09</v>
      </c>
      <c r="J21" s="52">
        <v>24.09</v>
      </c>
      <c r="K21" s="52">
        <v>24.09</v>
      </c>
      <c r="L21" s="52">
        <v>25.49</v>
      </c>
      <c r="M21" s="52">
        <v>0</v>
      </c>
      <c r="N21" s="52">
        <v>0</v>
      </c>
      <c r="O21" s="52">
        <v>0</v>
      </c>
      <c r="P21" s="53">
        <v>218.21199999999999</v>
      </c>
      <c r="Q21" s="96">
        <v>1.006746116675</v>
      </c>
    </row>
    <row r="22" spans="1:17" ht="14.4" customHeight="1" x14ac:dyDescent="0.3">
      <c r="A22" s="15" t="s">
        <v>50</v>
      </c>
      <c r="B22" s="51">
        <v>59.445999999999998</v>
      </c>
      <c r="C22" s="52">
        <v>4.9538333333329998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39.445999999999998</v>
      </c>
      <c r="K22" s="52">
        <v>10.648</v>
      </c>
      <c r="L22" s="52">
        <v>0</v>
      </c>
      <c r="M22" s="52">
        <v>0</v>
      </c>
      <c r="N22" s="52">
        <v>0</v>
      </c>
      <c r="O22" s="52">
        <v>0</v>
      </c>
      <c r="P22" s="53">
        <v>50.094000000000001</v>
      </c>
      <c r="Q22" s="96">
        <v>1.1235743363720001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287</v>
      </c>
    </row>
    <row r="24" spans="1:17" ht="14.4" customHeight="1" x14ac:dyDescent="0.3">
      <c r="A24" s="16" t="s">
        <v>52</v>
      </c>
      <c r="B24" s="51">
        <v>1.8189894035458601E-12</v>
      </c>
      <c r="C24" s="52">
        <v>-1.13686837721616E-13</v>
      </c>
      <c r="D24" s="52">
        <v>0</v>
      </c>
      <c r="E24" s="52">
        <v>0</v>
      </c>
      <c r="F24" s="52">
        <v>1.13686837721616E-13</v>
      </c>
      <c r="G24" s="52">
        <v>-2.2737367544323201E-13</v>
      </c>
      <c r="H24" s="52">
        <v>0.19356000000000001</v>
      </c>
      <c r="I24" s="52">
        <v>2.1295999999989998</v>
      </c>
      <c r="J24" s="52">
        <v>2.2737367544323201E-13</v>
      </c>
      <c r="K24" s="52">
        <v>-2.2737367544323201E-13</v>
      </c>
      <c r="L24" s="52">
        <v>0</v>
      </c>
      <c r="M24" s="52">
        <v>0</v>
      </c>
      <c r="N24" s="52">
        <v>0</v>
      </c>
      <c r="O24" s="52">
        <v>0</v>
      </c>
      <c r="P24" s="53">
        <v>2.323159999999</v>
      </c>
      <c r="Q24" s="96"/>
    </row>
    <row r="25" spans="1:17" ht="14.4" customHeight="1" x14ac:dyDescent="0.3">
      <c r="A25" s="17" t="s">
        <v>53</v>
      </c>
      <c r="B25" s="54">
        <v>9684.4946683273993</v>
      </c>
      <c r="C25" s="55">
        <v>807.04122236061698</v>
      </c>
      <c r="D25" s="55">
        <v>829.61021000000005</v>
      </c>
      <c r="E25" s="55">
        <v>816.81859000000202</v>
      </c>
      <c r="F25" s="55">
        <v>821.62149999999997</v>
      </c>
      <c r="G25" s="55">
        <v>886.33974999999998</v>
      </c>
      <c r="H25" s="55">
        <v>771.24557000000004</v>
      </c>
      <c r="I25" s="55">
        <v>740.45987000000002</v>
      </c>
      <c r="J25" s="55">
        <v>1084.46621</v>
      </c>
      <c r="K25" s="55">
        <v>800.59073999999998</v>
      </c>
      <c r="L25" s="55">
        <v>765.49172999999996</v>
      </c>
      <c r="M25" s="55">
        <v>0</v>
      </c>
      <c r="N25" s="55">
        <v>0</v>
      </c>
      <c r="O25" s="55">
        <v>0</v>
      </c>
      <c r="P25" s="56">
        <v>7516.6441699999996</v>
      </c>
      <c r="Q25" s="97">
        <v>1.0348699204139999</v>
      </c>
    </row>
    <row r="26" spans="1:17" ht="14.4" customHeight="1" x14ac:dyDescent="0.3">
      <c r="A26" s="15" t="s">
        <v>54</v>
      </c>
      <c r="B26" s="51">
        <v>1298.4410050310601</v>
      </c>
      <c r="C26" s="52">
        <v>108.203417085922</v>
      </c>
      <c r="D26" s="52">
        <v>95.586070000000007</v>
      </c>
      <c r="E26" s="52">
        <v>95.031840000000003</v>
      </c>
      <c r="F26" s="52">
        <v>104.92679</v>
      </c>
      <c r="G26" s="52">
        <v>106.91498</v>
      </c>
      <c r="H26" s="52">
        <v>86.615210000000005</v>
      </c>
      <c r="I26" s="52">
        <v>125.02699</v>
      </c>
      <c r="J26" s="52">
        <v>126.91195999999999</v>
      </c>
      <c r="K26" s="52">
        <v>89.757040000000003</v>
      </c>
      <c r="L26" s="52">
        <v>103.42829</v>
      </c>
      <c r="M26" s="52">
        <v>0</v>
      </c>
      <c r="N26" s="52">
        <v>0</v>
      </c>
      <c r="O26" s="52">
        <v>0</v>
      </c>
      <c r="P26" s="53">
        <v>934.199170000001</v>
      </c>
      <c r="Q26" s="96">
        <v>0.95930341733400004</v>
      </c>
    </row>
    <row r="27" spans="1:17" ht="14.4" customHeight="1" x14ac:dyDescent="0.3">
      <c r="A27" s="18" t="s">
        <v>55</v>
      </c>
      <c r="B27" s="54">
        <v>10982.935673358499</v>
      </c>
      <c r="C27" s="55">
        <v>915.24463944653905</v>
      </c>
      <c r="D27" s="55">
        <v>925.19628</v>
      </c>
      <c r="E27" s="55">
        <v>911.85043000000201</v>
      </c>
      <c r="F27" s="55">
        <v>926.54828999999995</v>
      </c>
      <c r="G27" s="55">
        <v>993.25473</v>
      </c>
      <c r="H27" s="55">
        <v>857.86077999999998</v>
      </c>
      <c r="I27" s="55">
        <v>865.48685999999998</v>
      </c>
      <c r="J27" s="55">
        <v>1211.37817</v>
      </c>
      <c r="K27" s="55">
        <v>890.34777999999994</v>
      </c>
      <c r="L27" s="55">
        <v>868.92002000000002</v>
      </c>
      <c r="M27" s="55">
        <v>0</v>
      </c>
      <c r="N27" s="55">
        <v>0</v>
      </c>
      <c r="O27" s="55">
        <v>0</v>
      </c>
      <c r="P27" s="56">
        <v>8450.8433399999994</v>
      </c>
      <c r="Q27" s="97">
        <v>1.0259361845599999</v>
      </c>
    </row>
    <row r="28" spans="1:17" ht="14.4" customHeight="1" x14ac:dyDescent="0.3">
      <c r="A28" s="16" t="s">
        <v>56</v>
      </c>
      <c r="B28" s="51">
        <v>3710.1332493721802</v>
      </c>
      <c r="C28" s="52">
        <v>309.177770781015</v>
      </c>
      <c r="D28" s="52">
        <v>295.58841000000001</v>
      </c>
      <c r="E28" s="52">
        <v>345.10255999999998</v>
      </c>
      <c r="F28" s="52">
        <v>360.40604999999999</v>
      </c>
      <c r="G28" s="52">
        <v>380.82139000000001</v>
      </c>
      <c r="H28" s="52">
        <v>405.22197999999997</v>
      </c>
      <c r="I28" s="52">
        <v>471.88729999999998</v>
      </c>
      <c r="J28" s="52">
        <v>304.05835999999999</v>
      </c>
      <c r="K28" s="52">
        <v>328.60458999999997</v>
      </c>
      <c r="L28" s="52">
        <v>388.87299999999999</v>
      </c>
      <c r="M28" s="52">
        <v>0</v>
      </c>
      <c r="N28" s="52">
        <v>0</v>
      </c>
      <c r="O28" s="52">
        <v>0</v>
      </c>
      <c r="P28" s="53">
        <v>3280.5636399999999</v>
      </c>
      <c r="Q28" s="96">
        <v>1.178956269043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287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8" t="s">
        <v>287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165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283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39" t="s">
        <v>61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9" t="s">
        <v>286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62</v>
      </c>
      <c r="C3" s="341"/>
      <c r="D3" s="341"/>
      <c r="E3" s="341"/>
      <c r="F3" s="347" t="s">
        <v>63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279</v>
      </c>
      <c r="G4" s="351" t="s">
        <v>64</v>
      </c>
      <c r="H4" s="144" t="s">
        <v>146</v>
      </c>
      <c r="I4" s="349" t="s">
        <v>65</v>
      </c>
      <c r="J4" s="351" t="s">
        <v>281</v>
      </c>
      <c r="K4" s="352" t="s">
        <v>282</v>
      </c>
    </row>
    <row r="5" spans="1:11" ht="42" thickBot="1" x14ac:dyDescent="0.35">
      <c r="A5" s="78"/>
      <c r="B5" s="24" t="s">
        <v>275</v>
      </c>
      <c r="C5" s="25" t="s">
        <v>276</v>
      </c>
      <c r="D5" s="26" t="s">
        <v>277</v>
      </c>
      <c r="E5" s="26" t="s">
        <v>278</v>
      </c>
      <c r="F5" s="350"/>
      <c r="G5" s="350"/>
      <c r="H5" s="25" t="s">
        <v>280</v>
      </c>
      <c r="I5" s="350"/>
      <c r="J5" s="350"/>
      <c r="K5" s="353"/>
    </row>
    <row r="6" spans="1:11" ht="14.4" customHeight="1" thickBot="1" x14ac:dyDescent="0.35">
      <c r="A6" s="442" t="s">
        <v>289</v>
      </c>
      <c r="B6" s="424">
        <v>9511.0081773865604</v>
      </c>
      <c r="C6" s="424">
        <v>9624.1023399999995</v>
      </c>
      <c r="D6" s="425">
        <v>113.09416261345</v>
      </c>
      <c r="E6" s="426">
        <v>1.0118908700839999</v>
      </c>
      <c r="F6" s="424">
        <v>9684.4946683273993</v>
      </c>
      <c r="G6" s="425">
        <v>7263.3710012455504</v>
      </c>
      <c r="H6" s="427">
        <v>765.49172999999996</v>
      </c>
      <c r="I6" s="424">
        <v>7516.6441699999996</v>
      </c>
      <c r="J6" s="425">
        <v>253.273168754447</v>
      </c>
      <c r="K6" s="428">
        <v>0.77615244030999997</v>
      </c>
    </row>
    <row r="7" spans="1:11" ht="14.4" customHeight="1" thickBot="1" x14ac:dyDescent="0.35">
      <c r="A7" s="443" t="s">
        <v>290</v>
      </c>
      <c r="B7" s="424">
        <v>2178.7163046861501</v>
      </c>
      <c r="C7" s="424">
        <v>1824.92517</v>
      </c>
      <c r="D7" s="425">
        <v>-353.79113468614503</v>
      </c>
      <c r="E7" s="426">
        <v>0.837614868018</v>
      </c>
      <c r="F7" s="424">
        <v>1993.1919051438199</v>
      </c>
      <c r="G7" s="425">
        <v>1494.8939288578599</v>
      </c>
      <c r="H7" s="427">
        <v>143.53915000000001</v>
      </c>
      <c r="I7" s="424">
        <v>1338.6779200000001</v>
      </c>
      <c r="J7" s="425">
        <v>-156.21600885786299</v>
      </c>
      <c r="K7" s="428">
        <v>0.67162520404799997</v>
      </c>
    </row>
    <row r="8" spans="1:11" ht="14.4" customHeight="1" thickBot="1" x14ac:dyDescent="0.35">
      <c r="A8" s="444" t="s">
        <v>291</v>
      </c>
      <c r="B8" s="424">
        <v>992.14514976648695</v>
      </c>
      <c r="C8" s="424">
        <v>719.70617000000004</v>
      </c>
      <c r="D8" s="425">
        <v>-272.43897976648702</v>
      </c>
      <c r="E8" s="426">
        <v>0.72540411064699994</v>
      </c>
      <c r="F8" s="424">
        <v>845.92085623929302</v>
      </c>
      <c r="G8" s="425">
        <v>634.44064217946902</v>
      </c>
      <c r="H8" s="427">
        <v>78.146150000000006</v>
      </c>
      <c r="I8" s="424">
        <v>512.15992000000006</v>
      </c>
      <c r="J8" s="425">
        <v>-122.280722179469</v>
      </c>
      <c r="K8" s="428">
        <v>0.60544661621899998</v>
      </c>
    </row>
    <row r="9" spans="1:11" ht="14.4" customHeight="1" thickBot="1" x14ac:dyDescent="0.35">
      <c r="A9" s="445" t="s">
        <v>292</v>
      </c>
      <c r="B9" s="429">
        <v>0</v>
      </c>
      <c r="C9" s="429">
        <v>5.0000000000000002E-5</v>
      </c>
      <c r="D9" s="430">
        <v>5.0000000000000002E-5</v>
      </c>
      <c r="E9" s="431" t="s">
        <v>293</v>
      </c>
      <c r="F9" s="429">
        <v>0</v>
      </c>
      <c r="G9" s="430">
        <v>0</v>
      </c>
      <c r="H9" s="432">
        <v>0</v>
      </c>
      <c r="I9" s="429">
        <v>-4.0000000000000003E-5</v>
      </c>
      <c r="J9" s="430">
        <v>-4.0000000000000003E-5</v>
      </c>
      <c r="K9" s="433" t="s">
        <v>287</v>
      </c>
    </row>
    <row r="10" spans="1:11" ht="14.4" customHeight="1" thickBot="1" x14ac:dyDescent="0.35">
      <c r="A10" s="446" t="s">
        <v>294</v>
      </c>
      <c r="B10" s="424">
        <v>0</v>
      </c>
      <c r="C10" s="424">
        <v>5.0000000000000002E-5</v>
      </c>
      <c r="D10" s="425">
        <v>5.0000000000000002E-5</v>
      </c>
      <c r="E10" s="434" t="s">
        <v>293</v>
      </c>
      <c r="F10" s="424">
        <v>0</v>
      </c>
      <c r="G10" s="425">
        <v>0</v>
      </c>
      <c r="H10" s="427">
        <v>0</v>
      </c>
      <c r="I10" s="424">
        <v>-4.0000000000000003E-5</v>
      </c>
      <c r="J10" s="425">
        <v>-4.0000000000000003E-5</v>
      </c>
      <c r="K10" s="435" t="s">
        <v>287</v>
      </c>
    </row>
    <row r="11" spans="1:11" ht="14.4" customHeight="1" thickBot="1" x14ac:dyDescent="0.35">
      <c r="A11" s="445" t="s">
        <v>295</v>
      </c>
      <c r="B11" s="429">
        <v>799.04018947148097</v>
      </c>
      <c r="C11" s="429">
        <v>545.49552000000006</v>
      </c>
      <c r="D11" s="430">
        <v>-253.54466947148001</v>
      </c>
      <c r="E11" s="436">
        <v>0.682688464469</v>
      </c>
      <c r="F11" s="429">
        <v>668.61019232655701</v>
      </c>
      <c r="G11" s="430">
        <v>501.45764424491801</v>
      </c>
      <c r="H11" s="432">
        <v>57.371070000000003</v>
      </c>
      <c r="I11" s="429">
        <v>393.66744</v>
      </c>
      <c r="J11" s="430">
        <v>-107.79020424491701</v>
      </c>
      <c r="K11" s="437">
        <v>0.58878468279100005</v>
      </c>
    </row>
    <row r="12" spans="1:11" ht="14.4" customHeight="1" thickBot="1" x14ac:dyDescent="0.35">
      <c r="A12" s="446" t="s">
        <v>296</v>
      </c>
      <c r="B12" s="424">
        <v>799.00226389420004</v>
      </c>
      <c r="C12" s="424">
        <v>545.49552000000006</v>
      </c>
      <c r="D12" s="425">
        <v>-253.50674389419899</v>
      </c>
      <c r="E12" s="426">
        <v>0.68272086907600005</v>
      </c>
      <c r="F12" s="424">
        <v>668.61019232655701</v>
      </c>
      <c r="G12" s="425">
        <v>501.45764424491801</v>
      </c>
      <c r="H12" s="427">
        <v>57.371070000000003</v>
      </c>
      <c r="I12" s="424">
        <v>393.66744</v>
      </c>
      <c r="J12" s="425">
        <v>-107.79020424491701</v>
      </c>
      <c r="K12" s="428">
        <v>0.58878468279100005</v>
      </c>
    </row>
    <row r="13" spans="1:11" ht="14.4" customHeight="1" thickBot="1" x14ac:dyDescent="0.35">
      <c r="A13" s="446" t="s">
        <v>297</v>
      </c>
      <c r="B13" s="424">
        <v>3.7925577279999997E-2</v>
      </c>
      <c r="C13" s="424">
        <v>0</v>
      </c>
      <c r="D13" s="425">
        <v>-3.7925577279999997E-2</v>
      </c>
      <c r="E13" s="426">
        <v>0</v>
      </c>
      <c r="F13" s="424">
        <v>0</v>
      </c>
      <c r="G13" s="425">
        <v>0</v>
      </c>
      <c r="H13" s="427">
        <v>0</v>
      </c>
      <c r="I13" s="424">
        <v>0</v>
      </c>
      <c r="J13" s="425">
        <v>0</v>
      </c>
      <c r="K13" s="428">
        <v>0</v>
      </c>
    </row>
    <row r="14" spans="1:11" ht="14.4" customHeight="1" thickBot="1" x14ac:dyDescent="0.35">
      <c r="A14" s="445" t="s">
        <v>298</v>
      </c>
      <c r="B14" s="429">
        <v>81.939126417829996</v>
      </c>
      <c r="C14" s="429">
        <v>77.436539999999994</v>
      </c>
      <c r="D14" s="430">
        <v>-4.5025864178299999</v>
      </c>
      <c r="E14" s="436">
        <v>0.94504961652999997</v>
      </c>
      <c r="F14" s="429">
        <v>83.347137374767001</v>
      </c>
      <c r="G14" s="430">
        <v>62.510353031074999</v>
      </c>
      <c r="H14" s="432">
        <v>7.5340199999999999</v>
      </c>
      <c r="I14" s="429">
        <v>50.938650000000003</v>
      </c>
      <c r="J14" s="430">
        <v>-11.571703031075</v>
      </c>
      <c r="K14" s="437">
        <v>0.61116256183999995</v>
      </c>
    </row>
    <row r="15" spans="1:11" ht="14.4" customHeight="1" thickBot="1" x14ac:dyDescent="0.35">
      <c r="A15" s="446" t="s">
        <v>299</v>
      </c>
      <c r="B15" s="424">
        <v>12.908599045861999</v>
      </c>
      <c r="C15" s="424">
        <v>15.786849999999999</v>
      </c>
      <c r="D15" s="425">
        <v>2.8782509541370001</v>
      </c>
      <c r="E15" s="426">
        <v>1.222971597763</v>
      </c>
      <c r="F15" s="424">
        <v>17.903139436094001</v>
      </c>
      <c r="G15" s="425">
        <v>13.42735457707</v>
      </c>
      <c r="H15" s="427">
        <v>1.7315100000000001</v>
      </c>
      <c r="I15" s="424">
        <v>13.11788</v>
      </c>
      <c r="J15" s="425">
        <v>-0.30947457706999998</v>
      </c>
      <c r="K15" s="428">
        <v>0.73271394923900002</v>
      </c>
    </row>
    <row r="16" spans="1:11" ht="14.4" customHeight="1" thickBot="1" x14ac:dyDescent="0.35">
      <c r="A16" s="446" t="s">
        <v>300</v>
      </c>
      <c r="B16" s="424">
        <v>2.3865047211979999</v>
      </c>
      <c r="C16" s="424">
        <v>3.50739</v>
      </c>
      <c r="D16" s="425">
        <v>1.120885278801</v>
      </c>
      <c r="E16" s="426">
        <v>1.4696765394360001</v>
      </c>
      <c r="F16" s="424">
        <v>1.999999937004</v>
      </c>
      <c r="G16" s="425">
        <v>1.4999999527529999</v>
      </c>
      <c r="H16" s="427">
        <v>0.12371</v>
      </c>
      <c r="I16" s="424">
        <v>1.46174</v>
      </c>
      <c r="J16" s="425">
        <v>-3.8259952753000002E-2</v>
      </c>
      <c r="K16" s="428">
        <v>0.73087002302000004</v>
      </c>
    </row>
    <row r="17" spans="1:11" ht="14.4" customHeight="1" thickBot="1" x14ac:dyDescent="0.35">
      <c r="A17" s="446" t="s">
        <v>301</v>
      </c>
      <c r="B17" s="424">
        <v>31.546092350763999</v>
      </c>
      <c r="C17" s="424">
        <v>25.243300000000001</v>
      </c>
      <c r="D17" s="425">
        <v>-6.3027923507640002</v>
      </c>
      <c r="E17" s="426">
        <v>0.80020370571699995</v>
      </c>
      <c r="F17" s="424">
        <v>24.999999212559999</v>
      </c>
      <c r="G17" s="425">
        <v>18.749999409419999</v>
      </c>
      <c r="H17" s="427">
        <v>2.4868000000000001</v>
      </c>
      <c r="I17" s="424">
        <v>15.432029999999999</v>
      </c>
      <c r="J17" s="425">
        <v>-3.3179694094199998</v>
      </c>
      <c r="K17" s="428">
        <v>0.61728121944199998</v>
      </c>
    </row>
    <row r="18" spans="1:11" ht="14.4" customHeight="1" thickBot="1" x14ac:dyDescent="0.35">
      <c r="A18" s="446" t="s">
        <v>302</v>
      </c>
      <c r="B18" s="424">
        <v>30.932619226945999</v>
      </c>
      <c r="C18" s="424">
        <v>26.135999999999999</v>
      </c>
      <c r="D18" s="425">
        <v>-4.7966192269460004</v>
      </c>
      <c r="E18" s="426">
        <v>0.84493329867199995</v>
      </c>
      <c r="F18" s="424">
        <v>31.999998992077</v>
      </c>
      <c r="G18" s="425">
        <v>23.999999244057999</v>
      </c>
      <c r="H18" s="427">
        <v>2.4510000000000001</v>
      </c>
      <c r="I18" s="424">
        <v>15.516999999999999</v>
      </c>
      <c r="J18" s="425">
        <v>-8.482999244058</v>
      </c>
      <c r="K18" s="428">
        <v>0.48490626527300001</v>
      </c>
    </row>
    <row r="19" spans="1:11" ht="14.4" customHeight="1" thickBot="1" x14ac:dyDescent="0.35">
      <c r="A19" s="446" t="s">
        <v>303</v>
      </c>
      <c r="B19" s="424">
        <v>1.501137758447</v>
      </c>
      <c r="C19" s="424">
        <v>4.452</v>
      </c>
      <c r="D19" s="425">
        <v>2.9508622415520001</v>
      </c>
      <c r="E19" s="426">
        <v>2.9657504615720001</v>
      </c>
      <c r="F19" s="424">
        <v>3.443999891522</v>
      </c>
      <c r="G19" s="425">
        <v>2.5829999186410002</v>
      </c>
      <c r="H19" s="427">
        <v>0.45700000000000002</v>
      </c>
      <c r="I19" s="424">
        <v>3.8479999999999999</v>
      </c>
      <c r="J19" s="425">
        <v>1.265000081358</v>
      </c>
      <c r="K19" s="428">
        <v>1.1173054939610001</v>
      </c>
    </row>
    <row r="20" spans="1:11" ht="14.4" customHeight="1" thickBot="1" x14ac:dyDescent="0.35">
      <c r="A20" s="446" t="s">
        <v>304</v>
      </c>
      <c r="B20" s="424">
        <v>2.6641733146109998</v>
      </c>
      <c r="C20" s="424">
        <v>2.3109999999999999</v>
      </c>
      <c r="D20" s="425">
        <v>-0.35317331461099999</v>
      </c>
      <c r="E20" s="426">
        <v>0.86743605880399999</v>
      </c>
      <c r="F20" s="424">
        <v>2.9999999055069999</v>
      </c>
      <c r="G20" s="425">
        <v>2.2499999291299999</v>
      </c>
      <c r="H20" s="427">
        <v>0.28399999999999997</v>
      </c>
      <c r="I20" s="424">
        <v>1.5620000000000001</v>
      </c>
      <c r="J20" s="425">
        <v>-0.68799992912999997</v>
      </c>
      <c r="K20" s="428">
        <v>0.52066668306599995</v>
      </c>
    </row>
    <row r="21" spans="1:11" ht="14.4" customHeight="1" thickBot="1" x14ac:dyDescent="0.35">
      <c r="A21" s="445" t="s">
        <v>305</v>
      </c>
      <c r="B21" s="429">
        <v>100.800141184086</v>
      </c>
      <c r="C21" s="429">
        <v>88.309569999999994</v>
      </c>
      <c r="D21" s="430">
        <v>-12.490571184085001</v>
      </c>
      <c r="E21" s="436">
        <v>0.87608577689099998</v>
      </c>
      <c r="F21" s="429">
        <v>81.668284616121994</v>
      </c>
      <c r="G21" s="430">
        <v>61.251213462091002</v>
      </c>
      <c r="H21" s="432">
        <v>12.57521</v>
      </c>
      <c r="I21" s="429">
        <v>60.244219999999999</v>
      </c>
      <c r="J21" s="430">
        <v>-1.0069934620909999</v>
      </c>
      <c r="K21" s="437">
        <v>0.73766971209400001</v>
      </c>
    </row>
    <row r="22" spans="1:11" ht="14.4" customHeight="1" thickBot="1" x14ac:dyDescent="0.35">
      <c r="A22" s="446" t="s">
        <v>306</v>
      </c>
      <c r="B22" s="424">
        <v>24.218620319271</v>
      </c>
      <c r="C22" s="424">
        <v>14.0985</v>
      </c>
      <c r="D22" s="425">
        <v>-10.120120319271001</v>
      </c>
      <c r="E22" s="426">
        <v>0.58213472997799998</v>
      </c>
      <c r="F22" s="424">
        <v>0</v>
      </c>
      <c r="G22" s="425">
        <v>0</v>
      </c>
      <c r="H22" s="427">
        <v>7.92</v>
      </c>
      <c r="I22" s="424">
        <v>10.0738</v>
      </c>
      <c r="J22" s="425">
        <v>10.0738</v>
      </c>
      <c r="K22" s="435" t="s">
        <v>293</v>
      </c>
    </row>
    <row r="23" spans="1:11" ht="14.4" customHeight="1" thickBot="1" x14ac:dyDescent="0.35">
      <c r="A23" s="446" t="s">
        <v>307</v>
      </c>
      <c r="B23" s="424">
        <v>0.23093460057000001</v>
      </c>
      <c r="C23" s="424">
        <v>0.43513000000000002</v>
      </c>
      <c r="D23" s="425">
        <v>0.204195399429</v>
      </c>
      <c r="E23" s="426">
        <v>1.884213101564</v>
      </c>
      <c r="F23" s="424">
        <v>0</v>
      </c>
      <c r="G23" s="425">
        <v>0</v>
      </c>
      <c r="H23" s="427">
        <v>3.218E-2</v>
      </c>
      <c r="I23" s="424">
        <v>0.50012999999999996</v>
      </c>
      <c r="J23" s="425">
        <v>0.50012999999999996</v>
      </c>
      <c r="K23" s="435" t="s">
        <v>287</v>
      </c>
    </row>
    <row r="24" spans="1:11" ht="14.4" customHeight="1" thickBot="1" x14ac:dyDescent="0.35">
      <c r="A24" s="446" t="s">
        <v>308</v>
      </c>
      <c r="B24" s="424">
        <v>12.702025100788999</v>
      </c>
      <c r="C24" s="424">
        <v>11.743600000000001</v>
      </c>
      <c r="D24" s="425">
        <v>-0.95842510078900001</v>
      </c>
      <c r="E24" s="426">
        <v>0.92454548836200001</v>
      </c>
      <c r="F24" s="424">
        <v>11.73926516497</v>
      </c>
      <c r="G24" s="425">
        <v>8.8044488737279991</v>
      </c>
      <c r="H24" s="427">
        <v>0.52483999999999997</v>
      </c>
      <c r="I24" s="424">
        <v>9.6609599999999993</v>
      </c>
      <c r="J24" s="425">
        <v>0.85651112627100001</v>
      </c>
      <c r="K24" s="428">
        <v>0.82296122152700002</v>
      </c>
    </row>
    <row r="25" spans="1:11" ht="14.4" customHeight="1" thickBot="1" x14ac:dyDescent="0.35">
      <c r="A25" s="446" t="s">
        <v>309</v>
      </c>
      <c r="B25" s="424">
        <v>26.031246613278999</v>
      </c>
      <c r="C25" s="424">
        <v>25.98687</v>
      </c>
      <c r="D25" s="425">
        <v>-4.4376613278999999E-2</v>
      </c>
      <c r="E25" s="426">
        <v>0.99829525593000001</v>
      </c>
      <c r="F25" s="424">
        <v>29.999999685024001</v>
      </c>
      <c r="G25" s="425">
        <v>22.499999763767999</v>
      </c>
      <c r="H25" s="427">
        <v>2.4357799999999998</v>
      </c>
      <c r="I25" s="424">
        <v>17.470320000000001</v>
      </c>
      <c r="J25" s="425">
        <v>-5.0296797637679997</v>
      </c>
      <c r="K25" s="428">
        <v>0.58234400611399995</v>
      </c>
    </row>
    <row r="26" spans="1:11" ht="14.4" customHeight="1" thickBot="1" x14ac:dyDescent="0.35">
      <c r="A26" s="446" t="s">
        <v>310</v>
      </c>
      <c r="B26" s="424">
        <v>4.9995948694530004</v>
      </c>
      <c r="C26" s="424">
        <v>5.6805199999999996</v>
      </c>
      <c r="D26" s="425">
        <v>0.68092513054600001</v>
      </c>
      <c r="E26" s="426">
        <v>1.1361960615460001</v>
      </c>
      <c r="F26" s="424">
        <v>5.9999998110139998</v>
      </c>
      <c r="G26" s="425">
        <v>4.4999998582599998</v>
      </c>
      <c r="H26" s="427">
        <v>0.42099999999999999</v>
      </c>
      <c r="I26" s="424">
        <v>0.70254000000000005</v>
      </c>
      <c r="J26" s="425">
        <v>-3.7974598582599999</v>
      </c>
      <c r="K26" s="428">
        <v>0.117090003688</v>
      </c>
    </row>
    <row r="27" spans="1:11" ht="14.4" customHeight="1" thickBot="1" x14ac:dyDescent="0.35">
      <c r="A27" s="446" t="s">
        <v>311</v>
      </c>
      <c r="B27" s="424">
        <v>0</v>
      </c>
      <c r="C27" s="424">
        <v>0</v>
      </c>
      <c r="D27" s="425">
        <v>0</v>
      </c>
      <c r="E27" s="426">
        <v>1</v>
      </c>
      <c r="F27" s="424">
        <v>0</v>
      </c>
      <c r="G27" s="425">
        <v>0</v>
      </c>
      <c r="H27" s="427">
        <v>0</v>
      </c>
      <c r="I27" s="424">
        <v>5.3359999999999998E-2</v>
      </c>
      <c r="J27" s="425">
        <v>5.3359999999999998E-2</v>
      </c>
      <c r="K27" s="435" t="s">
        <v>293</v>
      </c>
    </row>
    <row r="28" spans="1:11" ht="14.4" customHeight="1" thickBot="1" x14ac:dyDescent="0.35">
      <c r="A28" s="446" t="s">
        <v>312</v>
      </c>
      <c r="B28" s="424">
        <v>29.171985844207999</v>
      </c>
      <c r="C28" s="424">
        <v>26.151219999999999</v>
      </c>
      <c r="D28" s="425">
        <v>-3.0207658442079999</v>
      </c>
      <c r="E28" s="426">
        <v>0.89644976998299997</v>
      </c>
      <c r="F28" s="424">
        <v>30.929020049605001</v>
      </c>
      <c r="G28" s="425">
        <v>23.196765037203001</v>
      </c>
      <c r="H28" s="427">
        <v>0.20569999999999999</v>
      </c>
      <c r="I28" s="424">
        <v>16.726240000000001</v>
      </c>
      <c r="J28" s="425">
        <v>-6.4705250372030001</v>
      </c>
      <c r="K28" s="428">
        <v>0.54079437282999998</v>
      </c>
    </row>
    <row r="29" spans="1:11" ht="14.4" customHeight="1" thickBot="1" x14ac:dyDescent="0.35">
      <c r="A29" s="446" t="s">
        <v>313</v>
      </c>
      <c r="B29" s="424">
        <v>3.4457338365119998</v>
      </c>
      <c r="C29" s="424">
        <v>4.21373</v>
      </c>
      <c r="D29" s="425">
        <v>0.76799616348699995</v>
      </c>
      <c r="E29" s="426">
        <v>1.2228831940960001</v>
      </c>
      <c r="F29" s="424">
        <v>2.9999999055069999</v>
      </c>
      <c r="G29" s="425">
        <v>2.2499999291299999</v>
      </c>
      <c r="H29" s="427">
        <v>1.0357099999999999</v>
      </c>
      <c r="I29" s="424">
        <v>5.05687</v>
      </c>
      <c r="J29" s="425">
        <v>2.806870070869</v>
      </c>
      <c r="K29" s="428">
        <v>1.685623386426</v>
      </c>
    </row>
    <row r="30" spans="1:11" ht="14.4" customHeight="1" thickBot="1" x14ac:dyDescent="0.35">
      <c r="A30" s="445" t="s">
        <v>314</v>
      </c>
      <c r="B30" s="429">
        <v>4.8941998601070003</v>
      </c>
      <c r="C30" s="429">
        <v>0.96736999999999995</v>
      </c>
      <c r="D30" s="430">
        <v>-3.926829860107</v>
      </c>
      <c r="E30" s="436">
        <v>0.19765641527700001</v>
      </c>
      <c r="F30" s="429">
        <v>4.2952421738269999</v>
      </c>
      <c r="G30" s="430">
        <v>3.2214316303700001</v>
      </c>
      <c r="H30" s="432">
        <v>3.6639999999999999E-2</v>
      </c>
      <c r="I30" s="429">
        <v>0.29715000000000003</v>
      </c>
      <c r="J30" s="430">
        <v>-2.9242816303699999</v>
      </c>
      <c r="K30" s="437">
        <v>6.9181198166000005E-2</v>
      </c>
    </row>
    <row r="31" spans="1:11" ht="14.4" customHeight="1" thickBot="1" x14ac:dyDescent="0.35">
      <c r="A31" s="446" t="s">
        <v>315</v>
      </c>
      <c r="B31" s="424">
        <v>1.6917125969519999</v>
      </c>
      <c r="C31" s="424">
        <v>0</v>
      </c>
      <c r="D31" s="425">
        <v>-1.6917125969519999</v>
      </c>
      <c r="E31" s="426">
        <v>0</v>
      </c>
      <c r="F31" s="424">
        <v>0</v>
      </c>
      <c r="G31" s="425">
        <v>0</v>
      </c>
      <c r="H31" s="427">
        <v>0</v>
      </c>
      <c r="I31" s="424">
        <v>0</v>
      </c>
      <c r="J31" s="425">
        <v>0</v>
      </c>
      <c r="K31" s="428">
        <v>0</v>
      </c>
    </row>
    <row r="32" spans="1:11" ht="14.4" customHeight="1" thickBot="1" x14ac:dyDescent="0.35">
      <c r="A32" s="446" t="s">
        <v>316</v>
      </c>
      <c r="B32" s="424">
        <v>0</v>
      </c>
      <c r="C32" s="424">
        <v>0.30009999999999998</v>
      </c>
      <c r="D32" s="425">
        <v>0.30009999999999998</v>
      </c>
      <c r="E32" s="434" t="s">
        <v>293</v>
      </c>
      <c r="F32" s="424">
        <v>0.29524229981700001</v>
      </c>
      <c r="G32" s="425">
        <v>0.221431724863</v>
      </c>
      <c r="H32" s="427">
        <v>0</v>
      </c>
      <c r="I32" s="424">
        <v>0</v>
      </c>
      <c r="J32" s="425">
        <v>-0.221431724863</v>
      </c>
      <c r="K32" s="428">
        <v>0</v>
      </c>
    </row>
    <row r="33" spans="1:11" ht="14.4" customHeight="1" thickBot="1" x14ac:dyDescent="0.35">
      <c r="A33" s="446" t="s">
        <v>317</v>
      </c>
      <c r="B33" s="424">
        <v>3.202487263154</v>
      </c>
      <c r="C33" s="424">
        <v>0.66727000000000003</v>
      </c>
      <c r="D33" s="425">
        <v>-2.5352172631540002</v>
      </c>
      <c r="E33" s="426">
        <v>0.208359923137</v>
      </c>
      <c r="F33" s="424">
        <v>3.9999998740090001</v>
      </c>
      <c r="G33" s="425">
        <v>2.9999999055069999</v>
      </c>
      <c r="H33" s="427">
        <v>3.6639999999999999E-2</v>
      </c>
      <c r="I33" s="424">
        <v>0.29715000000000003</v>
      </c>
      <c r="J33" s="425">
        <v>-2.7028499055070001</v>
      </c>
      <c r="K33" s="428">
        <v>7.4287502339E-2</v>
      </c>
    </row>
    <row r="34" spans="1:11" ht="14.4" customHeight="1" thickBot="1" x14ac:dyDescent="0.35">
      <c r="A34" s="445" t="s">
        <v>318</v>
      </c>
      <c r="B34" s="429">
        <v>5.4714928329830004</v>
      </c>
      <c r="C34" s="429">
        <v>7.4971199999999998</v>
      </c>
      <c r="D34" s="430">
        <v>2.0256271670160002</v>
      </c>
      <c r="E34" s="436">
        <v>1.3702147163209999</v>
      </c>
      <c r="F34" s="429">
        <v>7.9999997480190004</v>
      </c>
      <c r="G34" s="430">
        <v>5.9999998110139998</v>
      </c>
      <c r="H34" s="432">
        <v>0.62921000000000005</v>
      </c>
      <c r="I34" s="429">
        <v>7.0125000000000002</v>
      </c>
      <c r="J34" s="430">
        <v>1.012500188985</v>
      </c>
      <c r="K34" s="437">
        <v>0.876562527609</v>
      </c>
    </row>
    <row r="35" spans="1:11" ht="14.4" customHeight="1" thickBot="1" x14ac:dyDescent="0.35">
      <c r="A35" s="446" t="s">
        <v>319</v>
      </c>
      <c r="B35" s="424">
        <v>2.4719005640009999</v>
      </c>
      <c r="C35" s="424">
        <v>3.3937900000000001</v>
      </c>
      <c r="D35" s="425">
        <v>0.921889435998</v>
      </c>
      <c r="E35" s="426">
        <v>1.3729476215280001</v>
      </c>
      <c r="F35" s="424">
        <v>3.9999998740090001</v>
      </c>
      <c r="G35" s="425">
        <v>2.9999999055069999</v>
      </c>
      <c r="H35" s="427">
        <v>0.34001999999999999</v>
      </c>
      <c r="I35" s="424">
        <v>4.9303400000000002</v>
      </c>
      <c r="J35" s="425">
        <v>1.9303400944919999</v>
      </c>
      <c r="K35" s="428">
        <v>1.232585038823</v>
      </c>
    </row>
    <row r="36" spans="1:11" ht="14.4" customHeight="1" thickBot="1" x14ac:dyDescent="0.35">
      <c r="A36" s="446" t="s">
        <v>320</v>
      </c>
      <c r="B36" s="424">
        <v>0</v>
      </c>
      <c r="C36" s="424">
        <v>0.17036000000000001</v>
      </c>
      <c r="D36" s="425">
        <v>0.17036000000000001</v>
      </c>
      <c r="E36" s="434" t="s">
        <v>293</v>
      </c>
      <c r="F36" s="424">
        <v>0</v>
      </c>
      <c r="G36" s="425">
        <v>0</v>
      </c>
      <c r="H36" s="427">
        <v>0</v>
      </c>
      <c r="I36" s="424">
        <v>0</v>
      </c>
      <c r="J36" s="425">
        <v>0</v>
      </c>
      <c r="K36" s="435" t="s">
        <v>287</v>
      </c>
    </row>
    <row r="37" spans="1:11" ht="14.4" customHeight="1" thickBot="1" x14ac:dyDescent="0.35">
      <c r="A37" s="446" t="s">
        <v>321</v>
      </c>
      <c r="B37" s="424">
        <v>2.999592268981</v>
      </c>
      <c r="C37" s="424">
        <v>3.9329700000000001</v>
      </c>
      <c r="D37" s="425">
        <v>0.93337773101800003</v>
      </c>
      <c r="E37" s="426">
        <v>1.3111682013149999</v>
      </c>
      <c r="F37" s="424">
        <v>3.9999998740090001</v>
      </c>
      <c r="G37" s="425">
        <v>2.9999999055069999</v>
      </c>
      <c r="H37" s="427">
        <v>0.28919</v>
      </c>
      <c r="I37" s="424">
        <v>2.08216</v>
      </c>
      <c r="J37" s="425">
        <v>-0.91783990550700001</v>
      </c>
      <c r="K37" s="428">
        <v>0.52054001639500003</v>
      </c>
    </row>
    <row r="38" spans="1:11" ht="14.4" customHeight="1" thickBot="1" x14ac:dyDescent="0.35">
      <c r="A38" s="444" t="s">
        <v>42</v>
      </c>
      <c r="B38" s="424">
        <v>1186.5711549196601</v>
      </c>
      <c r="C38" s="424">
        <v>1105.2190000000001</v>
      </c>
      <c r="D38" s="425">
        <v>-81.352154919658005</v>
      </c>
      <c r="E38" s="426">
        <v>0.931439294995</v>
      </c>
      <c r="F38" s="424">
        <v>1147.2710489045301</v>
      </c>
      <c r="G38" s="425">
        <v>860.45328667839499</v>
      </c>
      <c r="H38" s="427">
        <v>65.393000000000001</v>
      </c>
      <c r="I38" s="424">
        <v>826.51800000000003</v>
      </c>
      <c r="J38" s="425">
        <v>-33.935286678394</v>
      </c>
      <c r="K38" s="428">
        <v>0.72042086374299996</v>
      </c>
    </row>
    <row r="39" spans="1:11" ht="14.4" customHeight="1" thickBot="1" x14ac:dyDescent="0.35">
      <c r="A39" s="445" t="s">
        <v>322</v>
      </c>
      <c r="B39" s="429">
        <v>1186.5711549196601</v>
      </c>
      <c r="C39" s="429">
        <v>1105.2190000000001</v>
      </c>
      <c r="D39" s="430">
        <v>-81.352154919658005</v>
      </c>
      <c r="E39" s="436">
        <v>0.931439294995</v>
      </c>
      <c r="F39" s="429">
        <v>1147.2710489045301</v>
      </c>
      <c r="G39" s="430">
        <v>860.45328667839499</v>
      </c>
      <c r="H39" s="432">
        <v>65.393000000000001</v>
      </c>
      <c r="I39" s="429">
        <v>826.51800000000003</v>
      </c>
      <c r="J39" s="430">
        <v>-33.935286678394</v>
      </c>
      <c r="K39" s="437">
        <v>0.72042086374299996</v>
      </c>
    </row>
    <row r="40" spans="1:11" ht="14.4" customHeight="1" thickBot="1" x14ac:dyDescent="0.35">
      <c r="A40" s="446" t="s">
        <v>323</v>
      </c>
      <c r="B40" s="424">
        <v>417.14983394043298</v>
      </c>
      <c r="C40" s="424">
        <v>350.53399999999999</v>
      </c>
      <c r="D40" s="425">
        <v>-66.615833940431997</v>
      </c>
      <c r="E40" s="426">
        <v>0.84030717857100001</v>
      </c>
      <c r="F40" s="424">
        <v>359.99998866087401</v>
      </c>
      <c r="G40" s="425">
        <v>269.99999149565599</v>
      </c>
      <c r="H40" s="427">
        <v>29.754000000000001</v>
      </c>
      <c r="I40" s="424">
        <v>275.57400000000001</v>
      </c>
      <c r="J40" s="425">
        <v>5.5740085043440004</v>
      </c>
      <c r="K40" s="428">
        <v>0.76548335744399998</v>
      </c>
    </row>
    <row r="41" spans="1:11" ht="14.4" customHeight="1" thickBot="1" x14ac:dyDescent="0.35">
      <c r="A41" s="446" t="s">
        <v>324</v>
      </c>
      <c r="B41" s="424">
        <v>55.000372564808998</v>
      </c>
      <c r="C41" s="424">
        <v>96.090999999999994</v>
      </c>
      <c r="D41" s="425">
        <v>41.090627435190001</v>
      </c>
      <c r="E41" s="426">
        <v>1.747097256237</v>
      </c>
      <c r="F41" s="424">
        <v>105.27108172499599</v>
      </c>
      <c r="G41" s="425">
        <v>78.953311293745998</v>
      </c>
      <c r="H41" s="427">
        <v>8.4369999999999994</v>
      </c>
      <c r="I41" s="424">
        <v>71.960999999999999</v>
      </c>
      <c r="J41" s="425">
        <v>-6.9923112937459999</v>
      </c>
      <c r="K41" s="428">
        <v>0.68357804271400002</v>
      </c>
    </row>
    <row r="42" spans="1:11" ht="14.4" customHeight="1" thickBot="1" x14ac:dyDescent="0.35">
      <c r="A42" s="446" t="s">
        <v>325</v>
      </c>
      <c r="B42" s="424">
        <v>714.42094841441599</v>
      </c>
      <c r="C42" s="424">
        <v>658.59400000000096</v>
      </c>
      <c r="D42" s="425">
        <v>-55.826948414415</v>
      </c>
      <c r="E42" s="426">
        <v>0.92185706684699997</v>
      </c>
      <c r="F42" s="424">
        <v>681.99997851865601</v>
      </c>
      <c r="G42" s="425">
        <v>511.49998388899201</v>
      </c>
      <c r="H42" s="427">
        <v>27.202000000000002</v>
      </c>
      <c r="I42" s="424">
        <v>478.983</v>
      </c>
      <c r="J42" s="425">
        <v>-32.516983888991</v>
      </c>
      <c r="K42" s="428">
        <v>0.70232113649000005</v>
      </c>
    </row>
    <row r="43" spans="1:11" ht="14.4" customHeight="1" thickBot="1" x14ac:dyDescent="0.35">
      <c r="A43" s="447" t="s">
        <v>326</v>
      </c>
      <c r="B43" s="429">
        <v>272.263737084073</v>
      </c>
      <c r="C43" s="429">
        <v>296.22759000000002</v>
      </c>
      <c r="D43" s="430">
        <v>23.963852915926999</v>
      </c>
      <c r="E43" s="436">
        <v>1.0880170571829999</v>
      </c>
      <c r="F43" s="429">
        <v>305.85727724537901</v>
      </c>
      <c r="G43" s="430">
        <v>229.392957934034</v>
      </c>
      <c r="H43" s="432">
        <v>17.845549999999999</v>
      </c>
      <c r="I43" s="429">
        <v>217.09197</v>
      </c>
      <c r="J43" s="430">
        <v>-12.300987934034</v>
      </c>
      <c r="K43" s="437">
        <v>0.709781934748</v>
      </c>
    </row>
    <row r="44" spans="1:11" ht="14.4" customHeight="1" thickBot="1" x14ac:dyDescent="0.35">
      <c r="A44" s="444" t="s">
        <v>45</v>
      </c>
      <c r="B44" s="424">
        <v>55.262643467825001</v>
      </c>
      <c r="C44" s="424">
        <v>74.999579999999995</v>
      </c>
      <c r="D44" s="425">
        <v>19.736936532173999</v>
      </c>
      <c r="E44" s="426">
        <v>1.357147890394</v>
      </c>
      <c r="F44" s="424">
        <v>92.915825219316005</v>
      </c>
      <c r="G44" s="425">
        <v>69.686868914486993</v>
      </c>
      <c r="H44" s="427">
        <v>0.74572000000000005</v>
      </c>
      <c r="I44" s="424">
        <v>23.9879</v>
      </c>
      <c r="J44" s="425">
        <v>-45.698968914486997</v>
      </c>
      <c r="K44" s="428">
        <v>0.258168077863</v>
      </c>
    </row>
    <row r="45" spans="1:11" ht="14.4" customHeight="1" thickBot="1" x14ac:dyDescent="0.35">
      <c r="A45" s="448" t="s">
        <v>327</v>
      </c>
      <c r="B45" s="424">
        <v>55.262643467825001</v>
      </c>
      <c r="C45" s="424">
        <v>74.999579999999995</v>
      </c>
      <c r="D45" s="425">
        <v>19.736936532173999</v>
      </c>
      <c r="E45" s="426">
        <v>1.357147890394</v>
      </c>
      <c r="F45" s="424">
        <v>92.915825219316005</v>
      </c>
      <c r="G45" s="425">
        <v>69.686868914486993</v>
      </c>
      <c r="H45" s="427">
        <v>0.74572000000000005</v>
      </c>
      <c r="I45" s="424">
        <v>23.9879</v>
      </c>
      <c r="J45" s="425">
        <v>-45.698968914486997</v>
      </c>
      <c r="K45" s="428">
        <v>0.258168077863</v>
      </c>
    </row>
    <row r="46" spans="1:11" ht="14.4" customHeight="1" thickBot="1" x14ac:dyDescent="0.35">
      <c r="A46" s="446" t="s">
        <v>328</v>
      </c>
      <c r="B46" s="424">
        <v>1.178273429766</v>
      </c>
      <c r="C46" s="424">
        <v>0</v>
      </c>
      <c r="D46" s="425">
        <v>-1.178273429766</v>
      </c>
      <c r="E46" s="426">
        <v>0</v>
      </c>
      <c r="F46" s="424">
        <v>0</v>
      </c>
      <c r="G46" s="425">
        <v>0</v>
      </c>
      <c r="H46" s="427">
        <v>0</v>
      </c>
      <c r="I46" s="424">
        <v>0</v>
      </c>
      <c r="J46" s="425">
        <v>0</v>
      </c>
      <c r="K46" s="428">
        <v>0</v>
      </c>
    </row>
    <row r="47" spans="1:11" ht="14.4" customHeight="1" thickBot="1" x14ac:dyDescent="0.35">
      <c r="A47" s="446" t="s">
        <v>329</v>
      </c>
      <c r="B47" s="424">
        <v>0</v>
      </c>
      <c r="C47" s="424">
        <v>1.1499999999999999</v>
      </c>
      <c r="D47" s="425">
        <v>1.1499999999999999</v>
      </c>
      <c r="E47" s="434" t="s">
        <v>293</v>
      </c>
      <c r="F47" s="424">
        <v>1.471836690445</v>
      </c>
      <c r="G47" s="425">
        <v>1.103877517833</v>
      </c>
      <c r="H47" s="427">
        <v>0</v>
      </c>
      <c r="I47" s="424">
        <v>0</v>
      </c>
      <c r="J47" s="425">
        <v>-1.103877517833</v>
      </c>
      <c r="K47" s="428">
        <v>0</v>
      </c>
    </row>
    <row r="48" spans="1:11" ht="14.4" customHeight="1" thickBot="1" x14ac:dyDescent="0.35">
      <c r="A48" s="446" t="s">
        <v>330</v>
      </c>
      <c r="B48" s="424">
        <v>3.1194073684950001</v>
      </c>
      <c r="C48" s="424">
        <v>0.76719999999999999</v>
      </c>
      <c r="D48" s="425">
        <v>-2.3522073684949998</v>
      </c>
      <c r="E48" s="426">
        <v>0.24594415200399999</v>
      </c>
      <c r="F48" s="424">
        <v>0.72318584568599997</v>
      </c>
      <c r="G48" s="425">
        <v>0.54238938426500005</v>
      </c>
      <c r="H48" s="427">
        <v>0</v>
      </c>
      <c r="I48" s="424">
        <v>5.3759600000000001</v>
      </c>
      <c r="J48" s="425">
        <v>4.8335706157339997</v>
      </c>
      <c r="K48" s="428">
        <v>7.4337184999710004</v>
      </c>
    </row>
    <row r="49" spans="1:11" ht="14.4" customHeight="1" thickBot="1" x14ac:dyDescent="0.35">
      <c r="A49" s="446" t="s">
        <v>331</v>
      </c>
      <c r="B49" s="424">
        <v>38.999934156165999</v>
      </c>
      <c r="C49" s="424">
        <v>52.270269999999996</v>
      </c>
      <c r="D49" s="425">
        <v>13.270335843832999</v>
      </c>
      <c r="E49" s="426">
        <v>1.3402655961079999</v>
      </c>
      <c r="F49" s="424">
        <v>71.999997732173995</v>
      </c>
      <c r="G49" s="425">
        <v>53.999998299131001</v>
      </c>
      <c r="H49" s="427">
        <v>0</v>
      </c>
      <c r="I49" s="424">
        <v>12.19828</v>
      </c>
      <c r="J49" s="425">
        <v>-41.801718299130997</v>
      </c>
      <c r="K49" s="428">
        <v>0.16942056089099999</v>
      </c>
    </row>
    <row r="50" spans="1:11" ht="14.4" customHeight="1" thickBot="1" x14ac:dyDescent="0.35">
      <c r="A50" s="446" t="s">
        <v>332</v>
      </c>
      <c r="B50" s="424">
        <v>11.965028513396</v>
      </c>
      <c r="C50" s="424">
        <v>20.812110000000001</v>
      </c>
      <c r="D50" s="425">
        <v>8.8470814866030008</v>
      </c>
      <c r="E50" s="426">
        <v>1.7394116509369999</v>
      </c>
      <c r="F50" s="424">
        <v>18.720804951009999</v>
      </c>
      <c r="G50" s="425">
        <v>14.040603713256999</v>
      </c>
      <c r="H50" s="427">
        <v>0.74572000000000005</v>
      </c>
      <c r="I50" s="424">
        <v>6.4136600000000001</v>
      </c>
      <c r="J50" s="425">
        <v>-7.6269437132569999</v>
      </c>
      <c r="K50" s="428">
        <v>0.34259531130100002</v>
      </c>
    </row>
    <row r="51" spans="1:11" ht="14.4" customHeight="1" thickBot="1" x14ac:dyDescent="0.35">
      <c r="A51" s="449" t="s">
        <v>46</v>
      </c>
      <c r="B51" s="429">
        <v>0</v>
      </c>
      <c r="C51" s="429">
        <v>3.911</v>
      </c>
      <c r="D51" s="430">
        <v>3.911</v>
      </c>
      <c r="E51" s="431" t="s">
        <v>287</v>
      </c>
      <c r="F51" s="429">
        <v>0</v>
      </c>
      <c r="G51" s="430">
        <v>0</v>
      </c>
      <c r="H51" s="432">
        <v>1.77</v>
      </c>
      <c r="I51" s="429">
        <v>16.957999999999998</v>
      </c>
      <c r="J51" s="430">
        <v>16.957999999999998</v>
      </c>
      <c r="K51" s="433" t="s">
        <v>287</v>
      </c>
    </row>
    <row r="52" spans="1:11" ht="14.4" customHeight="1" thickBot="1" x14ac:dyDescent="0.35">
      <c r="A52" s="445" t="s">
        <v>333</v>
      </c>
      <c r="B52" s="429">
        <v>0</v>
      </c>
      <c r="C52" s="429">
        <v>3.911</v>
      </c>
      <c r="D52" s="430">
        <v>3.911</v>
      </c>
      <c r="E52" s="431" t="s">
        <v>287</v>
      </c>
      <c r="F52" s="429">
        <v>0</v>
      </c>
      <c r="G52" s="430">
        <v>0</v>
      </c>
      <c r="H52" s="432">
        <v>1.77</v>
      </c>
      <c r="I52" s="429">
        <v>16.957999999999998</v>
      </c>
      <c r="J52" s="430">
        <v>16.957999999999998</v>
      </c>
      <c r="K52" s="433" t="s">
        <v>287</v>
      </c>
    </row>
    <row r="53" spans="1:11" ht="14.4" customHeight="1" thickBot="1" x14ac:dyDescent="0.35">
      <c r="A53" s="446" t="s">
        <v>334</v>
      </c>
      <c r="B53" s="424">
        <v>0</v>
      </c>
      <c r="C53" s="424">
        <v>3.911</v>
      </c>
      <c r="D53" s="425">
        <v>3.911</v>
      </c>
      <c r="E53" s="434" t="s">
        <v>287</v>
      </c>
      <c r="F53" s="424">
        <v>0</v>
      </c>
      <c r="G53" s="425">
        <v>0</v>
      </c>
      <c r="H53" s="427">
        <v>1.77</v>
      </c>
      <c r="I53" s="424">
        <v>16.957999999999998</v>
      </c>
      <c r="J53" s="425">
        <v>16.957999999999998</v>
      </c>
      <c r="K53" s="435" t="s">
        <v>287</v>
      </c>
    </row>
    <row r="54" spans="1:11" ht="14.4" customHeight="1" thickBot="1" x14ac:dyDescent="0.35">
      <c r="A54" s="444" t="s">
        <v>47</v>
      </c>
      <c r="B54" s="424">
        <v>217.001093616248</v>
      </c>
      <c r="C54" s="424">
        <v>217.31701000000001</v>
      </c>
      <c r="D54" s="425">
        <v>0.31591638375199999</v>
      </c>
      <c r="E54" s="426">
        <v>1.0014558285320001</v>
      </c>
      <c r="F54" s="424">
        <v>212.941452026062</v>
      </c>
      <c r="G54" s="425">
        <v>159.70608901954699</v>
      </c>
      <c r="H54" s="427">
        <v>15.329829999999999</v>
      </c>
      <c r="I54" s="424">
        <v>176.14607000000001</v>
      </c>
      <c r="J54" s="425">
        <v>16.439980980453001</v>
      </c>
      <c r="K54" s="428">
        <v>0.82720423066500004</v>
      </c>
    </row>
    <row r="55" spans="1:11" ht="14.4" customHeight="1" thickBot="1" x14ac:dyDescent="0.35">
      <c r="A55" s="445" t="s">
        <v>335</v>
      </c>
      <c r="B55" s="429">
        <v>4.1168974895000002E-2</v>
      </c>
      <c r="C55" s="429">
        <v>0.21</v>
      </c>
      <c r="D55" s="430">
        <v>0.168831025104</v>
      </c>
      <c r="E55" s="436">
        <v>5.1009285640769999</v>
      </c>
      <c r="F55" s="429">
        <v>0.106905161646</v>
      </c>
      <c r="G55" s="430">
        <v>8.0178871235000004E-2</v>
      </c>
      <c r="H55" s="432">
        <v>0</v>
      </c>
      <c r="I55" s="429">
        <v>0</v>
      </c>
      <c r="J55" s="430">
        <v>-8.0178871235000004E-2</v>
      </c>
      <c r="K55" s="437">
        <v>0</v>
      </c>
    </row>
    <row r="56" spans="1:11" ht="14.4" customHeight="1" thickBot="1" x14ac:dyDescent="0.35">
      <c r="A56" s="446" t="s">
        <v>336</v>
      </c>
      <c r="B56" s="424">
        <v>4.1168974895000002E-2</v>
      </c>
      <c r="C56" s="424">
        <v>0.21</v>
      </c>
      <c r="D56" s="425">
        <v>0.168831025104</v>
      </c>
      <c r="E56" s="426">
        <v>5.1009285640769999</v>
      </c>
      <c r="F56" s="424">
        <v>0.106905161646</v>
      </c>
      <c r="G56" s="425">
        <v>8.0178871235000004E-2</v>
      </c>
      <c r="H56" s="427">
        <v>0</v>
      </c>
      <c r="I56" s="424">
        <v>0</v>
      </c>
      <c r="J56" s="425">
        <v>-8.0178871235000004E-2</v>
      </c>
      <c r="K56" s="428">
        <v>0</v>
      </c>
    </row>
    <row r="57" spans="1:11" ht="14.4" customHeight="1" thickBot="1" x14ac:dyDescent="0.35">
      <c r="A57" s="445" t="s">
        <v>337</v>
      </c>
      <c r="B57" s="429">
        <v>69.733645747104006</v>
      </c>
      <c r="C57" s="429">
        <v>68.723740000000006</v>
      </c>
      <c r="D57" s="430">
        <v>-1.0099057471040001</v>
      </c>
      <c r="E57" s="436">
        <v>0.98551766889100001</v>
      </c>
      <c r="F57" s="429">
        <v>67.213177318033999</v>
      </c>
      <c r="G57" s="430">
        <v>50.409882988524998</v>
      </c>
      <c r="H57" s="432">
        <v>4.8368099999999998</v>
      </c>
      <c r="I57" s="429">
        <v>50.687930000000001</v>
      </c>
      <c r="J57" s="430">
        <v>0.27804701147400002</v>
      </c>
      <c r="K57" s="437">
        <v>0.75413679314899995</v>
      </c>
    </row>
    <row r="58" spans="1:11" ht="14.4" customHeight="1" thickBot="1" x14ac:dyDescent="0.35">
      <c r="A58" s="446" t="s">
        <v>338</v>
      </c>
      <c r="B58" s="424">
        <v>62.421596630528001</v>
      </c>
      <c r="C58" s="424">
        <v>60.735100000000003</v>
      </c>
      <c r="D58" s="425">
        <v>-1.686496630528</v>
      </c>
      <c r="E58" s="426">
        <v>0.97298216127799997</v>
      </c>
      <c r="F58" s="424">
        <v>58.804281319527</v>
      </c>
      <c r="G58" s="425">
        <v>44.103210989645</v>
      </c>
      <c r="H58" s="427">
        <v>3.9277000000000002</v>
      </c>
      <c r="I58" s="424">
        <v>42.262099999999997</v>
      </c>
      <c r="J58" s="425">
        <v>-1.841110989645</v>
      </c>
      <c r="K58" s="428">
        <v>0.71869086827799999</v>
      </c>
    </row>
    <row r="59" spans="1:11" ht="14.4" customHeight="1" thickBot="1" x14ac:dyDescent="0.35">
      <c r="A59" s="446" t="s">
        <v>339</v>
      </c>
      <c r="B59" s="424">
        <v>7.3120491165750003</v>
      </c>
      <c r="C59" s="424">
        <v>7.9886400000000002</v>
      </c>
      <c r="D59" s="425">
        <v>0.67659088342399998</v>
      </c>
      <c r="E59" s="426">
        <v>1.092530954406</v>
      </c>
      <c r="F59" s="424">
        <v>8.4088959985060008</v>
      </c>
      <c r="G59" s="425">
        <v>6.3066719988789997</v>
      </c>
      <c r="H59" s="427">
        <v>0.90910999999999997</v>
      </c>
      <c r="I59" s="424">
        <v>8.4258299999999995</v>
      </c>
      <c r="J59" s="425">
        <v>2.1191580011200002</v>
      </c>
      <c r="K59" s="428">
        <v>1.002013819828</v>
      </c>
    </row>
    <row r="60" spans="1:11" ht="14.4" customHeight="1" thickBot="1" x14ac:dyDescent="0.35">
      <c r="A60" s="445" t="s">
        <v>340</v>
      </c>
      <c r="B60" s="429">
        <v>4.9129653563779998</v>
      </c>
      <c r="C60" s="429">
        <v>5.2661300000000004</v>
      </c>
      <c r="D60" s="430">
        <v>0.35316464362099997</v>
      </c>
      <c r="E60" s="436">
        <v>1.0718842120800001</v>
      </c>
      <c r="F60" s="429">
        <v>5.6780128977870001</v>
      </c>
      <c r="G60" s="430">
        <v>4.2585096733399999</v>
      </c>
      <c r="H60" s="432">
        <v>0</v>
      </c>
      <c r="I60" s="429">
        <v>4.1996500000000001</v>
      </c>
      <c r="J60" s="430">
        <v>-5.8859673340000002E-2</v>
      </c>
      <c r="K60" s="437">
        <v>0.73963375490600003</v>
      </c>
    </row>
    <row r="61" spans="1:11" ht="14.4" customHeight="1" thickBot="1" x14ac:dyDescent="0.35">
      <c r="A61" s="446" t="s">
        <v>341</v>
      </c>
      <c r="B61" s="424">
        <v>1.6780130766300001</v>
      </c>
      <c r="C61" s="424">
        <v>1.62</v>
      </c>
      <c r="D61" s="425">
        <v>-5.801307663E-2</v>
      </c>
      <c r="E61" s="426">
        <v>0.96542751815299999</v>
      </c>
      <c r="F61" s="424">
        <v>1.6780130237769999</v>
      </c>
      <c r="G61" s="425">
        <v>1.2585097678329999</v>
      </c>
      <c r="H61" s="427">
        <v>0</v>
      </c>
      <c r="I61" s="424">
        <v>1.2150000000000001</v>
      </c>
      <c r="J61" s="425">
        <v>-4.3509767833E-2</v>
      </c>
      <c r="K61" s="428">
        <v>0.72407066142099996</v>
      </c>
    </row>
    <row r="62" spans="1:11" ht="14.4" customHeight="1" thickBot="1" x14ac:dyDescent="0.35">
      <c r="A62" s="446" t="s">
        <v>342</v>
      </c>
      <c r="B62" s="424">
        <v>3.2349522797470001</v>
      </c>
      <c r="C62" s="424">
        <v>3.6461299999999999</v>
      </c>
      <c r="D62" s="425">
        <v>0.411177720252</v>
      </c>
      <c r="E62" s="426">
        <v>1.1271047251070001</v>
      </c>
      <c r="F62" s="424">
        <v>3.9999998740090001</v>
      </c>
      <c r="G62" s="425">
        <v>2.9999999055069999</v>
      </c>
      <c r="H62" s="427">
        <v>0</v>
      </c>
      <c r="I62" s="424">
        <v>2.9846499999999998</v>
      </c>
      <c r="J62" s="425">
        <v>-1.5349905507E-2</v>
      </c>
      <c r="K62" s="428">
        <v>0.74616252350199996</v>
      </c>
    </row>
    <row r="63" spans="1:11" ht="14.4" customHeight="1" thickBot="1" x14ac:dyDescent="0.35">
      <c r="A63" s="445" t="s">
        <v>343</v>
      </c>
      <c r="B63" s="429">
        <v>118.238523080756</v>
      </c>
      <c r="C63" s="429">
        <v>120.97717</v>
      </c>
      <c r="D63" s="430">
        <v>2.7386469192440002</v>
      </c>
      <c r="E63" s="436">
        <v>1.023162052839</v>
      </c>
      <c r="F63" s="429">
        <v>128.73763545437299</v>
      </c>
      <c r="G63" s="430">
        <v>96.553226590779005</v>
      </c>
      <c r="H63" s="432">
        <v>10.49302</v>
      </c>
      <c r="I63" s="429">
        <v>89.383480000000006</v>
      </c>
      <c r="J63" s="430">
        <v>-7.1697465907789999</v>
      </c>
      <c r="K63" s="437">
        <v>0.69430729937299995</v>
      </c>
    </row>
    <row r="64" spans="1:11" ht="14.4" customHeight="1" thickBot="1" x14ac:dyDescent="0.35">
      <c r="A64" s="446" t="s">
        <v>344</v>
      </c>
      <c r="B64" s="424">
        <v>102.58485358582899</v>
      </c>
      <c r="C64" s="424">
        <v>102.70786</v>
      </c>
      <c r="D64" s="425">
        <v>0.123006414171</v>
      </c>
      <c r="E64" s="426">
        <v>1.0011990699390001</v>
      </c>
      <c r="F64" s="424">
        <v>110.034476577294</v>
      </c>
      <c r="G64" s="425">
        <v>82.52585743297</v>
      </c>
      <c r="H64" s="427">
        <v>8.5317799999999995</v>
      </c>
      <c r="I64" s="424">
        <v>76.786029999999997</v>
      </c>
      <c r="J64" s="425">
        <v>-5.7398274329700003</v>
      </c>
      <c r="K64" s="428">
        <v>0.69783609999700003</v>
      </c>
    </row>
    <row r="65" spans="1:11" ht="14.4" customHeight="1" thickBot="1" x14ac:dyDescent="0.35">
      <c r="A65" s="446" t="s">
        <v>345</v>
      </c>
      <c r="B65" s="424">
        <v>15.653669494927</v>
      </c>
      <c r="C65" s="424">
        <v>18.269310000000001</v>
      </c>
      <c r="D65" s="425">
        <v>2.6156405050720002</v>
      </c>
      <c r="E65" s="426">
        <v>1.167094399554</v>
      </c>
      <c r="F65" s="424">
        <v>18.703158877078</v>
      </c>
      <c r="G65" s="425">
        <v>14.027369157808</v>
      </c>
      <c r="H65" s="427">
        <v>2.9612400000000001</v>
      </c>
      <c r="I65" s="424">
        <v>12.59745</v>
      </c>
      <c r="J65" s="425">
        <v>-1.4299191578079999</v>
      </c>
      <c r="K65" s="428">
        <v>0.673546649675</v>
      </c>
    </row>
    <row r="66" spans="1:11" ht="14.4" customHeight="1" thickBot="1" x14ac:dyDescent="0.35">
      <c r="A66" s="445" t="s">
        <v>346</v>
      </c>
      <c r="B66" s="429">
        <v>0</v>
      </c>
      <c r="C66" s="429">
        <v>0</v>
      </c>
      <c r="D66" s="430">
        <v>0</v>
      </c>
      <c r="E66" s="436">
        <v>1</v>
      </c>
      <c r="F66" s="429">
        <v>0</v>
      </c>
      <c r="G66" s="430">
        <v>0</v>
      </c>
      <c r="H66" s="432">
        <v>0</v>
      </c>
      <c r="I66" s="429">
        <v>14.64738</v>
      </c>
      <c r="J66" s="430">
        <v>14.64738</v>
      </c>
      <c r="K66" s="433" t="s">
        <v>293</v>
      </c>
    </row>
    <row r="67" spans="1:11" ht="14.4" customHeight="1" thickBot="1" x14ac:dyDescent="0.35">
      <c r="A67" s="446" t="s">
        <v>347</v>
      </c>
      <c r="B67" s="424">
        <v>0</v>
      </c>
      <c r="C67" s="424">
        <v>0</v>
      </c>
      <c r="D67" s="425">
        <v>0</v>
      </c>
      <c r="E67" s="426">
        <v>1</v>
      </c>
      <c r="F67" s="424">
        <v>0</v>
      </c>
      <c r="G67" s="425">
        <v>0</v>
      </c>
      <c r="H67" s="427">
        <v>0</v>
      </c>
      <c r="I67" s="424">
        <v>14.64738</v>
      </c>
      <c r="J67" s="425">
        <v>14.64738</v>
      </c>
      <c r="K67" s="435" t="s">
        <v>293</v>
      </c>
    </row>
    <row r="68" spans="1:11" ht="14.4" customHeight="1" thickBot="1" x14ac:dyDescent="0.35">
      <c r="A68" s="445" t="s">
        <v>348</v>
      </c>
      <c r="B68" s="429">
        <v>24.074790457113</v>
      </c>
      <c r="C68" s="429">
        <v>21.333770000000001</v>
      </c>
      <c r="D68" s="430">
        <v>-2.7410204571130001</v>
      </c>
      <c r="E68" s="436">
        <v>0.88614561518199997</v>
      </c>
      <c r="F68" s="429">
        <v>11.205721194221001</v>
      </c>
      <c r="G68" s="430">
        <v>8.4042908956659996</v>
      </c>
      <c r="H68" s="432">
        <v>0</v>
      </c>
      <c r="I68" s="429">
        <v>16.40991</v>
      </c>
      <c r="J68" s="430">
        <v>8.0056191043330003</v>
      </c>
      <c r="K68" s="437">
        <v>1.4644224780870001</v>
      </c>
    </row>
    <row r="69" spans="1:11" ht="14.4" customHeight="1" thickBot="1" x14ac:dyDescent="0.35">
      <c r="A69" s="446" t="s">
        <v>349</v>
      </c>
      <c r="B69" s="424">
        <v>15.759445382161999</v>
      </c>
      <c r="C69" s="424">
        <v>15.448309999999999</v>
      </c>
      <c r="D69" s="425">
        <v>-0.31113538216199998</v>
      </c>
      <c r="E69" s="426">
        <v>0.98025721244499997</v>
      </c>
      <c r="F69" s="424">
        <v>4.3088658392359998</v>
      </c>
      <c r="G69" s="425">
        <v>3.231649379427</v>
      </c>
      <c r="H69" s="427">
        <v>0</v>
      </c>
      <c r="I69" s="424">
        <v>11.69285</v>
      </c>
      <c r="J69" s="425">
        <v>8.4612006205720007</v>
      </c>
      <c r="K69" s="428">
        <v>2.713672329624</v>
      </c>
    </row>
    <row r="70" spans="1:11" ht="14.4" customHeight="1" thickBot="1" x14ac:dyDescent="0.35">
      <c r="A70" s="446" t="s">
        <v>350</v>
      </c>
      <c r="B70" s="424">
        <v>1.0003644167400001</v>
      </c>
      <c r="C70" s="424">
        <v>0.92600000000000005</v>
      </c>
      <c r="D70" s="425">
        <v>-7.4364416739999994E-2</v>
      </c>
      <c r="E70" s="426">
        <v>0.92566267302500005</v>
      </c>
      <c r="F70" s="424">
        <v>1.129546625353</v>
      </c>
      <c r="G70" s="425">
        <v>0.84715996901500001</v>
      </c>
      <c r="H70" s="427">
        <v>0</v>
      </c>
      <c r="I70" s="424">
        <v>0.91</v>
      </c>
      <c r="J70" s="425">
        <v>6.2840030983999998E-2</v>
      </c>
      <c r="K70" s="428">
        <v>0.80563296775299997</v>
      </c>
    </row>
    <row r="71" spans="1:11" ht="14.4" customHeight="1" thickBot="1" x14ac:dyDescent="0.35">
      <c r="A71" s="446" t="s">
        <v>351</v>
      </c>
      <c r="B71" s="424">
        <v>1.684148307494</v>
      </c>
      <c r="C71" s="424">
        <v>1.3546</v>
      </c>
      <c r="D71" s="425">
        <v>-0.32954830749399999</v>
      </c>
      <c r="E71" s="426">
        <v>0.80432346365899998</v>
      </c>
      <c r="F71" s="424">
        <v>1.6519580822390001</v>
      </c>
      <c r="G71" s="425">
        <v>1.238968561679</v>
      </c>
      <c r="H71" s="427">
        <v>0</v>
      </c>
      <c r="I71" s="424">
        <v>1.5491999999999999</v>
      </c>
      <c r="J71" s="425">
        <v>0.31023143832</v>
      </c>
      <c r="K71" s="428">
        <v>0.93779619268500003</v>
      </c>
    </row>
    <row r="72" spans="1:11" ht="14.4" customHeight="1" thickBot="1" x14ac:dyDescent="0.35">
      <c r="A72" s="446" t="s">
        <v>352</v>
      </c>
      <c r="B72" s="424">
        <v>5.6308323507160001</v>
      </c>
      <c r="C72" s="424">
        <v>3.60486</v>
      </c>
      <c r="D72" s="425">
        <v>-2.0259723507160001</v>
      </c>
      <c r="E72" s="426">
        <v>0.64020020051500004</v>
      </c>
      <c r="F72" s="424">
        <v>4.1153506473909998</v>
      </c>
      <c r="G72" s="425">
        <v>3.086512985543</v>
      </c>
      <c r="H72" s="427">
        <v>0</v>
      </c>
      <c r="I72" s="424">
        <v>2.25786</v>
      </c>
      <c r="J72" s="425">
        <v>-0.82865298554300004</v>
      </c>
      <c r="K72" s="428">
        <v>0.54864340695500002</v>
      </c>
    </row>
    <row r="73" spans="1:11" ht="14.4" customHeight="1" thickBot="1" x14ac:dyDescent="0.35">
      <c r="A73" s="445" t="s">
        <v>353</v>
      </c>
      <c r="B73" s="429">
        <v>0</v>
      </c>
      <c r="C73" s="429">
        <v>0.80620000000000003</v>
      </c>
      <c r="D73" s="430">
        <v>0.80620000000000003</v>
      </c>
      <c r="E73" s="431" t="s">
        <v>287</v>
      </c>
      <c r="F73" s="429">
        <v>0</v>
      </c>
      <c r="G73" s="430">
        <v>0</v>
      </c>
      <c r="H73" s="432">
        <v>0</v>
      </c>
      <c r="I73" s="429">
        <v>0.81772</v>
      </c>
      <c r="J73" s="430">
        <v>0.81772</v>
      </c>
      <c r="K73" s="433" t="s">
        <v>287</v>
      </c>
    </row>
    <row r="74" spans="1:11" ht="14.4" customHeight="1" thickBot="1" x14ac:dyDescent="0.35">
      <c r="A74" s="446" t="s">
        <v>354</v>
      </c>
      <c r="B74" s="424">
        <v>0</v>
      </c>
      <c r="C74" s="424">
        <v>0.80620000000000003</v>
      </c>
      <c r="D74" s="425">
        <v>0.80620000000000003</v>
      </c>
      <c r="E74" s="434" t="s">
        <v>287</v>
      </c>
      <c r="F74" s="424">
        <v>0</v>
      </c>
      <c r="G74" s="425">
        <v>0</v>
      </c>
      <c r="H74" s="427">
        <v>0</v>
      </c>
      <c r="I74" s="424">
        <v>0.81772</v>
      </c>
      <c r="J74" s="425">
        <v>0.81772</v>
      </c>
      <c r="K74" s="435" t="s">
        <v>287</v>
      </c>
    </row>
    <row r="75" spans="1:11" ht="14.4" customHeight="1" thickBot="1" x14ac:dyDescent="0.35">
      <c r="A75" s="443" t="s">
        <v>48</v>
      </c>
      <c r="B75" s="424">
        <v>6771.0335440683002</v>
      </c>
      <c r="C75" s="424">
        <v>7193.46036</v>
      </c>
      <c r="D75" s="425">
        <v>422.42681593169999</v>
      </c>
      <c r="E75" s="426">
        <v>1.062387346508</v>
      </c>
      <c r="F75" s="424">
        <v>7036.99977835155</v>
      </c>
      <c r="G75" s="425">
        <v>5277.7498337636698</v>
      </c>
      <c r="H75" s="427">
        <v>578.61703</v>
      </c>
      <c r="I75" s="424">
        <v>5690.2450799999997</v>
      </c>
      <c r="J75" s="425">
        <v>412.49524623633698</v>
      </c>
      <c r="K75" s="428">
        <v>0.80861805588000002</v>
      </c>
    </row>
    <row r="76" spans="1:11" ht="14.4" customHeight="1" thickBot="1" x14ac:dyDescent="0.35">
      <c r="A76" s="449" t="s">
        <v>355</v>
      </c>
      <c r="B76" s="429">
        <v>5017.99999999991</v>
      </c>
      <c r="C76" s="429">
        <v>5332.32</v>
      </c>
      <c r="D76" s="430">
        <v>314.32000000009202</v>
      </c>
      <c r="E76" s="436">
        <v>1.0626385013949999</v>
      </c>
      <c r="F76" s="429">
        <v>5216.9998356771403</v>
      </c>
      <c r="G76" s="430">
        <v>3912.74987675786</v>
      </c>
      <c r="H76" s="432">
        <v>428.60599999999999</v>
      </c>
      <c r="I76" s="429">
        <v>4216.71</v>
      </c>
      <c r="J76" s="430">
        <v>303.96012324214303</v>
      </c>
      <c r="K76" s="437">
        <v>0.80826339521099999</v>
      </c>
    </row>
    <row r="77" spans="1:11" ht="14.4" customHeight="1" thickBot="1" x14ac:dyDescent="0.35">
      <c r="A77" s="445" t="s">
        <v>356</v>
      </c>
      <c r="B77" s="429">
        <v>5001.99999999991</v>
      </c>
      <c r="C77" s="429">
        <v>5317.0389999999998</v>
      </c>
      <c r="D77" s="430">
        <v>315.03900000009298</v>
      </c>
      <c r="E77" s="436">
        <v>1.0629826069570001</v>
      </c>
      <c r="F77" s="429">
        <v>5199.9998362125998</v>
      </c>
      <c r="G77" s="430">
        <v>3899.9998771594501</v>
      </c>
      <c r="H77" s="432">
        <v>428.60599999999999</v>
      </c>
      <c r="I77" s="429">
        <v>4209.9030000000002</v>
      </c>
      <c r="J77" s="430">
        <v>309.90312284054897</v>
      </c>
      <c r="K77" s="437">
        <v>0.80959675626899996</v>
      </c>
    </row>
    <row r="78" spans="1:11" ht="14.4" customHeight="1" thickBot="1" x14ac:dyDescent="0.35">
      <c r="A78" s="446" t="s">
        <v>357</v>
      </c>
      <c r="B78" s="424">
        <v>5001.99999999991</v>
      </c>
      <c r="C78" s="424">
        <v>5317.0389999999998</v>
      </c>
      <c r="D78" s="425">
        <v>315.03900000009298</v>
      </c>
      <c r="E78" s="426">
        <v>1.0629826069570001</v>
      </c>
      <c r="F78" s="424">
        <v>5199.9998362125998</v>
      </c>
      <c r="G78" s="425">
        <v>3899.9998771594501</v>
      </c>
      <c r="H78" s="427">
        <v>428.60599999999999</v>
      </c>
      <c r="I78" s="424">
        <v>4209.9030000000002</v>
      </c>
      <c r="J78" s="425">
        <v>309.90312284054897</v>
      </c>
      <c r="K78" s="428">
        <v>0.80959675626899996</v>
      </c>
    </row>
    <row r="79" spans="1:11" ht="14.4" customHeight="1" thickBot="1" x14ac:dyDescent="0.35">
      <c r="A79" s="445" t="s">
        <v>358</v>
      </c>
      <c r="B79" s="429">
        <v>15.999999999999</v>
      </c>
      <c r="C79" s="429">
        <v>15.281000000000001</v>
      </c>
      <c r="D79" s="430">
        <v>-0.71899999999899999</v>
      </c>
      <c r="E79" s="436">
        <v>0.95506250000000004</v>
      </c>
      <c r="F79" s="429">
        <v>16.999999464540998</v>
      </c>
      <c r="G79" s="430">
        <v>12.749999598404999</v>
      </c>
      <c r="H79" s="432">
        <v>0</v>
      </c>
      <c r="I79" s="429">
        <v>6.8070000000000004</v>
      </c>
      <c r="J79" s="430">
        <v>-5.9429995984049997</v>
      </c>
      <c r="K79" s="437">
        <v>0.40041177731700001</v>
      </c>
    </row>
    <row r="80" spans="1:11" ht="14.4" customHeight="1" thickBot="1" x14ac:dyDescent="0.35">
      <c r="A80" s="446" t="s">
        <v>359</v>
      </c>
      <c r="B80" s="424">
        <v>15.999999999999</v>
      </c>
      <c r="C80" s="424">
        <v>15.281000000000001</v>
      </c>
      <c r="D80" s="425">
        <v>-0.71899999999899999</v>
      </c>
      <c r="E80" s="426">
        <v>0.95506250000000004</v>
      </c>
      <c r="F80" s="424">
        <v>16.999999464540998</v>
      </c>
      <c r="G80" s="425">
        <v>12.749999598404999</v>
      </c>
      <c r="H80" s="427">
        <v>0</v>
      </c>
      <c r="I80" s="424">
        <v>6.8070000000000004</v>
      </c>
      <c r="J80" s="425">
        <v>-5.9429995984049997</v>
      </c>
      <c r="K80" s="428">
        <v>0.40041177731700001</v>
      </c>
    </row>
    <row r="81" spans="1:11" ht="14.4" customHeight="1" thickBot="1" x14ac:dyDescent="0.35">
      <c r="A81" s="444" t="s">
        <v>360</v>
      </c>
      <c r="B81" s="424">
        <v>1702.03354406839</v>
      </c>
      <c r="C81" s="424">
        <v>1807.7899500000001</v>
      </c>
      <c r="D81" s="425">
        <v>105.756405931606</v>
      </c>
      <c r="E81" s="426">
        <v>1.0621353241239999</v>
      </c>
      <c r="F81" s="424">
        <v>1767.9999443122799</v>
      </c>
      <c r="G81" s="425">
        <v>1325.99995823421</v>
      </c>
      <c r="H81" s="427">
        <v>145.72548</v>
      </c>
      <c r="I81" s="424">
        <v>1431.36841</v>
      </c>
      <c r="J81" s="425">
        <v>105.368451765787</v>
      </c>
      <c r="K81" s="428">
        <v>0.80959754246799998</v>
      </c>
    </row>
    <row r="82" spans="1:11" ht="14.4" customHeight="1" thickBot="1" x14ac:dyDescent="0.35">
      <c r="A82" s="445" t="s">
        <v>361</v>
      </c>
      <c r="B82" s="429">
        <v>451.03354406841999</v>
      </c>
      <c r="C82" s="429">
        <v>478.53019</v>
      </c>
      <c r="D82" s="430">
        <v>27.496645931580002</v>
      </c>
      <c r="E82" s="436">
        <v>1.060963638499</v>
      </c>
      <c r="F82" s="429">
        <v>467.99998525913401</v>
      </c>
      <c r="G82" s="430">
        <v>350.999988944351</v>
      </c>
      <c r="H82" s="432">
        <v>38.573979999999999</v>
      </c>
      <c r="I82" s="429">
        <v>378.89265999999998</v>
      </c>
      <c r="J82" s="430">
        <v>27.892671055649</v>
      </c>
      <c r="K82" s="437">
        <v>0.80959972635499999</v>
      </c>
    </row>
    <row r="83" spans="1:11" ht="14.4" customHeight="1" thickBot="1" x14ac:dyDescent="0.35">
      <c r="A83" s="446" t="s">
        <v>362</v>
      </c>
      <c r="B83" s="424">
        <v>451.03354406841999</v>
      </c>
      <c r="C83" s="424">
        <v>478.53019</v>
      </c>
      <c r="D83" s="425">
        <v>27.496645931580002</v>
      </c>
      <c r="E83" s="426">
        <v>1.060963638499</v>
      </c>
      <c r="F83" s="424">
        <v>467.99998525913401</v>
      </c>
      <c r="G83" s="425">
        <v>350.999988944351</v>
      </c>
      <c r="H83" s="427">
        <v>38.573979999999999</v>
      </c>
      <c r="I83" s="424">
        <v>378.89265999999998</v>
      </c>
      <c r="J83" s="425">
        <v>27.892671055649</v>
      </c>
      <c r="K83" s="428">
        <v>0.80959972635499999</v>
      </c>
    </row>
    <row r="84" spans="1:11" ht="14.4" customHeight="1" thickBot="1" x14ac:dyDescent="0.35">
      <c r="A84" s="445" t="s">
        <v>363</v>
      </c>
      <c r="B84" s="429">
        <v>1250.99999999997</v>
      </c>
      <c r="C84" s="429">
        <v>1329.2597599999999</v>
      </c>
      <c r="D84" s="430">
        <v>78.259760000024997</v>
      </c>
      <c r="E84" s="436">
        <v>1.0625577617899999</v>
      </c>
      <c r="F84" s="429">
        <v>1299.99995905315</v>
      </c>
      <c r="G84" s="430">
        <v>974.99996928986195</v>
      </c>
      <c r="H84" s="432">
        <v>107.1515</v>
      </c>
      <c r="I84" s="429">
        <v>1052.4757500000001</v>
      </c>
      <c r="J84" s="430">
        <v>77.475780710137002</v>
      </c>
      <c r="K84" s="437">
        <v>0.80959675626899996</v>
      </c>
    </row>
    <row r="85" spans="1:11" ht="14.4" customHeight="1" thickBot="1" x14ac:dyDescent="0.35">
      <c r="A85" s="446" t="s">
        <v>364</v>
      </c>
      <c r="B85" s="424">
        <v>1250.99999999997</v>
      </c>
      <c r="C85" s="424">
        <v>1329.2597599999999</v>
      </c>
      <c r="D85" s="425">
        <v>78.259760000024997</v>
      </c>
      <c r="E85" s="426">
        <v>1.0625577617899999</v>
      </c>
      <c r="F85" s="424">
        <v>1299.99995905315</v>
      </c>
      <c r="G85" s="425">
        <v>974.99996928986195</v>
      </c>
      <c r="H85" s="427">
        <v>107.1515</v>
      </c>
      <c r="I85" s="424">
        <v>1052.4757500000001</v>
      </c>
      <c r="J85" s="425">
        <v>77.475780710137002</v>
      </c>
      <c r="K85" s="428">
        <v>0.80959675626899996</v>
      </c>
    </row>
    <row r="86" spans="1:11" ht="14.4" customHeight="1" thickBot="1" x14ac:dyDescent="0.35">
      <c r="A86" s="444" t="s">
        <v>365</v>
      </c>
      <c r="B86" s="424">
        <v>50.999999999998998</v>
      </c>
      <c r="C86" s="424">
        <v>53.350409999999997</v>
      </c>
      <c r="D86" s="425">
        <v>2.3504100000010002</v>
      </c>
      <c r="E86" s="426">
        <v>1.046086470588</v>
      </c>
      <c r="F86" s="424">
        <v>51.999998362126</v>
      </c>
      <c r="G86" s="425">
        <v>38.999998771594001</v>
      </c>
      <c r="H86" s="427">
        <v>4.2855499999999997</v>
      </c>
      <c r="I86" s="424">
        <v>42.166670000000003</v>
      </c>
      <c r="J86" s="425">
        <v>3.1666712284049998</v>
      </c>
      <c r="K86" s="428">
        <v>0.81089752554100003</v>
      </c>
    </row>
    <row r="87" spans="1:11" ht="14.4" customHeight="1" thickBot="1" x14ac:dyDescent="0.35">
      <c r="A87" s="445" t="s">
        <v>366</v>
      </c>
      <c r="B87" s="429">
        <v>50.999999999998998</v>
      </c>
      <c r="C87" s="429">
        <v>53.350409999999997</v>
      </c>
      <c r="D87" s="430">
        <v>2.3504100000010002</v>
      </c>
      <c r="E87" s="436">
        <v>1.046086470588</v>
      </c>
      <c r="F87" s="429">
        <v>51.999998362126</v>
      </c>
      <c r="G87" s="430">
        <v>38.999998771594001</v>
      </c>
      <c r="H87" s="432">
        <v>4.2855499999999997</v>
      </c>
      <c r="I87" s="429">
        <v>42.166670000000003</v>
      </c>
      <c r="J87" s="430">
        <v>3.1666712284049998</v>
      </c>
      <c r="K87" s="437">
        <v>0.81089752554100003</v>
      </c>
    </row>
    <row r="88" spans="1:11" ht="14.4" customHeight="1" thickBot="1" x14ac:dyDescent="0.35">
      <c r="A88" s="446" t="s">
        <v>367</v>
      </c>
      <c r="B88" s="424">
        <v>50.999999999998998</v>
      </c>
      <c r="C88" s="424">
        <v>53.350409999999997</v>
      </c>
      <c r="D88" s="425">
        <v>2.3504100000010002</v>
      </c>
      <c r="E88" s="426">
        <v>1.046086470588</v>
      </c>
      <c r="F88" s="424">
        <v>51.999998362126</v>
      </c>
      <c r="G88" s="425">
        <v>38.999998771594001</v>
      </c>
      <c r="H88" s="427">
        <v>4.2855499999999997</v>
      </c>
      <c r="I88" s="424">
        <v>42.166670000000003</v>
      </c>
      <c r="J88" s="425">
        <v>3.1666712284049998</v>
      </c>
      <c r="K88" s="428">
        <v>0.81089752554100003</v>
      </c>
    </row>
    <row r="89" spans="1:11" ht="14.4" customHeight="1" thickBot="1" x14ac:dyDescent="0.35">
      <c r="A89" s="443" t="s">
        <v>368</v>
      </c>
      <c r="B89" s="424">
        <v>0</v>
      </c>
      <c r="C89" s="424">
        <v>16.791219999999999</v>
      </c>
      <c r="D89" s="425">
        <v>16.791219999999999</v>
      </c>
      <c r="E89" s="434" t="s">
        <v>287</v>
      </c>
      <c r="F89" s="424">
        <v>0</v>
      </c>
      <c r="G89" s="425">
        <v>0</v>
      </c>
      <c r="H89" s="427">
        <v>0</v>
      </c>
      <c r="I89" s="424">
        <v>2.3231999999999999</v>
      </c>
      <c r="J89" s="425">
        <v>2.3231999999999999</v>
      </c>
      <c r="K89" s="435" t="s">
        <v>287</v>
      </c>
    </row>
    <row r="90" spans="1:11" ht="14.4" customHeight="1" thickBot="1" x14ac:dyDescent="0.35">
      <c r="A90" s="444" t="s">
        <v>369</v>
      </c>
      <c r="B90" s="424">
        <v>0</v>
      </c>
      <c r="C90" s="424">
        <v>14.782</v>
      </c>
      <c r="D90" s="425">
        <v>14.782</v>
      </c>
      <c r="E90" s="434" t="s">
        <v>287</v>
      </c>
      <c r="F90" s="424">
        <v>0</v>
      </c>
      <c r="G90" s="425">
        <v>0</v>
      </c>
      <c r="H90" s="427">
        <v>0</v>
      </c>
      <c r="I90" s="424">
        <v>0</v>
      </c>
      <c r="J90" s="425">
        <v>0</v>
      </c>
      <c r="K90" s="435" t="s">
        <v>287</v>
      </c>
    </row>
    <row r="91" spans="1:11" ht="14.4" customHeight="1" thickBot="1" x14ac:dyDescent="0.35">
      <c r="A91" s="445" t="s">
        <v>370</v>
      </c>
      <c r="B91" s="429">
        <v>0</v>
      </c>
      <c r="C91" s="429">
        <v>14.782</v>
      </c>
      <c r="D91" s="430">
        <v>14.782</v>
      </c>
      <c r="E91" s="431" t="s">
        <v>287</v>
      </c>
      <c r="F91" s="429">
        <v>0</v>
      </c>
      <c r="G91" s="430">
        <v>0</v>
      </c>
      <c r="H91" s="432">
        <v>0</v>
      </c>
      <c r="I91" s="429">
        <v>0</v>
      </c>
      <c r="J91" s="430">
        <v>0</v>
      </c>
      <c r="K91" s="433" t="s">
        <v>287</v>
      </c>
    </row>
    <row r="92" spans="1:11" ht="14.4" customHeight="1" thickBot="1" x14ac:dyDescent="0.35">
      <c r="A92" s="446" t="s">
        <v>371</v>
      </c>
      <c r="B92" s="424">
        <v>0</v>
      </c>
      <c r="C92" s="424">
        <v>14.782</v>
      </c>
      <c r="D92" s="425">
        <v>14.782</v>
      </c>
      <c r="E92" s="434" t="s">
        <v>287</v>
      </c>
      <c r="F92" s="424">
        <v>0</v>
      </c>
      <c r="G92" s="425">
        <v>0</v>
      </c>
      <c r="H92" s="427">
        <v>0</v>
      </c>
      <c r="I92" s="424">
        <v>0</v>
      </c>
      <c r="J92" s="425">
        <v>0</v>
      </c>
      <c r="K92" s="435" t="s">
        <v>287</v>
      </c>
    </row>
    <row r="93" spans="1:11" ht="14.4" customHeight="1" thickBot="1" x14ac:dyDescent="0.35">
      <c r="A93" s="444" t="s">
        <v>372</v>
      </c>
      <c r="B93" s="424">
        <v>0</v>
      </c>
      <c r="C93" s="424">
        <v>2.00922</v>
      </c>
      <c r="D93" s="425">
        <v>2.00922</v>
      </c>
      <c r="E93" s="434" t="s">
        <v>287</v>
      </c>
      <c r="F93" s="424">
        <v>0</v>
      </c>
      <c r="G93" s="425">
        <v>0</v>
      </c>
      <c r="H93" s="427">
        <v>0</v>
      </c>
      <c r="I93" s="424">
        <v>2.3231999999999999</v>
      </c>
      <c r="J93" s="425">
        <v>2.3231999999999999</v>
      </c>
      <c r="K93" s="435" t="s">
        <v>287</v>
      </c>
    </row>
    <row r="94" spans="1:11" ht="14.4" customHeight="1" thickBot="1" x14ac:dyDescent="0.35">
      <c r="A94" s="445" t="s">
        <v>373</v>
      </c>
      <c r="B94" s="429">
        <v>0</v>
      </c>
      <c r="C94" s="429">
        <v>0</v>
      </c>
      <c r="D94" s="430">
        <v>0</v>
      </c>
      <c r="E94" s="431" t="s">
        <v>287</v>
      </c>
      <c r="F94" s="429">
        <v>0</v>
      </c>
      <c r="G94" s="430">
        <v>0</v>
      </c>
      <c r="H94" s="432">
        <v>0</v>
      </c>
      <c r="I94" s="429">
        <v>2.3231999999999999</v>
      </c>
      <c r="J94" s="430">
        <v>2.3231999999999999</v>
      </c>
      <c r="K94" s="433" t="s">
        <v>293</v>
      </c>
    </row>
    <row r="95" spans="1:11" ht="14.4" customHeight="1" thickBot="1" x14ac:dyDescent="0.35">
      <c r="A95" s="446" t="s">
        <v>374</v>
      </c>
      <c r="B95" s="424">
        <v>0</v>
      </c>
      <c r="C95" s="424">
        <v>0</v>
      </c>
      <c r="D95" s="425">
        <v>0</v>
      </c>
      <c r="E95" s="434" t="s">
        <v>287</v>
      </c>
      <c r="F95" s="424">
        <v>0</v>
      </c>
      <c r="G95" s="425">
        <v>0</v>
      </c>
      <c r="H95" s="427">
        <v>0</v>
      </c>
      <c r="I95" s="424">
        <v>2.3231999999999999</v>
      </c>
      <c r="J95" s="425">
        <v>2.3231999999999999</v>
      </c>
      <c r="K95" s="435" t="s">
        <v>293</v>
      </c>
    </row>
    <row r="96" spans="1:11" ht="14.4" customHeight="1" thickBot="1" x14ac:dyDescent="0.35">
      <c r="A96" s="445" t="s">
        <v>375</v>
      </c>
      <c r="B96" s="429">
        <v>0</v>
      </c>
      <c r="C96" s="429">
        <v>2.00922</v>
      </c>
      <c r="D96" s="430">
        <v>2.00922</v>
      </c>
      <c r="E96" s="431" t="s">
        <v>293</v>
      </c>
      <c r="F96" s="429">
        <v>0</v>
      </c>
      <c r="G96" s="430">
        <v>0</v>
      </c>
      <c r="H96" s="432">
        <v>0</v>
      </c>
      <c r="I96" s="429">
        <v>0</v>
      </c>
      <c r="J96" s="430">
        <v>0</v>
      </c>
      <c r="K96" s="433" t="s">
        <v>287</v>
      </c>
    </row>
    <row r="97" spans="1:11" ht="14.4" customHeight="1" thickBot="1" x14ac:dyDescent="0.35">
      <c r="A97" s="446" t="s">
        <v>376</v>
      </c>
      <c r="B97" s="424">
        <v>0</v>
      </c>
      <c r="C97" s="424">
        <v>2.00922</v>
      </c>
      <c r="D97" s="425">
        <v>2.00922</v>
      </c>
      <c r="E97" s="434" t="s">
        <v>293</v>
      </c>
      <c r="F97" s="424">
        <v>0</v>
      </c>
      <c r="G97" s="425">
        <v>0</v>
      </c>
      <c r="H97" s="427">
        <v>0</v>
      </c>
      <c r="I97" s="424">
        <v>0</v>
      </c>
      <c r="J97" s="425">
        <v>0</v>
      </c>
      <c r="K97" s="435" t="s">
        <v>287</v>
      </c>
    </row>
    <row r="98" spans="1:11" ht="14.4" customHeight="1" thickBot="1" x14ac:dyDescent="0.35">
      <c r="A98" s="443" t="s">
        <v>377</v>
      </c>
      <c r="B98" s="424">
        <v>288.99459154803202</v>
      </c>
      <c r="C98" s="424">
        <v>292.69799999999998</v>
      </c>
      <c r="D98" s="425">
        <v>3.7034084519679999</v>
      </c>
      <c r="E98" s="426">
        <v>1.0128148019380001</v>
      </c>
      <c r="F98" s="424">
        <v>348.44570758665299</v>
      </c>
      <c r="G98" s="425">
        <v>261.33428068999001</v>
      </c>
      <c r="H98" s="427">
        <v>25.49</v>
      </c>
      <c r="I98" s="424">
        <v>268.30599999999998</v>
      </c>
      <c r="J98" s="425">
        <v>6.9717193100100001</v>
      </c>
      <c r="K98" s="428">
        <v>0.77000805048800003</v>
      </c>
    </row>
    <row r="99" spans="1:11" ht="14.4" customHeight="1" thickBot="1" x14ac:dyDescent="0.35">
      <c r="A99" s="444" t="s">
        <v>378</v>
      </c>
      <c r="B99" s="424">
        <v>288.99459154803202</v>
      </c>
      <c r="C99" s="424">
        <v>289.09199999999998</v>
      </c>
      <c r="D99" s="425">
        <v>9.7408451968000007E-2</v>
      </c>
      <c r="E99" s="426">
        <v>1.000337059774</v>
      </c>
      <c r="F99" s="424">
        <v>288.99970758665302</v>
      </c>
      <c r="G99" s="425">
        <v>216.74978068998999</v>
      </c>
      <c r="H99" s="427">
        <v>25.49</v>
      </c>
      <c r="I99" s="424">
        <v>218.21199999999999</v>
      </c>
      <c r="J99" s="425">
        <v>1.4622193100100001</v>
      </c>
      <c r="K99" s="428">
        <v>0.755059587506</v>
      </c>
    </row>
    <row r="100" spans="1:11" ht="14.4" customHeight="1" thickBot="1" x14ac:dyDescent="0.35">
      <c r="A100" s="445" t="s">
        <v>379</v>
      </c>
      <c r="B100" s="429">
        <v>288.99459154803202</v>
      </c>
      <c r="C100" s="429">
        <v>289.09199999999998</v>
      </c>
      <c r="D100" s="430">
        <v>9.7408451968000007E-2</v>
      </c>
      <c r="E100" s="436">
        <v>1.000337059774</v>
      </c>
      <c r="F100" s="429">
        <v>288.99970758665302</v>
      </c>
      <c r="G100" s="430">
        <v>216.74978068998999</v>
      </c>
      <c r="H100" s="432">
        <v>25.49</v>
      </c>
      <c r="I100" s="429">
        <v>218.21199999999999</v>
      </c>
      <c r="J100" s="430">
        <v>1.4622193100100001</v>
      </c>
      <c r="K100" s="437">
        <v>0.755059587506</v>
      </c>
    </row>
    <row r="101" spans="1:11" ht="14.4" customHeight="1" thickBot="1" x14ac:dyDescent="0.35">
      <c r="A101" s="446" t="s">
        <v>380</v>
      </c>
      <c r="B101" s="424">
        <v>128.99487485858299</v>
      </c>
      <c r="C101" s="424">
        <v>129.084</v>
      </c>
      <c r="D101" s="425">
        <v>8.9125141416999995E-2</v>
      </c>
      <c r="E101" s="426">
        <v>1.000690920019</v>
      </c>
      <c r="F101" s="424">
        <v>128.99999593681</v>
      </c>
      <c r="G101" s="425">
        <v>96.749996952607006</v>
      </c>
      <c r="H101" s="427">
        <v>10.757</v>
      </c>
      <c r="I101" s="424">
        <v>96.813000000000002</v>
      </c>
      <c r="J101" s="425">
        <v>6.3003047391999994E-2</v>
      </c>
      <c r="K101" s="428">
        <v>0.75048839573100001</v>
      </c>
    </row>
    <row r="102" spans="1:11" ht="14.4" customHeight="1" thickBot="1" x14ac:dyDescent="0.35">
      <c r="A102" s="446" t="s">
        <v>381</v>
      </c>
      <c r="B102" s="424">
        <v>136.99999999999801</v>
      </c>
      <c r="C102" s="424">
        <v>136.81200000000001</v>
      </c>
      <c r="D102" s="425">
        <v>-0.18799999999700001</v>
      </c>
      <c r="E102" s="426">
        <v>0.99862773722599996</v>
      </c>
      <c r="F102" s="424">
        <v>136.99999568482701</v>
      </c>
      <c r="G102" s="425">
        <v>102.74999676362</v>
      </c>
      <c r="H102" s="427">
        <v>12.8</v>
      </c>
      <c r="I102" s="424">
        <v>104.002</v>
      </c>
      <c r="J102" s="425">
        <v>1.2520032363789999</v>
      </c>
      <c r="K102" s="428">
        <v>0.75913871004199995</v>
      </c>
    </row>
    <row r="103" spans="1:11" ht="14.4" customHeight="1" thickBot="1" x14ac:dyDescent="0.35">
      <c r="A103" s="446" t="s">
        <v>382</v>
      </c>
      <c r="B103" s="424">
        <v>22.999716689450999</v>
      </c>
      <c r="C103" s="424">
        <v>23.196000000000002</v>
      </c>
      <c r="D103" s="425">
        <v>0.196283310548</v>
      </c>
      <c r="E103" s="426">
        <v>1.0085341621020001</v>
      </c>
      <c r="F103" s="424">
        <v>22.999715965016001</v>
      </c>
      <c r="G103" s="425">
        <v>17.249786973761999</v>
      </c>
      <c r="H103" s="427">
        <v>1.9330000000000001</v>
      </c>
      <c r="I103" s="424">
        <v>17.396999999999998</v>
      </c>
      <c r="J103" s="425">
        <v>0.147213026237</v>
      </c>
      <c r="K103" s="428">
        <v>0.75640064540100005</v>
      </c>
    </row>
    <row r="104" spans="1:11" ht="14.4" customHeight="1" thickBot="1" x14ac:dyDescent="0.35">
      <c r="A104" s="444" t="s">
        <v>383</v>
      </c>
      <c r="B104" s="424">
        <v>0</v>
      </c>
      <c r="C104" s="424">
        <v>3.6059999999999999</v>
      </c>
      <c r="D104" s="425">
        <v>3.6059999999999999</v>
      </c>
      <c r="E104" s="434" t="s">
        <v>287</v>
      </c>
      <c r="F104" s="424">
        <v>59.445999999999998</v>
      </c>
      <c r="G104" s="425">
        <v>44.584499999999998</v>
      </c>
      <c r="H104" s="427">
        <v>0</v>
      </c>
      <c r="I104" s="424">
        <v>50.094000000000001</v>
      </c>
      <c r="J104" s="425">
        <v>5.5095000000000001</v>
      </c>
      <c r="K104" s="428">
        <v>0.84268075227899997</v>
      </c>
    </row>
    <row r="105" spans="1:11" ht="14.4" customHeight="1" thickBot="1" x14ac:dyDescent="0.35">
      <c r="A105" s="445" t="s">
        <v>384</v>
      </c>
      <c r="B105" s="429">
        <v>0</v>
      </c>
      <c r="C105" s="429">
        <v>0</v>
      </c>
      <c r="D105" s="430">
        <v>0</v>
      </c>
      <c r="E105" s="431" t="s">
        <v>287</v>
      </c>
      <c r="F105" s="429">
        <v>59.445999999999998</v>
      </c>
      <c r="G105" s="430">
        <v>44.584499999999998</v>
      </c>
      <c r="H105" s="432">
        <v>0</v>
      </c>
      <c r="I105" s="429">
        <v>50.094000000000001</v>
      </c>
      <c r="J105" s="430">
        <v>5.5095000000000001</v>
      </c>
      <c r="K105" s="437">
        <v>0.84268075227899997</v>
      </c>
    </row>
    <row r="106" spans="1:11" ht="14.4" customHeight="1" thickBot="1" x14ac:dyDescent="0.35">
      <c r="A106" s="446" t="s">
        <v>385</v>
      </c>
      <c r="B106" s="424">
        <v>0</v>
      </c>
      <c r="C106" s="424">
        <v>0</v>
      </c>
      <c r="D106" s="425">
        <v>0</v>
      </c>
      <c r="E106" s="434" t="s">
        <v>287</v>
      </c>
      <c r="F106" s="424">
        <v>59.445999999999998</v>
      </c>
      <c r="G106" s="425">
        <v>44.584499999999998</v>
      </c>
      <c r="H106" s="427">
        <v>0</v>
      </c>
      <c r="I106" s="424">
        <v>50.094000000000001</v>
      </c>
      <c r="J106" s="425">
        <v>5.5095000000000001</v>
      </c>
      <c r="K106" s="428">
        <v>0.84268075227899997</v>
      </c>
    </row>
    <row r="107" spans="1:11" ht="14.4" customHeight="1" thickBot="1" x14ac:dyDescent="0.35">
      <c r="A107" s="445" t="s">
        <v>386</v>
      </c>
      <c r="B107" s="429">
        <v>0</v>
      </c>
      <c r="C107" s="429">
        <v>3.6059999999999999</v>
      </c>
      <c r="D107" s="430">
        <v>3.6059999999999999</v>
      </c>
      <c r="E107" s="431" t="s">
        <v>287</v>
      </c>
      <c r="F107" s="429">
        <v>0</v>
      </c>
      <c r="G107" s="430">
        <v>0</v>
      </c>
      <c r="H107" s="432">
        <v>0</v>
      </c>
      <c r="I107" s="429">
        <v>0</v>
      </c>
      <c r="J107" s="430">
        <v>0</v>
      </c>
      <c r="K107" s="433" t="s">
        <v>287</v>
      </c>
    </row>
    <row r="108" spans="1:11" ht="14.4" customHeight="1" thickBot="1" x14ac:dyDescent="0.35">
      <c r="A108" s="446" t="s">
        <v>387</v>
      </c>
      <c r="B108" s="424">
        <v>0</v>
      </c>
      <c r="C108" s="424">
        <v>3.6059999999999999</v>
      </c>
      <c r="D108" s="425">
        <v>3.6059999999999999</v>
      </c>
      <c r="E108" s="434" t="s">
        <v>287</v>
      </c>
      <c r="F108" s="424">
        <v>0</v>
      </c>
      <c r="G108" s="425">
        <v>0</v>
      </c>
      <c r="H108" s="427">
        <v>0</v>
      </c>
      <c r="I108" s="424">
        <v>0</v>
      </c>
      <c r="J108" s="425">
        <v>0</v>
      </c>
      <c r="K108" s="435" t="s">
        <v>287</v>
      </c>
    </row>
    <row r="109" spans="1:11" ht="14.4" customHeight="1" thickBot="1" x14ac:dyDescent="0.35">
      <c r="A109" s="442" t="s">
        <v>388</v>
      </c>
      <c r="B109" s="424">
        <v>5654.87228960634</v>
      </c>
      <c r="C109" s="424">
        <v>6048.6938700000001</v>
      </c>
      <c r="D109" s="425">
        <v>393.82158039366101</v>
      </c>
      <c r="E109" s="426">
        <v>1.069642877897</v>
      </c>
      <c r="F109" s="424">
        <v>5752.1368272560903</v>
      </c>
      <c r="G109" s="425">
        <v>4314.1026204420696</v>
      </c>
      <c r="H109" s="427">
        <v>569.42764</v>
      </c>
      <c r="I109" s="424">
        <v>5105.6995999999999</v>
      </c>
      <c r="J109" s="425">
        <v>791.59697955792899</v>
      </c>
      <c r="K109" s="428">
        <v>0.887617898066</v>
      </c>
    </row>
    <row r="110" spans="1:11" ht="14.4" customHeight="1" thickBot="1" x14ac:dyDescent="0.35">
      <c r="A110" s="443" t="s">
        <v>389</v>
      </c>
      <c r="B110" s="424">
        <v>5604.8615312176298</v>
      </c>
      <c r="C110" s="424">
        <v>6021.6411699999999</v>
      </c>
      <c r="D110" s="425">
        <v>416.77963878237102</v>
      </c>
      <c r="E110" s="426">
        <v>1.0743603809760001</v>
      </c>
      <c r="F110" s="424">
        <v>5731.1332493727105</v>
      </c>
      <c r="G110" s="425">
        <v>4298.3499370295303</v>
      </c>
      <c r="H110" s="427">
        <v>539.37661000000003</v>
      </c>
      <c r="I110" s="424">
        <v>5045.4900699999998</v>
      </c>
      <c r="J110" s="425">
        <v>747.14013297046904</v>
      </c>
      <c r="K110" s="428">
        <v>0.88036516522300001</v>
      </c>
    </row>
    <row r="111" spans="1:11" ht="14.4" customHeight="1" thickBot="1" x14ac:dyDescent="0.35">
      <c r="A111" s="444" t="s">
        <v>390</v>
      </c>
      <c r="B111" s="424">
        <v>5604.8615312176298</v>
      </c>
      <c r="C111" s="424">
        <v>6021.6411699999999</v>
      </c>
      <c r="D111" s="425">
        <v>416.77963878237102</v>
      </c>
      <c r="E111" s="426">
        <v>1.0743603809760001</v>
      </c>
      <c r="F111" s="424">
        <v>5731.1332493727105</v>
      </c>
      <c r="G111" s="425">
        <v>4298.3499370295303</v>
      </c>
      <c r="H111" s="427">
        <v>539.37661000000003</v>
      </c>
      <c r="I111" s="424">
        <v>5045.4900699999998</v>
      </c>
      <c r="J111" s="425">
        <v>747.14013297046904</v>
      </c>
      <c r="K111" s="428">
        <v>0.88036516522300001</v>
      </c>
    </row>
    <row r="112" spans="1:11" ht="14.4" customHeight="1" thickBot="1" x14ac:dyDescent="0.35">
      <c r="A112" s="445" t="s">
        <v>391</v>
      </c>
      <c r="B112" s="429">
        <v>3641.8615312176298</v>
      </c>
      <c r="C112" s="429">
        <v>3941.6800499999999</v>
      </c>
      <c r="D112" s="430">
        <v>299.818518782372</v>
      </c>
      <c r="E112" s="436">
        <v>1.08232562282</v>
      </c>
      <c r="F112" s="429">
        <v>3710.1332493721802</v>
      </c>
      <c r="G112" s="430">
        <v>2782.5999370291302</v>
      </c>
      <c r="H112" s="432">
        <v>388.87299999999999</v>
      </c>
      <c r="I112" s="429">
        <v>3280.5636399999999</v>
      </c>
      <c r="J112" s="430">
        <v>497.96370297086497</v>
      </c>
      <c r="K112" s="437">
        <v>0.88421720178200003</v>
      </c>
    </row>
    <row r="113" spans="1:11" ht="14.4" customHeight="1" thickBot="1" x14ac:dyDescent="0.35">
      <c r="A113" s="446" t="s">
        <v>392</v>
      </c>
      <c r="B113" s="424">
        <v>2534.8075453193401</v>
      </c>
      <c r="C113" s="424">
        <v>2941.5703199999998</v>
      </c>
      <c r="D113" s="425">
        <v>406.76277468065598</v>
      </c>
      <c r="E113" s="426">
        <v>1.160470871025</v>
      </c>
      <c r="F113" s="424">
        <v>2781.1640440699298</v>
      </c>
      <c r="G113" s="425">
        <v>2085.87303305245</v>
      </c>
      <c r="H113" s="427">
        <v>326.73259999999999</v>
      </c>
      <c r="I113" s="424">
        <v>2500.51478</v>
      </c>
      <c r="J113" s="425">
        <v>414.64174694755098</v>
      </c>
      <c r="K113" s="428">
        <v>0.89908928073799999</v>
      </c>
    </row>
    <row r="114" spans="1:11" ht="14.4" customHeight="1" thickBot="1" x14ac:dyDescent="0.35">
      <c r="A114" s="446" t="s">
        <v>393</v>
      </c>
      <c r="B114" s="424">
        <v>60.619384169268002</v>
      </c>
      <c r="C114" s="424">
        <v>36.945999999999998</v>
      </c>
      <c r="D114" s="425">
        <v>-23.673384169268001</v>
      </c>
      <c r="E114" s="426">
        <v>0.60947501374799995</v>
      </c>
      <c r="F114" s="424">
        <v>27</v>
      </c>
      <c r="G114" s="425">
        <v>20.25</v>
      </c>
      <c r="H114" s="427">
        <v>18.465599999999998</v>
      </c>
      <c r="I114" s="424">
        <v>55.456800000000001</v>
      </c>
      <c r="J114" s="425">
        <v>35.206800000000001</v>
      </c>
      <c r="K114" s="428">
        <v>2.053955555555</v>
      </c>
    </row>
    <row r="115" spans="1:11" ht="14.4" customHeight="1" thickBot="1" x14ac:dyDescent="0.35">
      <c r="A115" s="446" t="s">
        <v>394</v>
      </c>
      <c r="B115" s="424">
        <v>131.09853262869299</v>
      </c>
      <c r="C115" s="424">
        <v>66.95</v>
      </c>
      <c r="D115" s="425">
        <v>-64.148532628693005</v>
      </c>
      <c r="E115" s="426">
        <v>0.51068458706200004</v>
      </c>
      <c r="F115" s="424">
        <v>67</v>
      </c>
      <c r="G115" s="425">
        <v>50.25</v>
      </c>
      <c r="H115" s="427">
        <v>2.4239999999999999</v>
      </c>
      <c r="I115" s="424">
        <v>46.933999999999997</v>
      </c>
      <c r="J115" s="425">
        <v>-3.3159999999990002</v>
      </c>
      <c r="K115" s="428">
        <v>0.70050746268599995</v>
      </c>
    </row>
    <row r="116" spans="1:11" ht="14.4" customHeight="1" thickBot="1" x14ac:dyDescent="0.35">
      <c r="A116" s="446" t="s">
        <v>395</v>
      </c>
      <c r="B116" s="424">
        <v>915.33606910032199</v>
      </c>
      <c r="C116" s="424">
        <v>896.21373000000006</v>
      </c>
      <c r="D116" s="425">
        <v>-19.122339100322002</v>
      </c>
      <c r="E116" s="426">
        <v>0.97910894179100005</v>
      </c>
      <c r="F116" s="424">
        <v>834.96920530224702</v>
      </c>
      <c r="G116" s="425">
        <v>626.226903976686</v>
      </c>
      <c r="H116" s="427">
        <v>41.250799999999998</v>
      </c>
      <c r="I116" s="424">
        <v>677.65805999999998</v>
      </c>
      <c r="J116" s="425">
        <v>51.431156023314003</v>
      </c>
      <c r="K116" s="428">
        <v>0.81159647049999994</v>
      </c>
    </row>
    <row r="117" spans="1:11" ht="14.4" customHeight="1" thickBot="1" x14ac:dyDescent="0.35">
      <c r="A117" s="445" t="s">
        <v>396</v>
      </c>
      <c r="B117" s="429">
        <v>0</v>
      </c>
      <c r="C117" s="429">
        <v>3.3508399999999998</v>
      </c>
      <c r="D117" s="430">
        <v>3.3508399999999998</v>
      </c>
      <c r="E117" s="431" t="s">
        <v>293</v>
      </c>
      <c r="F117" s="429">
        <v>2</v>
      </c>
      <c r="G117" s="430">
        <v>1.5</v>
      </c>
      <c r="H117" s="432">
        <v>0</v>
      </c>
      <c r="I117" s="429">
        <v>0</v>
      </c>
      <c r="J117" s="430">
        <v>-1.5</v>
      </c>
      <c r="K117" s="437">
        <v>0</v>
      </c>
    </row>
    <row r="118" spans="1:11" ht="14.4" customHeight="1" thickBot="1" x14ac:dyDescent="0.35">
      <c r="A118" s="446" t="s">
        <v>397</v>
      </c>
      <c r="B118" s="424">
        <v>0</v>
      </c>
      <c r="C118" s="424">
        <v>3.3508399999999998</v>
      </c>
      <c r="D118" s="425">
        <v>3.3508399999999998</v>
      </c>
      <c r="E118" s="434" t="s">
        <v>293</v>
      </c>
      <c r="F118" s="424">
        <v>2</v>
      </c>
      <c r="G118" s="425">
        <v>1.5</v>
      </c>
      <c r="H118" s="427">
        <v>0</v>
      </c>
      <c r="I118" s="424">
        <v>0</v>
      </c>
      <c r="J118" s="425">
        <v>-1.5</v>
      </c>
      <c r="K118" s="428">
        <v>0</v>
      </c>
    </row>
    <row r="119" spans="1:11" ht="14.4" customHeight="1" thickBot="1" x14ac:dyDescent="0.35">
      <c r="A119" s="445" t="s">
        <v>398</v>
      </c>
      <c r="B119" s="429">
        <v>0</v>
      </c>
      <c r="C119" s="429">
        <v>0.58899999999999997</v>
      </c>
      <c r="D119" s="430">
        <v>0.58899999999999997</v>
      </c>
      <c r="E119" s="431" t="s">
        <v>293</v>
      </c>
      <c r="F119" s="429">
        <v>2</v>
      </c>
      <c r="G119" s="430">
        <v>1.5</v>
      </c>
      <c r="H119" s="432">
        <v>0</v>
      </c>
      <c r="I119" s="429">
        <v>0</v>
      </c>
      <c r="J119" s="430">
        <v>-1.5</v>
      </c>
      <c r="K119" s="437">
        <v>0</v>
      </c>
    </row>
    <row r="120" spans="1:11" ht="14.4" customHeight="1" thickBot="1" x14ac:dyDescent="0.35">
      <c r="A120" s="446" t="s">
        <v>399</v>
      </c>
      <c r="B120" s="424">
        <v>0</v>
      </c>
      <c r="C120" s="424">
        <v>0.58899999999999997</v>
      </c>
      <c r="D120" s="425">
        <v>0.58899999999999997</v>
      </c>
      <c r="E120" s="434" t="s">
        <v>293</v>
      </c>
      <c r="F120" s="424">
        <v>2</v>
      </c>
      <c r="G120" s="425">
        <v>1.5</v>
      </c>
      <c r="H120" s="427">
        <v>0</v>
      </c>
      <c r="I120" s="424">
        <v>0</v>
      </c>
      <c r="J120" s="425">
        <v>-1.5</v>
      </c>
      <c r="K120" s="428">
        <v>0</v>
      </c>
    </row>
    <row r="121" spans="1:11" ht="14.4" customHeight="1" thickBot="1" x14ac:dyDescent="0.35">
      <c r="A121" s="445" t="s">
        <v>400</v>
      </c>
      <c r="B121" s="429">
        <v>1963</v>
      </c>
      <c r="C121" s="429">
        <v>1886.7173700000001</v>
      </c>
      <c r="D121" s="430">
        <v>-76.282630000001006</v>
      </c>
      <c r="E121" s="436">
        <v>0.96113977075900003</v>
      </c>
      <c r="F121" s="429">
        <v>2017.00000000053</v>
      </c>
      <c r="G121" s="430">
        <v>1512.7500000004</v>
      </c>
      <c r="H121" s="432">
        <v>174.55430000000001</v>
      </c>
      <c r="I121" s="429">
        <v>1707.08078</v>
      </c>
      <c r="J121" s="430">
        <v>194.330779999605</v>
      </c>
      <c r="K121" s="437">
        <v>0.84634644521500002</v>
      </c>
    </row>
    <row r="122" spans="1:11" ht="14.4" customHeight="1" thickBot="1" x14ac:dyDescent="0.35">
      <c r="A122" s="446" t="s">
        <v>401</v>
      </c>
      <c r="B122" s="424">
        <v>718</v>
      </c>
      <c r="C122" s="424">
        <v>708.52462000000003</v>
      </c>
      <c r="D122" s="425">
        <v>-9.4753799999999995</v>
      </c>
      <c r="E122" s="426">
        <v>0.986803091922</v>
      </c>
      <c r="F122" s="424">
        <v>801.00000000020896</v>
      </c>
      <c r="G122" s="425">
        <v>600.750000000157</v>
      </c>
      <c r="H122" s="427">
        <v>59.734020000000001</v>
      </c>
      <c r="I122" s="424">
        <v>626.75770999999997</v>
      </c>
      <c r="J122" s="425">
        <v>26.007709999843001</v>
      </c>
      <c r="K122" s="428">
        <v>0.78246905118499999</v>
      </c>
    </row>
    <row r="123" spans="1:11" ht="14.4" customHeight="1" thickBot="1" x14ac:dyDescent="0.35">
      <c r="A123" s="446" t="s">
        <v>402</v>
      </c>
      <c r="B123" s="424">
        <v>1245</v>
      </c>
      <c r="C123" s="424">
        <v>1178.1927499999999</v>
      </c>
      <c r="D123" s="425">
        <v>-66.807249999999996</v>
      </c>
      <c r="E123" s="426">
        <v>0.946339558232</v>
      </c>
      <c r="F123" s="424">
        <v>1216.0000000003199</v>
      </c>
      <c r="G123" s="425">
        <v>912.00000000023795</v>
      </c>
      <c r="H123" s="427">
        <v>114.82028</v>
      </c>
      <c r="I123" s="424">
        <v>1080.3230699999999</v>
      </c>
      <c r="J123" s="425">
        <v>168.323069999762</v>
      </c>
      <c r="K123" s="428">
        <v>0.88842357730199994</v>
      </c>
    </row>
    <row r="124" spans="1:11" ht="14.4" customHeight="1" thickBot="1" x14ac:dyDescent="0.35">
      <c r="A124" s="445" t="s">
        <v>403</v>
      </c>
      <c r="B124" s="429">
        <v>0</v>
      </c>
      <c r="C124" s="429">
        <v>189.30391</v>
      </c>
      <c r="D124" s="430">
        <v>189.30391</v>
      </c>
      <c r="E124" s="431" t="s">
        <v>287</v>
      </c>
      <c r="F124" s="429">
        <v>0</v>
      </c>
      <c r="G124" s="430">
        <v>0</v>
      </c>
      <c r="H124" s="432">
        <v>-24.050689999999999</v>
      </c>
      <c r="I124" s="429">
        <v>57.845649999999999</v>
      </c>
      <c r="J124" s="430">
        <v>57.845649999999999</v>
      </c>
      <c r="K124" s="433" t="s">
        <v>287</v>
      </c>
    </row>
    <row r="125" spans="1:11" ht="14.4" customHeight="1" thickBot="1" x14ac:dyDescent="0.35">
      <c r="A125" s="446" t="s">
        <v>404</v>
      </c>
      <c r="B125" s="424">
        <v>0</v>
      </c>
      <c r="C125" s="424">
        <v>14.09624</v>
      </c>
      <c r="D125" s="425">
        <v>14.09624</v>
      </c>
      <c r="E125" s="434" t="s">
        <v>287</v>
      </c>
      <c r="F125" s="424">
        <v>0</v>
      </c>
      <c r="G125" s="425">
        <v>0</v>
      </c>
      <c r="H125" s="427">
        <v>0</v>
      </c>
      <c r="I125" s="424">
        <v>17.510300000000001</v>
      </c>
      <c r="J125" s="425">
        <v>17.510300000000001</v>
      </c>
      <c r="K125" s="435" t="s">
        <v>287</v>
      </c>
    </row>
    <row r="126" spans="1:11" ht="14.4" customHeight="1" thickBot="1" x14ac:dyDescent="0.35">
      <c r="A126" s="446" t="s">
        <v>405</v>
      </c>
      <c r="B126" s="424">
        <v>0</v>
      </c>
      <c r="C126" s="424">
        <v>175.20767000000001</v>
      </c>
      <c r="D126" s="425">
        <v>175.20767000000001</v>
      </c>
      <c r="E126" s="434" t="s">
        <v>287</v>
      </c>
      <c r="F126" s="424">
        <v>0</v>
      </c>
      <c r="G126" s="425">
        <v>0</v>
      </c>
      <c r="H126" s="427">
        <v>-24.050689999999999</v>
      </c>
      <c r="I126" s="424">
        <v>40.335349999999998</v>
      </c>
      <c r="J126" s="425">
        <v>40.335349999999998</v>
      </c>
      <c r="K126" s="435" t="s">
        <v>287</v>
      </c>
    </row>
    <row r="127" spans="1:11" ht="14.4" customHeight="1" thickBot="1" x14ac:dyDescent="0.35">
      <c r="A127" s="443" t="s">
        <v>406</v>
      </c>
      <c r="B127" s="424">
        <v>50.010758388710002</v>
      </c>
      <c r="C127" s="424">
        <v>27.052700000000002</v>
      </c>
      <c r="D127" s="425">
        <v>-22.95805838871</v>
      </c>
      <c r="E127" s="426">
        <v>0.54093760765800003</v>
      </c>
      <c r="F127" s="424">
        <v>21.003577883384999</v>
      </c>
      <c r="G127" s="425">
        <v>15.752683412539</v>
      </c>
      <c r="H127" s="427">
        <v>30.051030000000001</v>
      </c>
      <c r="I127" s="424">
        <v>60.209530000000001</v>
      </c>
      <c r="J127" s="425">
        <v>44.456846587459999</v>
      </c>
      <c r="K127" s="428">
        <v>2.8666320726059999</v>
      </c>
    </row>
    <row r="128" spans="1:11" ht="14.4" customHeight="1" thickBot="1" x14ac:dyDescent="0.35">
      <c r="A128" s="449" t="s">
        <v>407</v>
      </c>
      <c r="B128" s="429">
        <v>50.010758388710002</v>
      </c>
      <c r="C128" s="429">
        <v>27.052700000000002</v>
      </c>
      <c r="D128" s="430">
        <v>-22.95805838871</v>
      </c>
      <c r="E128" s="436">
        <v>0.54093760765800003</v>
      </c>
      <c r="F128" s="429">
        <v>21.003577883384999</v>
      </c>
      <c r="G128" s="430">
        <v>15.752683412539</v>
      </c>
      <c r="H128" s="432">
        <v>30.051030000000001</v>
      </c>
      <c r="I128" s="429">
        <v>60.209530000000001</v>
      </c>
      <c r="J128" s="430">
        <v>44.456846587459999</v>
      </c>
      <c r="K128" s="437">
        <v>2.8666320726059999</v>
      </c>
    </row>
    <row r="129" spans="1:11" ht="14.4" customHeight="1" thickBot="1" x14ac:dyDescent="0.35">
      <c r="A129" s="445" t="s">
        <v>408</v>
      </c>
      <c r="B129" s="429">
        <v>0</v>
      </c>
      <c r="C129" s="429">
        <v>-3.841E-2</v>
      </c>
      <c r="D129" s="430">
        <v>-3.841E-2</v>
      </c>
      <c r="E129" s="431" t="s">
        <v>287</v>
      </c>
      <c r="F129" s="429">
        <v>0</v>
      </c>
      <c r="G129" s="430">
        <v>0</v>
      </c>
      <c r="H129" s="432">
        <v>2.1099999999999999E-3</v>
      </c>
      <c r="I129" s="429">
        <v>3.526E-2</v>
      </c>
      <c r="J129" s="430">
        <v>3.526E-2</v>
      </c>
      <c r="K129" s="433" t="s">
        <v>287</v>
      </c>
    </row>
    <row r="130" spans="1:11" ht="14.4" customHeight="1" thickBot="1" x14ac:dyDescent="0.35">
      <c r="A130" s="446" t="s">
        <v>409</v>
      </c>
      <c r="B130" s="424">
        <v>0</v>
      </c>
      <c r="C130" s="424">
        <v>-3.841E-2</v>
      </c>
      <c r="D130" s="425">
        <v>-3.841E-2</v>
      </c>
      <c r="E130" s="434" t="s">
        <v>287</v>
      </c>
      <c r="F130" s="424">
        <v>0</v>
      </c>
      <c r="G130" s="425">
        <v>0</v>
      </c>
      <c r="H130" s="427">
        <v>2.1099999999999999E-3</v>
      </c>
      <c r="I130" s="424">
        <v>3.526E-2</v>
      </c>
      <c r="J130" s="425">
        <v>3.526E-2</v>
      </c>
      <c r="K130" s="435" t="s">
        <v>287</v>
      </c>
    </row>
    <row r="131" spans="1:11" ht="14.4" customHeight="1" thickBot="1" x14ac:dyDescent="0.35">
      <c r="A131" s="445" t="s">
        <v>410</v>
      </c>
      <c r="B131" s="429">
        <v>50.010758388710002</v>
      </c>
      <c r="C131" s="429">
        <v>27.09111</v>
      </c>
      <c r="D131" s="430">
        <v>-22.919648388710002</v>
      </c>
      <c r="E131" s="436">
        <v>0.54170564240200003</v>
      </c>
      <c r="F131" s="429">
        <v>21.003577883384999</v>
      </c>
      <c r="G131" s="430">
        <v>15.752683412539</v>
      </c>
      <c r="H131" s="432">
        <v>30.048919999999999</v>
      </c>
      <c r="I131" s="429">
        <v>59.691130000000001</v>
      </c>
      <c r="J131" s="430">
        <v>43.93844658746</v>
      </c>
      <c r="K131" s="437">
        <v>2.8419505634419999</v>
      </c>
    </row>
    <row r="132" spans="1:11" ht="14.4" customHeight="1" thickBot="1" x14ac:dyDescent="0.35">
      <c r="A132" s="446" t="s">
        <v>411</v>
      </c>
      <c r="B132" s="424">
        <v>0</v>
      </c>
      <c r="C132" s="424">
        <v>0.129</v>
      </c>
      <c r="D132" s="425">
        <v>0.129</v>
      </c>
      <c r="E132" s="434" t="s">
        <v>287</v>
      </c>
      <c r="F132" s="424">
        <v>0</v>
      </c>
      <c r="G132" s="425">
        <v>0</v>
      </c>
      <c r="H132" s="427">
        <v>0</v>
      </c>
      <c r="I132" s="424">
        <v>1.7000000000000001E-2</v>
      </c>
      <c r="J132" s="425">
        <v>1.7000000000000001E-2</v>
      </c>
      <c r="K132" s="435" t="s">
        <v>287</v>
      </c>
    </row>
    <row r="133" spans="1:11" ht="14.4" customHeight="1" thickBot="1" x14ac:dyDescent="0.35">
      <c r="A133" s="446" t="s">
        <v>412</v>
      </c>
      <c r="B133" s="424">
        <v>48.819536412159998</v>
      </c>
      <c r="C133" s="424">
        <v>26.9</v>
      </c>
      <c r="D133" s="425">
        <v>-21.919536412159999</v>
      </c>
      <c r="E133" s="426">
        <v>0.55100891931600005</v>
      </c>
      <c r="F133" s="424">
        <v>21</v>
      </c>
      <c r="G133" s="425">
        <v>15.75</v>
      </c>
      <c r="H133" s="427">
        <v>13.52</v>
      </c>
      <c r="I133" s="424">
        <v>30.17</v>
      </c>
      <c r="J133" s="425">
        <v>14.42</v>
      </c>
      <c r="K133" s="428">
        <v>1.436666666666</v>
      </c>
    </row>
    <row r="134" spans="1:11" ht="14.4" customHeight="1" thickBot="1" x14ac:dyDescent="0.35">
      <c r="A134" s="446" t="s">
        <v>413</v>
      </c>
      <c r="B134" s="424">
        <v>0</v>
      </c>
      <c r="C134" s="424">
        <v>4.1099999999999999E-3</v>
      </c>
      <c r="D134" s="425">
        <v>4.1099999999999999E-3</v>
      </c>
      <c r="E134" s="434" t="s">
        <v>293</v>
      </c>
      <c r="F134" s="424">
        <v>3.5778833850000002E-3</v>
      </c>
      <c r="G134" s="425">
        <v>2.6834125390000001E-3</v>
      </c>
      <c r="H134" s="427">
        <v>0</v>
      </c>
      <c r="I134" s="424">
        <v>0</v>
      </c>
      <c r="J134" s="425">
        <v>-2.6834125390000001E-3</v>
      </c>
      <c r="K134" s="428">
        <v>0</v>
      </c>
    </row>
    <row r="135" spans="1:11" ht="14.4" customHeight="1" thickBot="1" x14ac:dyDescent="0.35">
      <c r="A135" s="446" t="s">
        <v>414</v>
      </c>
      <c r="B135" s="424">
        <v>0</v>
      </c>
      <c r="C135" s="424">
        <v>5.8000000000000003E-2</v>
      </c>
      <c r="D135" s="425">
        <v>5.8000000000000003E-2</v>
      </c>
      <c r="E135" s="434" t="s">
        <v>293</v>
      </c>
      <c r="F135" s="424">
        <v>0</v>
      </c>
      <c r="G135" s="425">
        <v>0</v>
      </c>
      <c r="H135" s="427">
        <v>0</v>
      </c>
      <c r="I135" s="424">
        <v>0</v>
      </c>
      <c r="J135" s="425">
        <v>0</v>
      </c>
      <c r="K135" s="428">
        <v>0</v>
      </c>
    </row>
    <row r="136" spans="1:11" ht="14.4" customHeight="1" thickBot="1" x14ac:dyDescent="0.35">
      <c r="A136" s="446" t="s">
        <v>415</v>
      </c>
      <c r="B136" s="424">
        <v>1.1912219765500001</v>
      </c>
      <c r="C136" s="424">
        <v>0</v>
      </c>
      <c r="D136" s="425">
        <v>-1.1912219765500001</v>
      </c>
      <c r="E136" s="426">
        <v>0</v>
      </c>
      <c r="F136" s="424">
        <v>0</v>
      </c>
      <c r="G136" s="425">
        <v>0</v>
      </c>
      <c r="H136" s="427">
        <v>16.528919999999999</v>
      </c>
      <c r="I136" s="424">
        <v>29.50413</v>
      </c>
      <c r="J136" s="425">
        <v>29.50413</v>
      </c>
      <c r="K136" s="435" t="s">
        <v>293</v>
      </c>
    </row>
    <row r="137" spans="1:11" ht="14.4" customHeight="1" thickBot="1" x14ac:dyDescent="0.35">
      <c r="A137" s="445" t="s">
        <v>416</v>
      </c>
      <c r="B137" s="429">
        <v>0</v>
      </c>
      <c r="C137" s="429">
        <v>0</v>
      </c>
      <c r="D137" s="430">
        <v>0</v>
      </c>
      <c r="E137" s="436">
        <v>1</v>
      </c>
      <c r="F137" s="429">
        <v>0</v>
      </c>
      <c r="G137" s="430">
        <v>0</v>
      </c>
      <c r="H137" s="432">
        <v>0</v>
      </c>
      <c r="I137" s="429">
        <v>0.48314000000000001</v>
      </c>
      <c r="J137" s="430">
        <v>0.48314000000000001</v>
      </c>
      <c r="K137" s="433" t="s">
        <v>293</v>
      </c>
    </row>
    <row r="138" spans="1:11" ht="14.4" customHeight="1" thickBot="1" x14ac:dyDescent="0.35">
      <c r="A138" s="446" t="s">
        <v>417</v>
      </c>
      <c r="B138" s="424">
        <v>0</v>
      </c>
      <c r="C138" s="424">
        <v>0</v>
      </c>
      <c r="D138" s="425">
        <v>0</v>
      </c>
      <c r="E138" s="426">
        <v>1</v>
      </c>
      <c r="F138" s="424">
        <v>0</v>
      </c>
      <c r="G138" s="425">
        <v>0</v>
      </c>
      <c r="H138" s="427">
        <v>0</v>
      </c>
      <c r="I138" s="424">
        <v>0.48314000000000001</v>
      </c>
      <c r="J138" s="425">
        <v>0.48314000000000001</v>
      </c>
      <c r="K138" s="435" t="s">
        <v>293</v>
      </c>
    </row>
    <row r="139" spans="1:11" ht="14.4" customHeight="1" thickBot="1" x14ac:dyDescent="0.35">
      <c r="A139" s="442" t="s">
        <v>418</v>
      </c>
      <c r="B139" s="424">
        <v>1321.0015593989201</v>
      </c>
      <c r="C139" s="424">
        <v>1316.13417</v>
      </c>
      <c r="D139" s="425">
        <v>-4.8673893989219996</v>
      </c>
      <c r="E139" s="426">
        <v>0.99631537952000004</v>
      </c>
      <c r="F139" s="424">
        <v>1298.4410050310601</v>
      </c>
      <c r="G139" s="425">
        <v>973.83075377329601</v>
      </c>
      <c r="H139" s="427">
        <v>103.42829</v>
      </c>
      <c r="I139" s="424">
        <v>934.199170000001</v>
      </c>
      <c r="J139" s="425">
        <v>-39.631583773294999</v>
      </c>
      <c r="K139" s="428">
        <v>0.71947756299999999</v>
      </c>
    </row>
    <row r="140" spans="1:11" ht="14.4" customHeight="1" thickBot="1" x14ac:dyDescent="0.35">
      <c r="A140" s="447" t="s">
        <v>419</v>
      </c>
      <c r="B140" s="429">
        <v>1321.0015593989201</v>
      </c>
      <c r="C140" s="429">
        <v>1316.13417</v>
      </c>
      <c r="D140" s="430">
        <v>-4.8673893989219996</v>
      </c>
      <c r="E140" s="436">
        <v>0.99631537952000004</v>
      </c>
      <c r="F140" s="429">
        <v>1298.4410050310601</v>
      </c>
      <c r="G140" s="430">
        <v>973.83075377329601</v>
      </c>
      <c r="H140" s="432">
        <v>103.42829</v>
      </c>
      <c r="I140" s="429">
        <v>934.199170000001</v>
      </c>
      <c r="J140" s="430">
        <v>-39.631583773294999</v>
      </c>
      <c r="K140" s="437">
        <v>0.71947756299999999</v>
      </c>
    </row>
    <row r="141" spans="1:11" ht="14.4" customHeight="1" thickBot="1" x14ac:dyDescent="0.35">
      <c r="A141" s="449" t="s">
        <v>54</v>
      </c>
      <c r="B141" s="429">
        <v>1321.0015593989201</v>
      </c>
      <c r="C141" s="429">
        <v>1316.13417</v>
      </c>
      <c r="D141" s="430">
        <v>-4.8673893989219996</v>
      </c>
      <c r="E141" s="436">
        <v>0.99631537952000004</v>
      </c>
      <c r="F141" s="429">
        <v>1298.4410050310601</v>
      </c>
      <c r="G141" s="430">
        <v>973.83075377329601</v>
      </c>
      <c r="H141" s="432">
        <v>103.42829</v>
      </c>
      <c r="I141" s="429">
        <v>934.199170000001</v>
      </c>
      <c r="J141" s="430">
        <v>-39.631583773294999</v>
      </c>
      <c r="K141" s="437">
        <v>0.71947756299999999</v>
      </c>
    </row>
    <row r="142" spans="1:11" ht="14.4" customHeight="1" thickBot="1" x14ac:dyDescent="0.35">
      <c r="A142" s="445" t="s">
        <v>420</v>
      </c>
      <c r="B142" s="429">
        <v>17</v>
      </c>
      <c r="C142" s="429">
        <v>25.74</v>
      </c>
      <c r="D142" s="430">
        <v>8.74</v>
      </c>
      <c r="E142" s="436">
        <v>1.514117647058</v>
      </c>
      <c r="F142" s="429">
        <v>27.862756224478002</v>
      </c>
      <c r="G142" s="430">
        <v>20.897067168357999</v>
      </c>
      <c r="H142" s="432">
        <v>2.7160000000000002</v>
      </c>
      <c r="I142" s="429">
        <v>24.452000000000002</v>
      </c>
      <c r="J142" s="430">
        <v>3.554932831641</v>
      </c>
      <c r="K142" s="437">
        <v>0.87758726390800001</v>
      </c>
    </row>
    <row r="143" spans="1:11" ht="14.4" customHeight="1" thickBot="1" x14ac:dyDescent="0.35">
      <c r="A143" s="446" t="s">
        <v>421</v>
      </c>
      <c r="B143" s="424">
        <v>17</v>
      </c>
      <c r="C143" s="424">
        <v>25.74</v>
      </c>
      <c r="D143" s="425">
        <v>8.74</v>
      </c>
      <c r="E143" s="426">
        <v>1.514117647058</v>
      </c>
      <c r="F143" s="424">
        <v>27.862756224478002</v>
      </c>
      <c r="G143" s="425">
        <v>20.897067168357999</v>
      </c>
      <c r="H143" s="427">
        <v>2.7160000000000002</v>
      </c>
      <c r="I143" s="424">
        <v>24.452000000000002</v>
      </c>
      <c r="J143" s="425">
        <v>3.554932831641</v>
      </c>
      <c r="K143" s="428">
        <v>0.87758726390800001</v>
      </c>
    </row>
    <row r="144" spans="1:11" ht="14.4" customHeight="1" thickBot="1" x14ac:dyDescent="0.35">
      <c r="A144" s="445" t="s">
        <v>422</v>
      </c>
      <c r="B144" s="429">
        <v>11.001559398922</v>
      </c>
      <c r="C144" s="429">
        <v>8.2559000000000005</v>
      </c>
      <c r="D144" s="430">
        <v>-2.7456593989220002</v>
      </c>
      <c r="E144" s="436">
        <v>0.75042998002700001</v>
      </c>
      <c r="F144" s="429">
        <v>9.2508408133090008</v>
      </c>
      <c r="G144" s="430">
        <v>6.9381306099820002</v>
      </c>
      <c r="H144" s="432">
        <v>0.88200000000000001</v>
      </c>
      <c r="I144" s="429">
        <v>9.8140199999999993</v>
      </c>
      <c r="J144" s="430">
        <v>2.8758893900169999</v>
      </c>
      <c r="K144" s="437">
        <v>1.060878702601</v>
      </c>
    </row>
    <row r="145" spans="1:11" ht="14.4" customHeight="1" thickBot="1" x14ac:dyDescent="0.35">
      <c r="A145" s="446" t="s">
        <v>423</v>
      </c>
      <c r="B145" s="424">
        <v>11.001559398922</v>
      </c>
      <c r="C145" s="424">
        <v>8.2559000000000005</v>
      </c>
      <c r="D145" s="425">
        <v>-2.7456593989220002</v>
      </c>
      <c r="E145" s="426">
        <v>0.75042998002700001</v>
      </c>
      <c r="F145" s="424">
        <v>0</v>
      </c>
      <c r="G145" s="425">
        <v>0</v>
      </c>
      <c r="H145" s="427">
        <v>0</v>
      </c>
      <c r="I145" s="424">
        <v>1.6875389974302402E-14</v>
      </c>
      <c r="J145" s="425">
        <v>1.6875389974302402E-14</v>
      </c>
      <c r="K145" s="435" t="s">
        <v>287</v>
      </c>
    </row>
    <row r="146" spans="1:11" ht="14.4" customHeight="1" thickBot="1" x14ac:dyDescent="0.35">
      <c r="A146" s="446" t="s">
        <v>424</v>
      </c>
      <c r="B146" s="424">
        <v>0</v>
      </c>
      <c r="C146" s="424">
        <v>0</v>
      </c>
      <c r="D146" s="425">
        <v>0</v>
      </c>
      <c r="E146" s="426">
        <v>1</v>
      </c>
      <c r="F146" s="424">
        <v>1.2942322681209999</v>
      </c>
      <c r="G146" s="425">
        <v>0.970674201091</v>
      </c>
      <c r="H146" s="427">
        <v>0</v>
      </c>
      <c r="I146" s="424">
        <v>2.2200000000000002</v>
      </c>
      <c r="J146" s="425">
        <v>1.249325798908</v>
      </c>
      <c r="K146" s="428">
        <v>1.715302619692</v>
      </c>
    </row>
    <row r="147" spans="1:11" ht="14.4" customHeight="1" thickBot="1" x14ac:dyDescent="0.35">
      <c r="A147" s="446" t="s">
        <v>425</v>
      </c>
      <c r="B147" s="424">
        <v>0</v>
      </c>
      <c r="C147" s="424">
        <v>0</v>
      </c>
      <c r="D147" s="425">
        <v>0</v>
      </c>
      <c r="E147" s="426">
        <v>1</v>
      </c>
      <c r="F147" s="424">
        <v>7.9566085451879998</v>
      </c>
      <c r="G147" s="425">
        <v>5.9674564088909996</v>
      </c>
      <c r="H147" s="427">
        <v>0.88200000000000001</v>
      </c>
      <c r="I147" s="424">
        <v>7.5940200000000004</v>
      </c>
      <c r="J147" s="425">
        <v>1.6265635911080001</v>
      </c>
      <c r="K147" s="428">
        <v>0.95442925925900002</v>
      </c>
    </row>
    <row r="148" spans="1:11" ht="14.4" customHeight="1" thickBot="1" x14ac:dyDescent="0.35">
      <c r="A148" s="445" t="s">
        <v>426</v>
      </c>
      <c r="B148" s="429">
        <v>39</v>
      </c>
      <c r="C148" s="429">
        <v>29.834019999999999</v>
      </c>
      <c r="D148" s="430">
        <v>-9.1659799999989993</v>
      </c>
      <c r="E148" s="436">
        <v>0.76497487179400003</v>
      </c>
      <c r="F148" s="429">
        <v>29.393090988152</v>
      </c>
      <c r="G148" s="430">
        <v>22.044818241114001</v>
      </c>
      <c r="H148" s="432">
        <v>3.2378999999999998</v>
      </c>
      <c r="I148" s="429">
        <v>24.124279999999999</v>
      </c>
      <c r="J148" s="430">
        <v>2.079461758885</v>
      </c>
      <c r="K148" s="437">
        <v>0.82074661728200005</v>
      </c>
    </row>
    <row r="149" spans="1:11" ht="14.4" customHeight="1" thickBot="1" x14ac:dyDescent="0.35">
      <c r="A149" s="446" t="s">
        <v>427</v>
      </c>
      <c r="B149" s="424">
        <v>39</v>
      </c>
      <c r="C149" s="424">
        <v>29.834019999999999</v>
      </c>
      <c r="D149" s="425">
        <v>-9.1659799999989993</v>
      </c>
      <c r="E149" s="426">
        <v>0.76497487179400003</v>
      </c>
      <c r="F149" s="424">
        <v>29.393090988152</v>
      </c>
      <c r="G149" s="425">
        <v>22.044818241114001</v>
      </c>
      <c r="H149" s="427">
        <v>3.2378999999999998</v>
      </c>
      <c r="I149" s="424">
        <v>24.124279999999999</v>
      </c>
      <c r="J149" s="425">
        <v>2.079461758885</v>
      </c>
      <c r="K149" s="428">
        <v>0.82074661728200005</v>
      </c>
    </row>
    <row r="150" spans="1:11" ht="14.4" customHeight="1" thickBot="1" x14ac:dyDescent="0.35">
      <c r="A150" s="445" t="s">
        <v>428</v>
      </c>
      <c r="B150" s="429">
        <v>0</v>
      </c>
      <c r="C150" s="429">
        <v>1.034</v>
      </c>
      <c r="D150" s="430">
        <v>1.034</v>
      </c>
      <c r="E150" s="431" t="s">
        <v>293</v>
      </c>
      <c r="F150" s="429">
        <v>0</v>
      </c>
      <c r="G150" s="430">
        <v>0</v>
      </c>
      <c r="H150" s="432">
        <v>6.7000000000000004E-2</v>
      </c>
      <c r="I150" s="429">
        <v>0.88100000000000001</v>
      </c>
      <c r="J150" s="430">
        <v>0.88100000000000001</v>
      </c>
      <c r="K150" s="433" t="s">
        <v>287</v>
      </c>
    </row>
    <row r="151" spans="1:11" ht="14.4" customHeight="1" thickBot="1" x14ac:dyDescent="0.35">
      <c r="A151" s="446" t="s">
        <v>429</v>
      </c>
      <c r="B151" s="424">
        <v>0</v>
      </c>
      <c r="C151" s="424">
        <v>1.034</v>
      </c>
      <c r="D151" s="425">
        <v>1.034</v>
      </c>
      <c r="E151" s="434" t="s">
        <v>293</v>
      </c>
      <c r="F151" s="424">
        <v>0</v>
      </c>
      <c r="G151" s="425">
        <v>0</v>
      </c>
      <c r="H151" s="427">
        <v>6.7000000000000004E-2</v>
      </c>
      <c r="I151" s="424">
        <v>0.88100000000000001</v>
      </c>
      <c r="J151" s="425">
        <v>0.88100000000000001</v>
      </c>
      <c r="K151" s="435" t="s">
        <v>287</v>
      </c>
    </row>
    <row r="152" spans="1:11" ht="14.4" customHeight="1" thickBot="1" x14ac:dyDescent="0.35">
      <c r="A152" s="445" t="s">
        <v>430</v>
      </c>
      <c r="B152" s="429">
        <v>489</v>
      </c>
      <c r="C152" s="429">
        <v>430.84708000000001</v>
      </c>
      <c r="D152" s="430">
        <v>-58.152920000000002</v>
      </c>
      <c r="E152" s="436">
        <v>0.88107787320999997</v>
      </c>
      <c r="F152" s="429">
        <v>439</v>
      </c>
      <c r="G152" s="430">
        <v>329.25</v>
      </c>
      <c r="H152" s="432">
        <v>32.524430000000002</v>
      </c>
      <c r="I152" s="429">
        <v>278.35827999999998</v>
      </c>
      <c r="J152" s="430">
        <v>-50.891719999998998</v>
      </c>
      <c r="K152" s="437">
        <v>0.63407353075100004</v>
      </c>
    </row>
    <row r="153" spans="1:11" ht="14.4" customHeight="1" thickBot="1" x14ac:dyDescent="0.35">
      <c r="A153" s="446" t="s">
        <v>431</v>
      </c>
      <c r="B153" s="424">
        <v>483</v>
      </c>
      <c r="C153" s="424">
        <v>424.17072999999999</v>
      </c>
      <c r="D153" s="425">
        <v>-58.829270000000001</v>
      </c>
      <c r="E153" s="426">
        <v>0.87820026915100002</v>
      </c>
      <c r="F153" s="424">
        <v>439</v>
      </c>
      <c r="G153" s="425">
        <v>329.25</v>
      </c>
      <c r="H153" s="427">
        <v>32.524430000000002</v>
      </c>
      <c r="I153" s="424">
        <v>278.35827999999998</v>
      </c>
      <c r="J153" s="425">
        <v>-50.891719999998998</v>
      </c>
      <c r="K153" s="428">
        <v>0.63407353075100004</v>
      </c>
    </row>
    <row r="154" spans="1:11" ht="14.4" customHeight="1" thickBot="1" x14ac:dyDescent="0.35">
      <c r="A154" s="446" t="s">
        <v>432</v>
      </c>
      <c r="B154" s="424">
        <v>6</v>
      </c>
      <c r="C154" s="424">
        <v>6.6763500000000002</v>
      </c>
      <c r="D154" s="425">
        <v>0.67635000000000001</v>
      </c>
      <c r="E154" s="426">
        <v>1.112725</v>
      </c>
      <c r="F154" s="424">
        <v>0</v>
      </c>
      <c r="G154" s="425">
        <v>0</v>
      </c>
      <c r="H154" s="427">
        <v>0</v>
      </c>
      <c r="I154" s="424">
        <v>0</v>
      </c>
      <c r="J154" s="425">
        <v>0</v>
      </c>
      <c r="K154" s="435" t="s">
        <v>287</v>
      </c>
    </row>
    <row r="155" spans="1:11" ht="14.4" customHeight="1" thickBot="1" x14ac:dyDescent="0.35">
      <c r="A155" s="445" t="s">
        <v>433</v>
      </c>
      <c r="B155" s="429">
        <v>0</v>
      </c>
      <c r="C155" s="429">
        <v>2.5289999999999999</v>
      </c>
      <c r="D155" s="430">
        <v>2.5289999999999999</v>
      </c>
      <c r="E155" s="431" t="s">
        <v>293</v>
      </c>
      <c r="F155" s="429">
        <v>0</v>
      </c>
      <c r="G155" s="430">
        <v>0</v>
      </c>
      <c r="H155" s="432">
        <v>0</v>
      </c>
      <c r="I155" s="429">
        <v>1.8773299999999999</v>
      </c>
      <c r="J155" s="430">
        <v>1.8773299999999999</v>
      </c>
      <c r="K155" s="433" t="s">
        <v>287</v>
      </c>
    </row>
    <row r="156" spans="1:11" ht="14.4" customHeight="1" thickBot="1" x14ac:dyDescent="0.35">
      <c r="A156" s="446" t="s">
        <v>434</v>
      </c>
      <c r="B156" s="424">
        <v>0</v>
      </c>
      <c r="C156" s="424">
        <v>2.5289999999999999</v>
      </c>
      <c r="D156" s="425">
        <v>2.5289999999999999</v>
      </c>
      <c r="E156" s="434" t="s">
        <v>293</v>
      </c>
      <c r="F156" s="424">
        <v>0</v>
      </c>
      <c r="G156" s="425">
        <v>0</v>
      </c>
      <c r="H156" s="427">
        <v>0</v>
      </c>
      <c r="I156" s="424">
        <v>1.8773299999999999</v>
      </c>
      <c r="J156" s="425">
        <v>1.8773299999999999</v>
      </c>
      <c r="K156" s="435" t="s">
        <v>287</v>
      </c>
    </row>
    <row r="157" spans="1:11" ht="14.4" customHeight="1" thickBot="1" x14ac:dyDescent="0.35">
      <c r="A157" s="445" t="s">
        <v>435</v>
      </c>
      <c r="B157" s="429">
        <v>765</v>
      </c>
      <c r="C157" s="429">
        <v>817.89417000000003</v>
      </c>
      <c r="D157" s="430">
        <v>52.894170000000003</v>
      </c>
      <c r="E157" s="436">
        <v>1.069142705882</v>
      </c>
      <c r="F157" s="429">
        <v>792.93431700512201</v>
      </c>
      <c r="G157" s="430">
        <v>594.70073775384105</v>
      </c>
      <c r="H157" s="432">
        <v>64.000960000000006</v>
      </c>
      <c r="I157" s="429">
        <v>594.69226000000106</v>
      </c>
      <c r="J157" s="430">
        <v>-8.4777538399999994E-3</v>
      </c>
      <c r="K157" s="437">
        <v>0.74998930837800004</v>
      </c>
    </row>
    <row r="158" spans="1:11" ht="14.4" customHeight="1" thickBot="1" x14ac:dyDescent="0.35">
      <c r="A158" s="446" t="s">
        <v>436</v>
      </c>
      <c r="B158" s="424">
        <v>765</v>
      </c>
      <c r="C158" s="424">
        <v>817.89417000000003</v>
      </c>
      <c r="D158" s="425">
        <v>52.894170000000003</v>
      </c>
      <c r="E158" s="426">
        <v>1.069142705882</v>
      </c>
      <c r="F158" s="424">
        <v>792.93431700512201</v>
      </c>
      <c r="G158" s="425">
        <v>594.70073775384105</v>
      </c>
      <c r="H158" s="427">
        <v>64.000960000000006</v>
      </c>
      <c r="I158" s="424">
        <v>594.69226000000106</v>
      </c>
      <c r="J158" s="425">
        <v>-8.4777538399999994E-3</v>
      </c>
      <c r="K158" s="428">
        <v>0.74998930837800004</v>
      </c>
    </row>
    <row r="159" spans="1:11" ht="14.4" customHeight="1" thickBot="1" x14ac:dyDescent="0.35">
      <c r="A159" s="450" t="s">
        <v>437</v>
      </c>
      <c r="B159" s="429">
        <v>0</v>
      </c>
      <c r="C159" s="429">
        <v>0.46333000000000002</v>
      </c>
      <c r="D159" s="430">
        <v>0.46333000000000002</v>
      </c>
      <c r="E159" s="431" t="s">
        <v>293</v>
      </c>
      <c r="F159" s="429">
        <v>0</v>
      </c>
      <c r="G159" s="430">
        <v>0</v>
      </c>
      <c r="H159" s="432">
        <v>5.1319999999999998E-2</v>
      </c>
      <c r="I159" s="429">
        <v>1.94021</v>
      </c>
      <c r="J159" s="430">
        <v>1.94021</v>
      </c>
      <c r="K159" s="433" t="s">
        <v>287</v>
      </c>
    </row>
    <row r="160" spans="1:11" ht="14.4" customHeight="1" thickBot="1" x14ac:dyDescent="0.35">
      <c r="A160" s="447" t="s">
        <v>438</v>
      </c>
      <c r="B160" s="429">
        <v>0</v>
      </c>
      <c r="C160" s="429">
        <v>0.46333000000000002</v>
      </c>
      <c r="D160" s="430">
        <v>0.46333000000000002</v>
      </c>
      <c r="E160" s="431" t="s">
        <v>293</v>
      </c>
      <c r="F160" s="429">
        <v>0</v>
      </c>
      <c r="G160" s="430">
        <v>0</v>
      </c>
      <c r="H160" s="432">
        <v>5.1319999999999998E-2</v>
      </c>
      <c r="I160" s="429">
        <v>1.94021</v>
      </c>
      <c r="J160" s="430">
        <v>1.94021</v>
      </c>
      <c r="K160" s="433" t="s">
        <v>287</v>
      </c>
    </row>
    <row r="161" spans="1:11" ht="14.4" customHeight="1" thickBot="1" x14ac:dyDescent="0.35">
      <c r="A161" s="449" t="s">
        <v>439</v>
      </c>
      <c r="B161" s="429">
        <v>0</v>
      </c>
      <c r="C161" s="429">
        <v>0.46333000000000002</v>
      </c>
      <c r="D161" s="430">
        <v>0.46333000000000002</v>
      </c>
      <c r="E161" s="431" t="s">
        <v>293</v>
      </c>
      <c r="F161" s="429">
        <v>0</v>
      </c>
      <c r="G161" s="430">
        <v>0</v>
      </c>
      <c r="H161" s="432">
        <v>5.1319999999999998E-2</v>
      </c>
      <c r="I161" s="429">
        <v>1.94021</v>
      </c>
      <c r="J161" s="430">
        <v>1.94021</v>
      </c>
      <c r="K161" s="433" t="s">
        <v>287</v>
      </c>
    </row>
    <row r="162" spans="1:11" ht="14.4" customHeight="1" thickBot="1" x14ac:dyDescent="0.35">
      <c r="A162" s="445" t="s">
        <v>440</v>
      </c>
      <c r="B162" s="429">
        <v>0</v>
      </c>
      <c r="C162" s="429">
        <v>0.46333000000000002</v>
      </c>
      <c r="D162" s="430">
        <v>0.46333000000000002</v>
      </c>
      <c r="E162" s="431" t="s">
        <v>293</v>
      </c>
      <c r="F162" s="429">
        <v>0</v>
      </c>
      <c r="G162" s="430">
        <v>0</v>
      </c>
      <c r="H162" s="432">
        <v>5.1319999999999998E-2</v>
      </c>
      <c r="I162" s="429">
        <v>1.94021</v>
      </c>
      <c r="J162" s="430">
        <v>1.94021</v>
      </c>
      <c r="K162" s="433" t="s">
        <v>287</v>
      </c>
    </row>
    <row r="163" spans="1:11" ht="14.4" customHeight="1" thickBot="1" x14ac:dyDescent="0.35">
      <c r="A163" s="446" t="s">
        <v>441</v>
      </c>
      <c r="B163" s="424">
        <v>0</v>
      </c>
      <c r="C163" s="424">
        <v>0.40200000000000002</v>
      </c>
      <c r="D163" s="425">
        <v>0.40200000000000002</v>
      </c>
      <c r="E163" s="434" t="s">
        <v>293</v>
      </c>
      <c r="F163" s="424">
        <v>0</v>
      </c>
      <c r="G163" s="425">
        <v>0</v>
      </c>
      <c r="H163" s="427">
        <v>0</v>
      </c>
      <c r="I163" s="424">
        <v>1.8773299999999999</v>
      </c>
      <c r="J163" s="425">
        <v>1.8773299999999999</v>
      </c>
      <c r="K163" s="435" t="s">
        <v>287</v>
      </c>
    </row>
    <row r="164" spans="1:11" ht="14.4" customHeight="1" thickBot="1" x14ac:dyDescent="0.35">
      <c r="A164" s="446" t="s">
        <v>442</v>
      </c>
      <c r="B164" s="424">
        <v>0</v>
      </c>
      <c r="C164" s="424">
        <v>6.1330000000000003E-2</v>
      </c>
      <c r="D164" s="425">
        <v>6.1330000000000003E-2</v>
      </c>
      <c r="E164" s="434" t="s">
        <v>293</v>
      </c>
      <c r="F164" s="424">
        <v>0</v>
      </c>
      <c r="G164" s="425">
        <v>0</v>
      </c>
      <c r="H164" s="427">
        <v>5.1319999999999998E-2</v>
      </c>
      <c r="I164" s="424">
        <v>6.2880000000000005E-2</v>
      </c>
      <c r="J164" s="425">
        <v>6.2880000000000005E-2</v>
      </c>
      <c r="K164" s="435" t="s">
        <v>287</v>
      </c>
    </row>
    <row r="165" spans="1:11" ht="14.4" customHeight="1" thickBot="1" x14ac:dyDescent="0.35">
      <c r="A165" s="451"/>
      <c r="B165" s="424">
        <v>-5177.1374471791396</v>
      </c>
      <c r="C165" s="424">
        <v>-4891.0793100000001</v>
      </c>
      <c r="D165" s="425">
        <v>286.05813717913401</v>
      </c>
      <c r="E165" s="426">
        <v>0.94474588706600005</v>
      </c>
      <c r="F165" s="424">
        <v>-5230.7988461023697</v>
      </c>
      <c r="G165" s="425">
        <v>-3923.0991345767802</v>
      </c>
      <c r="H165" s="427">
        <v>-299.44105999999999</v>
      </c>
      <c r="I165" s="424">
        <v>-3343.2035299999998</v>
      </c>
      <c r="J165" s="425">
        <v>579.89560457677703</v>
      </c>
      <c r="K165" s="428">
        <v>0.63913823267900005</v>
      </c>
    </row>
    <row r="166" spans="1:11" ht="14.4" customHeight="1" thickBot="1" x14ac:dyDescent="0.35">
      <c r="A166" s="452" t="s">
        <v>66</v>
      </c>
      <c r="B166" s="438">
        <v>-5177.1374471791396</v>
      </c>
      <c r="C166" s="438">
        <v>-4891.0793100000001</v>
      </c>
      <c r="D166" s="439">
        <v>286.05813717913401</v>
      </c>
      <c r="E166" s="440" t="s">
        <v>293</v>
      </c>
      <c r="F166" s="438">
        <v>-5230.7988461023697</v>
      </c>
      <c r="G166" s="439">
        <v>-3923.0991345767802</v>
      </c>
      <c r="H166" s="438">
        <v>-299.44105999999999</v>
      </c>
      <c r="I166" s="438">
        <v>-3343.2035299999998</v>
      </c>
      <c r="J166" s="439">
        <v>579.89560457677703</v>
      </c>
      <c r="K166" s="441">
        <v>0.63913823267900005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142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443</v>
      </c>
      <c r="B5" s="454" t="s">
        <v>444</v>
      </c>
      <c r="C5" s="455" t="s">
        <v>445</v>
      </c>
      <c r="D5" s="455" t="s">
        <v>445</v>
      </c>
      <c r="E5" s="455"/>
      <c r="F5" s="455" t="s">
        <v>445</v>
      </c>
      <c r="G5" s="455" t="s">
        <v>445</v>
      </c>
      <c r="H5" s="455" t="s">
        <v>445</v>
      </c>
      <c r="I5" s="456" t="s">
        <v>445</v>
      </c>
      <c r="J5" s="457" t="s">
        <v>69</v>
      </c>
    </row>
    <row r="6" spans="1:10" ht="14.4" customHeight="1" x14ac:dyDescent="0.3">
      <c r="A6" s="453" t="s">
        <v>443</v>
      </c>
      <c r="B6" s="454" t="s">
        <v>296</v>
      </c>
      <c r="C6" s="455">
        <v>453.66055999999799</v>
      </c>
      <c r="D6" s="455">
        <v>419.16987</v>
      </c>
      <c r="E6" s="455"/>
      <c r="F6" s="455">
        <v>393.66744</v>
      </c>
      <c r="G6" s="455">
        <v>501.45764424491773</v>
      </c>
      <c r="H6" s="455">
        <v>-107.79020424491773</v>
      </c>
      <c r="I6" s="456">
        <v>0.78504624372168963</v>
      </c>
      <c r="J6" s="457" t="s">
        <v>1</v>
      </c>
    </row>
    <row r="7" spans="1:10" ht="14.4" customHeight="1" x14ac:dyDescent="0.3">
      <c r="A7" s="453" t="s">
        <v>443</v>
      </c>
      <c r="B7" s="454" t="s">
        <v>297</v>
      </c>
      <c r="C7" s="455">
        <v>3.7470000000000003E-2</v>
      </c>
      <c r="D7" s="455">
        <v>0</v>
      </c>
      <c r="E7" s="455"/>
      <c r="F7" s="455" t="s">
        <v>445</v>
      </c>
      <c r="G7" s="455" t="s">
        <v>445</v>
      </c>
      <c r="H7" s="455" t="s">
        <v>445</v>
      </c>
      <c r="I7" s="456" t="s">
        <v>445</v>
      </c>
      <c r="J7" s="457" t="s">
        <v>1</v>
      </c>
    </row>
    <row r="8" spans="1:10" ht="14.4" customHeight="1" x14ac:dyDescent="0.3">
      <c r="A8" s="453" t="s">
        <v>443</v>
      </c>
      <c r="B8" s="454" t="s">
        <v>446</v>
      </c>
      <c r="C8" s="455">
        <v>0</v>
      </c>
      <c r="D8" s="455" t="s">
        <v>445</v>
      </c>
      <c r="E8" s="455"/>
      <c r="F8" s="455" t="s">
        <v>445</v>
      </c>
      <c r="G8" s="455" t="s">
        <v>445</v>
      </c>
      <c r="H8" s="455" t="s">
        <v>445</v>
      </c>
      <c r="I8" s="456" t="s">
        <v>445</v>
      </c>
      <c r="J8" s="457" t="s">
        <v>1</v>
      </c>
    </row>
    <row r="9" spans="1:10" ht="14.4" customHeight="1" x14ac:dyDescent="0.3">
      <c r="A9" s="453" t="s">
        <v>443</v>
      </c>
      <c r="B9" s="454" t="s">
        <v>447</v>
      </c>
      <c r="C9" s="455">
        <v>453.69802999999797</v>
      </c>
      <c r="D9" s="455">
        <v>419.16987</v>
      </c>
      <c r="E9" s="455"/>
      <c r="F9" s="455">
        <v>393.66744</v>
      </c>
      <c r="G9" s="455">
        <v>501.45764424491773</v>
      </c>
      <c r="H9" s="455">
        <v>-107.79020424491773</v>
      </c>
      <c r="I9" s="456">
        <v>0.78504624372168963</v>
      </c>
      <c r="J9" s="457" t="s">
        <v>448</v>
      </c>
    </row>
    <row r="11" spans="1:10" ht="14.4" customHeight="1" x14ac:dyDescent="0.3">
      <c r="A11" s="453" t="s">
        <v>443</v>
      </c>
      <c r="B11" s="454" t="s">
        <v>444</v>
      </c>
      <c r="C11" s="455" t="s">
        <v>445</v>
      </c>
      <c r="D11" s="455" t="s">
        <v>445</v>
      </c>
      <c r="E11" s="455"/>
      <c r="F11" s="455" t="s">
        <v>445</v>
      </c>
      <c r="G11" s="455" t="s">
        <v>445</v>
      </c>
      <c r="H11" s="455" t="s">
        <v>445</v>
      </c>
      <c r="I11" s="456" t="s">
        <v>445</v>
      </c>
      <c r="J11" s="457" t="s">
        <v>69</v>
      </c>
    </row>
    <row r="12" spans="1:10" ht="14.4" customHeight="1" x14ac:dyDescent="0.3">
      <c r="A12" s="453" t="s">
        <v>449</v>
      </c>
      <c r="B12" s="454" t="s">
        <v>450</v>
      </c>
      <c r="C12" s="455" t="s">
        <v>445</v>
      </c>
      <c r="D12" s="455" t="s">
        <v>445</v>
      </c>
      <c r="E12" s="455"/>
      <c r="F12" s="455" t="s">
        <v>445</v>
      </c>
      <c r="G12" s="455" t="s">
        <v>445</v>
      </c>
      <c r="H12" s="455" t="s">
        <v>445</v>
      </c>
      <c r="I12" s="456" t="s">
        <v>445</v>
      </c>
      <c r="J12" s="457" t="s">
        <v>0</v>
      </c>
    </row>
    <row r="13" spans="1:10" ht="14.4" customHeight="1" x14ac:dyDescent="0.3">
      <c r="A13" s="453" t="s">
        <v>449</v>
      </c>
      <c r="B13" s="454" t="s">
        <v>296</v>
      </c>
      <c r="C13" s="455">
        <v>105.893249999999</v>
      </c>
      <c r="D13" s="455">
        <v>83.586549999999988</v>
      </c>
      <c r="E13" s="455"/>
      <c r="F13" s="455">
        <v>83.267800000000008</v>
      </c>
      <c r="G13" s="455">
        <v>84.340325980054502</v>
      </c>
      <c r="H13" s="455">
        <v>-1.0725259800544933</v>
      </c>
      <c r="I13" s="456">
        <v>0.98728335505475595</v>
      </c>
      <c r="J13" s="457" t="s">
        <v>1</v>
      </c>
    </row>
    <row r="14" spans="1:10" ht="14.4" customHeight="1" x14ac:dyDescent="0.3">
      <c r="A14" s="453" t="s">
        <v>449</v>
      </c>
      <c r="B14" s="454" t="s">
        <v>297</v>
      </c>
      <c r="C14" s="455">
        <v>3.7470000000000003E-2</v>
      </c>
      <c r="D14" s="455">
        <v>0</v>
      </c>
      <c r="E14" s="455"/>
      <c r="F14" s="455" t="s">
        <v>445</v>
      </c>
      <c r="G14" s="455" t="s">
        <v>445</v>
      </c>
      <c r="H14" s="455" t="s">
        <v>445</v>
      </c>
      <c r="I14" s="456" t="s">
        <v>445</v>
      </c>
      <c r="J14" s="457" t="s">
        <v>1</v>
      </c>
    </row>
    <row r="15" spans="1:10" ht="14.4" customHeight="1" x14ac:dyDescent="0.3">
      <c r="A15" s="453" t="s">
        <v>449</v>
      </c>
      <c r="B15" s="454" t="s">
        <v>446</v>
      </c>
      <c r="C15" s="455">
        <v>0</v>
      </c>
      <c r="D15" s="455" t="s">
        <v>445</v>
      </c>
      <c r="E15" s="455"/>
      <c r="F15" s="455" t="s">
        <v>445</v>
      </c>
      <c r="G15" s="455" t="s">
        <v>445</v>
      </c>
      <c r="H15" s="455" t="s">
        <v>445</v>
      </c>
      <c r="I15" s="456" t="s">
        <v>445</v>
      </c>
      <c r="J15" s="457" t="s">
        <v>1</v>
      </c>
    </row>
    <row r="16" spans="1:10" ht="14.4" customHeight="1" x14ac:dyDescent="0.3">
      <c r="A16" s="453" t="s">
        <v>449</v>
      </c>
      <c r="B16" s="454" t="s">
        <v>451</v>
      </c>
      <c r="C16" s="455">
        <v>105.930719999999</v>
      </c>
      <c r="D16" s="455">
        <v>83.586549999999988</v>
      </c>
      <c r="E16" s="455"/>
      <c r="F16" s="455">
        <v>83.267800000000008</v>
      </c>
      <c r="G16" s="455">
        <v>84.340325980054502</v>
      </c>
      <c r="H16" s="455">
        <v>-1.0725259800544933</v>
      </c>
      <c r="I16" s="456">
        <v>0.98728335505475595</v>
      </c>
      <c r="J16" s="457" t="s">
        <v>452</v>
      </c>
    </row>
    <row r="17" spans="1:10" ht="14.4" customHeight="1" x14ac:dyDescent="0.3">
      <c r="A17" s="453" t="s">
        <v>445</v>
      </c>
      <c r="B17" s="454" t="s">
        <v>445</v>
      </c>
      <c r="C17" s="455" t="s">
        <v>445</v>
      </c>
      <c r="D17" s="455" t="s">
        <v>445</v>
      </c>
      <c r="E17" s="455"/>
      <c r="F17" s="455" t="s">
        <v>445</v>
      </c>
      <c r="G17" s="455" t="s">
        <v>445</v>
      </c>
      <c r="H17" s="455" t="s">
        <v>445</v>
      </c>
      <c r="I17" s="456" t="s">
        <v>445</v>
      </c>
      <c r="J17" s="457" t="s">
        <v>453</v>
      </c>
    </row>
    <row r="18" spans="1:10" ht="14.4" customHeight="1" x14ac:dyDescent="0.3">
      <c r="A18" s="453" t="s">
        <v>454</v>
      </c>
      <c r="B18" s="454" t="s">
        <v>455</v>
      </c>
      <c r="C18" s="455" t="s">
        <v>445</v>
      </c>
      <c r="D18" s="455" t="s">
        <v>445</v>
      </c>
      <c r="E18" s="455"/>
      <c r="F18" s="455" t="s">
        <v>445</v>
      </c>
      <c r="G18" s="455" t="s">
        <v>445</v>
      </c>
      <c r="H18" s="455" t="s">
        <v>445</v>
      </c>
      <c r="I18" s="456" t="s">
        <v>445</v>
      </c>
      <c r="J18" s="457" t="s">
        <v>0</v>
      </c>
    </row>
    <row r="19" spans="1:10" ht="14.4" customHeight="1" x14ac:dyDescent="0.3">
      <c r="A19" s="453" t="s">
        <v>454</v>
      </c>
      <c r="B19" s="454" t="s">
        <v>296</v>
      </c>
      <c r="C19" s="455">
        <v>347.76730999999899</v>
      </c>
      <c r="D19" s="455">
        <v>335.58332000000001</v>
      </c>
      <c r="E19" s="455"/>
      <c r="F19" s="455">
        <v>310.39963999999998</v>
      </c>
      <c r="G19" s="455">
        <v>417.11731826486323</v>
      </c>
      <c r="H19" s="455">
        <v>-106.71767826486325</v>
      </c>
      <c r="I19" s="456">
        <v>0.74415428563649533</v>
      </c>
      <c r="J19" s="457" t="s">
        <v>1</v>
      </c>
    </row>
    <row r="20" spans="1:10" ht="14.4" customHeight="1" x14ac:dyDescent="0.3">
      <c r="A20" s="453" t="s">
        <v>454</v>
      </c>
      <c r="B20" s="454" t="s">
        <v>456</v>
      </c>
      <c r="C20" s="455">
        <v>347.76730999999899</v>
      </c>
      <c r="D20" s="455">
        <v>335.58332000000001</v>
      </c>
      <c r="E20" s="455"/>
      <c r="F20" s="455">
        <v>310.39963999999998</v>
      </c>
      <c r="G20" s="455">
        <v>417.11731826486323</v>
      </c>
      <c r="H20" s="455">
        <v>-106.71767826486325</v>
      </c>
      <c r="I20" s="456">
        <v>0.74415428563649533</v>
      </c>
      <c r="J20" s="457" t="s">
        <v>452</v>
      </c>
    </row>
    <row r="21" spans="1:10" ht="14.4" customHeight="1" x14ac:dyDescent="0.3">
      <c r="A21" s="453" t="s">
        <v>445</v>
      </c>
      <c r="B21" s="454" t="s">
        <v>445</v>
      </c>
      <c r="C21" s="455" t="s">
        <v>445</v>
      </c>
      <c r="D21" s="455" t="s">
        <v>445</v>
      </c>
      <c r="E21" s="455"/>
      <c r="F21" s="455" t="s">
        <v>445</v>
      </c>
      <c r="G21" s="455" t="s">
        <v>445</v>
      </c>
      <c r="H21" s="455" t="s">
        <v>445</v>
      </c>
      <c r="I21" s="456" t="s">
        <v>445</v>
      </c>
      <c r="J21" s="457" t="s">
        <v>453</v>
      </c>
    </row>
    <row r="22" spans="1:10" ht="14.4" customHeight="1" x14ac:dyDescent="0.3">
      <c r="A22" s="453" t="s">
        <v>443</v>
      </c>
      <c r="B22" s="454" t="s">
        <v>447</v>
      </c>
      <c r="C22" s="455">
        <v>453.69802999999797</v>
      </c>
      <c r="D22" s="455">
        <v>419.16987</v>
      </c>
      <c r="E22" s="455"/>
      <c r="F22" s="455">
        <v>393.66744</v>
      </c>
      <c r="G22" s="455">
        <v>501.45764424491773</v>
      </c>
      <c r="H22" s="455">
        <v>-107.79020424491773</v>
      </c>
      <c r="I22" s="456">
        <v>0.78504624372168963</v>
      </c>
      <c r="J22" s="457" t="s">
        <v>448</v>
      </c>
    </row>
  </sheetData>
  <mergeCells count="3">
    <mergeCell ref="F3:I3"/>
    <mergeCell ref="C4:D4"/>
    <mergeCell ref="A1:I1"/>
  </mergeCells>
  <conditionalFormatting sqref="F10 F23:F65537">
    <cfRule type="cellIs" dxfId="55" priority="18" stopIfTrue="1" operator="greaterThan">
      <formula>1</formula>
    </cfRule>
  </conditionalFormatting>
  <conditionalFormatting sqref="H5:H9">
    <cfRule type="expression" dxfId="54" priority="14">
      <formula>$H5&gt;0</formula>
    </cfRule>
  </conditionalFormatting>
  <conditionalFormatting sqref="I5:I9">
    <cfRule type="expression" dxfId="53" priority="15">
      <formula>$I5&gt;1</formula>
    </cfRule>
  </conditionalFormatting>
  <conditionalFormatting sqref="B5:B9">
    <cfRule type="expression" dxfId="52" priority="11">
      <formula>OR($J5="NS",$J5="SumaNS",$J5="Účet")</formula>
    </cfRule>
  </conditionalFormatting>
  <conditionalFormatting sqref="B5:D9 F5:I9">
    <cfRule type="expression" dxfId="51" priority="17">
      <formula>AND($J5&lt;&gt;"",$J5&lt;&gt;"mezeraKL")</formula>
    </cfRule>
  </conditionalFormatting>
  <conditionalFormatting sqref="B5:D9 F5:I9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9" priority="13">
      <formula>OR($J5="SumaNS",$J5="NS")</formula>
    </cfRule>
  </conditionalFormatting>
  <conditionalFormatting sqref="A5:A9">
    <cfRule type="expression" dxfId="48" priority="9">
      <formula>AND($J5&lt;&gt;"mezeraKL",$J5&lt;&gt;"")</formula>
    </cfRule>
  </conditionalFormatting>
  <conditionalFormatting sqref="A5:A9">
    <cfRule type="expression" dxfId="47" priority="10">
      <formula>AND($J5&lt;&gt;"",$J5&lt;&gt;"mezeraKL")</formula>
    </cfRule>
  </conditionalFormatting>
  <conditionalFormatting sqref="H11:H22">
    <cfRule type="expression" dxfId="46" priority="5">
      <formula>$H11&gt;0</formula>
    </cfRule>
  </conditionalFormatting>
  <conditionalFormatting sqref="A11:A22">
    <cfRule type="expression" dxfId="45" priority="2">
      <formula>AND($J11&lt;&gt;"mezeraKL",$J11&lt;&gt;"")</formula>
    </cfRule>
  </conditionalFormatting>
  <conditionalFormatting sqref="I11:I22">
    <cfRule type="expression" dxfId="44" priority="6">
      <formula>$I11&gt;1</formula>
    </cfRule>
  </conditionalFormatting>
  <conditionalFormatting sqref="B11:B22">
    <cfRule type="expression" dxfId="43" priority="1">
      <formula>OR($J11="NS",$J11="SumaNS",$J11="Účet")</formula>
    </cfRule>
  </conditionalFormatting>
  <conditionalFormatting sqref="A11:D22 F11:I22">
    <cfRule type="expression" dxfId="42" priority="8">
      <formula>AND($J11&lt;&gt;"",$J11&lt;&gt;"mezeraKL")</formula>
    </cfRule>
  </conditionalFormatting>
  <conditionalFormatting sqref="B11:D22 F11:I22">
    <cfRule type="expression" dxfId="41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40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66" t="s">
        <v>169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</row>
    <row r="2" spans="1:14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132</v>
      </c>
      <c r="K3" s="365"/>
      <c r="L3" s="99">
        <f>IF(M3&lt;&gt;0,N3/M3,0)</f>
        <v>294.2004712815575</v>
      </c>
      <c r="M3" s="99">
        <f>SUBTOTAL(9,M5:M1048576)</f>
        <v>1338</v>
      </c>
      <c r="N3" s="100">
        <f>SUBTOTAL(9,N5:N1048576)</f>
        <v>393640.23057472392</v>
      </c>
    </row>
    <row r="4" spans="1:14" s="212" customFormat="1" ht="14.4" customHeight="1" thickBot="1" x14ac:dyDescent="0.35">
      <c r="A4" s="458" t="s">
        <v>4</v>
      </c>
      <c r="B4" s="459" t="s">
        <v>5</v>
      </c>
      <c r="C4" s="459" t="s">
        <v>0</v>
      </c>
      <c r="D4" s="459" t="s">
        <v>6</v>
      </c>
      <c r="E4" s="459" t="s">
        <v>7</v>
      </c>
      <c r="F4" s="459" t="s">
        <v>1</v>
      </c>
      <c r="G4" s="459" t="s">
        <v>8</v>
      </c>
      <c r="H4" s="459" t="s">
        <v>9</v>
      </c>
      <c r="I4" s="459" t="s">
        <v>10</v>
      </c>
      <c r="J4" s="460" t="s">
        <v>11</v>
      </c>
      <c r="K4" s="460" t="s">
        <v>12</v>
      </c>
      <c r="L4" s="461" t="s">
        <v>147</v>
      </c>
      <c r="M4" s="461" t="s">
        <v>13</v>
      </c>
      <c r="N4" s="462" t="s">
        <v>164</v>
      </c>
    </row>
    <row r="5" spans="1:14" ht="14.4" customHeight="1" x14ac:dyDescent="0.3">
      <c r="A5" s="465" t="s">
        <v>443</v>
      </c>
      <c r="B5" s="466" t="s">
        <v>444</v>
      </c>
      <c r="C5" s="467" t="s">
        <v>449</v>
      </c>
      <c r="D5" s="468" t="s">
        <v>595</v>
      </c>
      <c r="E5" s="467" t="s">
        <v>457</v>
      </c>
      <c r="F5" s="468" t="s">
        <v>597</v>
      </c>
      <c r="G5" s="467" t="s">
        <v>458</v>
      </c>
      <c r="H5" s="467" t="s">
        <v>459</v>
      </c>
      <c r="I5" s="467" t="s">
        <v>459</v>
      </c>
      <c r="J5" s="467" t="s">
        <v>460</v>
      </c>
      <c r="K5" s="467" t="s">
        <v>461</v>
      </c>
      <c r="L5" s="469">
        <v>171.6</v>
      </c>
      <c r="M5" s="469">
        <v>101</v>
      </c>
      <c r="N5" s="470">
        <v>17331.599999999999</v>
      </c>
    </row>
    <row r="6" spans="1:14" ht="14.4" customHeight="1" x14ac:dyDescent="0.3">
      <c r="A6" s="471" t="s">
        <v>443</v>
      </c>
      <c r="B6" s="472" t="s">
        <v>444</v>
      </c>
      <c r="C6" s="473" t="s">
        <v>449</v>
      </c>
      <c r="D6" s="474" t="s">
        <v>595</v>
      </c>
      <c r="E6" s="473" t="s">
        <v>457</v>
      </c>
      <c r="F6" s="474" t="s">
        <v>597</v>
      </c>
      <c r="G6" s="473" t="s">
        <v>458</v>
      </c>
      <c r="H6" s="473" t="s">
        <v>462</v>
      </c>
      <c r="I6" s="473" t="s">
        <v>463</v>
      </c>
      <c r="J6" s="473" t="s">
        <v>464</v>
      </c>
      <c r="K6" s="473" t="s">
        <v>465</v>
      </c>
      <c r="L6" s="475">
        <v>87.029575317299347</v>
      </c>
      <c r="M6" s="475">
        <v>3</v>
      </c>
      <c r="N6" s="476">
        <v>261.08872595189803</v>
      </c>
    </row>
    <row r="7" spans="1:14" ht="14.4" customHeight="1" x14ac:dyDescent="0.3">
      <c r="A7" s="471" t="s">
        <v>443</v>
      </c>
      <c r="B7" s="472" t="s">
        <v>444</v>
      </c>
      <c r="C7" s="473" t="s">
        <v>449</v>
      </c>
      <c r="D7" s="474" t="s">
        <v>595</v>
      </c>
      <c r="E7" s="473" t="s">
        <v>457</v>
      </c>
      <c r="F7" s="474" t="s">
        <v>597</v>
      </c>
      <c r="G7" s="473" t="s">
        <v>458</v>
      </c>
      <c r="H7" s="473" t="s">
        <v>466</v>
      </c>
      <c r="I7" s="473" t="s">
        <v>467</v>
      </c>
      <c r="J7" s="473" t="s">
        <v>468</v>
      </c>
      <c r="K7" s="473" t="s">
        <v>469</v>
      </c>
      <c r="L7" s="475">
        <v>97.14485437322449</v>
      </c>
      <c r="M7" s="475">
        <v>425</v>
      </c>
      <c r="N7" s="476">
        <v>41286.563108620408</v>
      </c>
    </row>
    <row r="8" spans="1:14" ht="14.4" customHeight="1" x14ac:dyDescent="0.3">
      <c r="A8" s="471" t="s">
        <v>443</v>
      </c>
      <c r="B8" s="472" t="s">
        <v>444</v>
      </c>
      <c r="C8" s="473" t="s">
        <v>449</v>
      </c>
      <c r="D8" s="474" t="s">
        <v>595</v>
      </c>
      <c r="E8" s="473" t="s">
        <v>457</v>
      </c>
      <c r="F8" s="474" t="s">
        <v>597</v>
      </c>
      <c r="G8" s="473" t="s">
        <v>458</v>
      </c>
      <c r="H8" s="473" t="s">
        <v>470</v>
      </c>
      <c r="I8" s="473" t="s">
        <v>471</v>
      </c>
      <c r="J8" s="473" t="s">
        <v>468</v>
      </c>
      <c r="K8" s="473" t="s">
        <v>472</v>
      </c>
      <c r="L8" s="475">
        <v>100.76</v>
      </c>
      <c r="M8" s="475">
        <v>2</v>
      </c>
      <c r="N8" s="476">
        <v>201.52</v>
      </c>
    </row>
    <row r="9" spans="1:14" ht="14.4" customHeight="1" x14ac:dyDescent="0.3">
      <c r="A9" s="471" t="s">
        <v>443</v>
      </c>
      <c r="B9" s="472" t="s">
        <v>444</v>
      </c>
      <c r="C9" s="473" t="s">
        <v>449</v>
      </c>
      <c r="D9" s="474" t="s">
        <v>595</v>
      </c>
      <c r="E9" s="473" t="s">
        <v>457</v>
      </c>
      <c r="F9" s="474" t="s">
        <v>597</v>
      </c>
      <c r="G9" s="473" t="s">
        <v>458</v>
      </c>
      <c r="H9" s="473" t="s">
        <v>473</v>
      </c>
      <c r="I9" s="473" t="s">
        <v>474</v>
      </c>
      <c r="J9" s="473" t="s">
        <v>475</v>
      </c>
      <c r="K9" s="473" t="s">
        <v>476</v>
      </c>
      <c r="L9" s="475">
        <v>119.37999999999995</v>
      </c>
      <c r="M9" s="475">
        <v>-3</v>
      </c>
      <c r="N9" s="476">
        <v>-358.13999999999987</v>
      </c>
    </row>
    <row r="10" spans="1:14" ht="14.4" customHeight="1" x14ac:dyDescent="0.3">
      <c r="A10" s="471" t="s">
        <v>443</v>
      </c>
      <c r="B10" s="472" t="s">
        <v>444</v>
      </c>
      <c r="C10" s="473" t="s">
        <v>449</v>
      </c>
      <c r="D10" s="474" t="s">
        <v>595</v>
      </c>
      <c r="E10" s="473" t="s">
        <v>457</v>
      </c>
      <c r="F10" s="474" t="s">
        <v>597</v>
      </c>
      <c r="G10" s="473" t="s">
        <v>458</v>
      </c>
      <c r="H10" s="473" t="s">
        <v>477</v>
      </c>
      <c r="I10" s="473" t="s">
        <v>478</v>
      </c>
      <c r="J10" s="473" t="s">
        <v>479</v>
      </c>
      <c r="K10" s="473" t="s">
        <v>480</v>
      </c>
      <c r="L10" s="475">
        <v>57.687301602731146</v>
      </c>
      <c r="M10" s="475">
        <v>20</v>
      </c>
      <c r="N10" s="476">
        <v>1153.7460320546229</v>
      </c>
    </row>
    <row r="11" spans="1:14" ht="14.4" customHeight="1" x14ac:dyDescent="0.3">
      <c r="A11" s="471" t="s">
        <v>443</v>
      </c>
      <c r="B11" s="472" t="s">
        <v>444</v>
      </c>
      <c r="C11" s="473" t="s">
        <v>449</v>
      </c>
      <c r="D11" s="474" t="s">
        <v>595</v>
      </c>
      <c r="E11" s="473" t="s">
        <v>457</v>
      </c>
      <c r="F11" s="474" t="s">
        <v>597</v>
      </c>
      <c r="G11" s="473" t="s">
        <v>458</v>
      </c>
      <c r="H11" s="473" t="s">
        <v>481</v>
      </c>
      <c r="I11" s="473" t="s">
        <v>481</v>
      </c>
      <c r="J11" s="473" t="s">
        <v>482</v>
      </c>
      <c r="K11" s="473" t="s">
        <v>483</v>
      </c>
      <c r="L11" s="475">
        <v>36.53</v>
      </c>
      <c r="M11" s="475">
        <v>6</v>
      </c>
      <c r="N11" s="476">
        <v>219.18</v>
      </c>
    </row>
    <row r="12" spans="1:14" ht="14.4" customHeight="1" x14ac:dyDescent="0.3">
      <c r="A12" s="471" t="s">
        <v>443</v>
      </c>
      <c r="B12" s="472" t="s">
        <v>444</v>
      </c>
      <c r="C12" s="473" t="s">
        <v>449</v>
      </c>
      <c r="D12" s="474" t="s">
        <v>595</v>
      </c>
      <c r="E12" s="473" t="s">
        <v>457</v>
      </c>
      <c r="F12" s="474" t="s">
        <v>597</v>
      </c>
      <c r="G12" s="473" t="s">
        <v>458</v>
      </c>
      <c r="H12" s="473" t="s">
        <v>484</v>
      </c>
      <c r="I12" s="473" t="s">
        <v>485</v>
      </c>
      <c r="J12" s="473" t="s">
        <v>486</v>
      </c>
      <c r="K12" s="473"/>
      <c r="L12" s="475">
        <v>205.30241005219233</v>
      </c>
      <c r="M12" s="475">
        <v>21</v>
      </c>
      <c r="N12" s="476">
        <v>4311.3506110960388</v>
      </c>
    </row>
    <row r="13" spans="1:14" ht="14.4" customHeight="1" x14ac:dyDescent="0.3">
      <c r="A13" s="471" t="s">
        <v>443</v>
      </c>
      <c r="B13" s="472" t="s">
        <v>444</v>
      </c>
      <c r="C13" s="473" t="s">
        <v>449</v>
      </c>
      <c r="D13" s="474" t="s">
        <v>595</v>
      </c>
      <c r="E13" s="473" t="s">
        <v>457</v>
      </c>
      <c r="F13" s="474" t="s">
        <v>597</v>
      </c>
      <c r="G13" s="473" t="s">
        <v>458</v>
      </c>
      <c r="H13" s="473" t="s">
        <v>487</v>
      </c>
      <c r="I13" s="473" t="s">
        <v>488</v>
      </c>
      <c r="J13" s="473" t="s">
        <v>489</v>
      </c>
      <c r="K13" s="473" t="s">
        <v>490</v>
      </c>
      <c r="L13" s="475">
        <v>125.06999999999995</v>
      </c>
      <c r="M13" s="475">
        <v>1</v>
      </c>
      <c r="N13" s="476">
        <v>125.06999999999995</v>
      </c>
    </row>
    <row r="14" spans="1:14" ht="14.4" customHeight="1" x14ac:dyDescent="0.3">
      <c r="A14" s="471" t="s">
        <v>443</v>
      </c>
      <c r="B14" s="472" t="s">
        <v>444</v>
      </c>
      <c r="C14" s="473" t="s">
        <v>449</v>
      </c>
      <c r="D14" s="474" t="s">
        <v>595</v>
      </c>
      <c r="E14" s="473" t="s">
        <v>457</v>
      </c>
      <c r="F14" s="474" t="s">
        <v>597</v>
      </c>
      <c r="G14" s="473" t="s">
        <v>458</v>
      </c>
      <c r="H14" s="473" t="s">
        <v>491</v>
      </c>
      <c r="I14" s="473" t="s">
        <v>492</v>
      </c>
      <c r="J14" s="473" t="s">
        <v>493</v>
      </c>
      <c r="K14" s="473" t="s">
        <v>494</v>
      </c>
      <c r="L14" s="475">
        <v>42.492047226746905</v>
      </c>
      <c r="M14" s="475">
        <v>290</v>
      </c>
      <c r="N14" s="476">
        <v>12322.693695756603</v>
      </c>
    </row>
    <row r="15" spans="1:14" ht="14.4" customHeight="1" x14ac:dyDescent="0.3">
      <c r="A15" s="471" t="s">
        <v>443</v>
      </c>
      <c r="B15" s="472" t="s">
        <v>444</v>
      </c>
      <c r="C15" s="473" t="s">
        <v>449</v>
      </c>
      <c r="D15" s="474" t="s">
        <v>595</v>
      </c>
      <c r="E15" s="473" t="s">
        <v>457</v>
      </c>
      <c r="F15" s="474" t="s">
        <v>597</v>
      </c>
      <c r="G15" s="473" t="s">
        <v>458</v>
      </c>
      <c r="H15" s="473" t="s">
        <v>495</v>
      </c>
      <c r="I15" s="473" t="s">
        <v>173</v>
      </c>
      <c r="J15" s="473" t="s">
        <v>496</v>
      </c>
      <c r="K15" s="473"/>
      <c r="L15" s="475">
        <v>97.32018212756347</v>
      </c>
      <c r="M15" s="475">
        <v>10</v>
      </c>
      <c r="N15" s="476">
        <v>973.20182127563476</v>
      </c>
    </row>
    <row r="16" spans="1:14" ht="14.4" customHeight="1" x14ac:dyDescent="0.3">
      <c r="A16" s="471" t="s">
        <v>443</v>
      </c>
      <c r="B16" s="472" t="s">
        <v>444</v>
      </c>
      <c r="C16" s="473" t="s">
        <v>449</v>
      </c>
      <c r="D16" s="474" t="s">
        <v>595</v>
      </c>
      <c r="E16" s="473" t="s">
        <v>457</v>
      </c>
      <c r="F16" s="474" t="s">
        <v>597</v>
      </c>
      <c r="G16" s="473" t="s">
        <v>458</v>
      </c>
      <c r="H16" s="473" t="s">
        <v>497</v>
      </c>
      <c r="I16" s="473" t="s">
        <v>173</v>
      </c>
      <c r="J16" s="473" t="s">
        <v>498</v>
      </c>
      <c r="K16" s="473"/>
      <c r="L16" s="475">
        <v>202.10522904395384</v>
      </c>
      <c r="M16" s="475">
        <v>5</v>
      </c>
      <c r="N16" s="476">
        <v>1010.5261452197692</v>
      </c>
    </row>
    <row r="17" spans="1:14" ht="14.4" customHeight="1" x14ac:dyDescent="0.3">
      <c r="A17" s="471" t="s">
        <v>443</v>
      </c>
      <c r="B17" s="472" t="s">
        <v>444</v>
      </c>
      <c r="C17" s="473" t="s">
        <v>449</v>
      </c>
      <c r="D17" s="474" t="s">
        <v>595</v>
      </c>
      <c r="E17" s="473" t="s">
        <v>457</v>
      </c>
      <c r="F17" s="474" t="s">
        <v>597</v>
      </c>
      <c r="G17" s="473" t="s">
        <v>458</v>
      </c>
      <c r="H17" s="473" t="s">
        <v>499</v>
      </c>
      <c r="I17" s="473" t="s">
        <v>500</v>
      </c>
      <c r="J17" s="473" t="s">
        <v>501</v>
      </c>
      <c r="K17" s="473" t="s">
        <v>502</v>
      </c>
      <c r="L17" s="475">
        <v>52.26988057341903</v>
      </c>
      <c r="M17" s="475">
        <v>1</v>
      </c>
      <c r="N17" s="476">
        <v>52.26988057341903</v>
      </c>
    </row>
    <row r="18" spans="1:14" ht="14.4" customHeight="1" x14ac:dyDescent="0.3">
      <c r="A18" s="471" t="s">
        <v>443</v>
      </c>
      <c r="B18" s="472" t="s">
        <v>444</v>
      </c>
      <c r="C18" s="473" t="s">
        <v>449</v>
      </c>
      <c r="D18" s="474" t="s">
        <v>595</v>
      </c>
      <c r="E18" s="473" t="s">
        <v>457</v>
      </c>
      <c r="F18" s="474" t="s">
        <v>597</v>
      </c>
      <c r="G18" s="473" t="s">
        <v>458</v>
      </c>
      <c r="H18" s="473" t="s">
        <v>503</v>
      </c>
      <c r="I18" s="473" t="s">
        <v>504</v>
      </c>
      <c r="J18" s="473" t="s">
        <v>505</v>
      </c>
      <c r="K18" s="473" t="s">
        <v>506</v>
      </c>
      <c r="L18" s="475">
        <v>33.119750252514407</v>
      </c>
      <c r="M18" s="475">
        <v>2</v>
      </c>
      <c r="N18" s="476">
        <v>66.239500505028815</v>
      </c>
    </row>
    <row r="19" spans="1:14" ht="14.4" customHeight="1" x14ac:dyDescent="0.3">
      <c r="A19" s="471" t="s">
        <v>443</v>
      </c>
      <c r="B19" s="472" t="s">
        <v>444</v>
      </c>
      <c r="C19" s="473" t="s">
        <v>449</v>
      </c>
      <c r="D19" s="474" t="s">
        <v>595</v>
      </c>
      <c r="E19" s="473" t="s">
        <v>457</v>
      </c>
      <c r="F19" s="474" t="s">
        <v>597</v>
      </c>
      <c r="G19" s="473" t="s">
        <v>458</v>
      </c>
      <c r="H19" s="473" t="s">
        <v>507</v>
      </c>
      <c r="I19" s="473" t="s">
        <v>508</v>
      </c>
      <c r="J19" s="473" t="s">
        <v>509</v>
      </c>
      <c r="K19" s="473" t="s">
        <v>510</v>
      </c>
      <c r="L19" s="475">
        <v>69.850147657706913</v>
      </c>
      <c r="M19" s="475">
        <v>4</v>
      </c>
      <c r="N19" s="476">
        <v>279.40059063082765</v>
      </c>
    </row>
    <row r="20" spans="1:14" ht="14.4" customHeight="1" x14ac:dyDescent="0.3">
      <c r="A20" s="471" t="s">
        <v>443</v>
      </c>
      <c r="B20" s="472" t="s">
        <v>444</v>
      </c>
      <c r="C20" s="473" t="s">
        <v>449</v>
      </c>
      <c r="D20" s="474" t="s">
        <v>595</v>
      </c>
      <c r="E20" s="473" t="s">
        <v>457</v>
      </c>
      <c r="F20" s="474" t="s">
        <v>597</v>
      </c>
      <c r="G20" s="473" t="s">
        <v>458</v>
      </c>
      <c r="H20" s="473" t="s">
        <v>511</v>
      </c>
      <c r="I20" s="473" t="s">
        <v>173</v>
      </c>
      <c r="J20" s="473" t="s">
        <v>512</v>
      </c>
      <c r="K20" s="473"/>
      <c r="L20" s="475">
        <v>50.588876349204035</v>
      </c>
      <c r="M20" s="475">
        <v>13</v>
      </c>
      <c r="N20" s="476">
        <v>657.65539253965244</v>
      </c>
    </row>
    <row r="21" spans="1:14" ht="14.4" customHeight="1" x14ac:dyDescent="0.3">
      <c r="A21" s="471" t="s">
        <v>443</v>
      </c>
      <c r="B21" s="472" t="s">
        <v>444</v>
      </c>
      <c r="C21" s="473" t="s">
        <v>449</v>
      </c>
      <c r="D21" s="474" t="s">
        <v>595</v>
      </c>
      <c r="E21" s="473" t="s">
        <v>457</v>
      </c>
      <c r="F21" s="474" t="s">
        <v>597</v>
      </c>
      <c r="G21" s="473" t="s">
        <v>458</v>
      </c>
      <c r="H21" s="473" t="s">
        <v>513</v>
      </c>
      <c r="I21" s="473" t="s">
        <v>173</v>
      </c>
      <c r="J21" s="473" t="s">
        <v>514</v>
      </c>
      <c r="K21" s="473"/>
      <c r="L21" s="475">
        <v>246.97773752785815</v>
      </c>
      <c r="M21" s="475">
        <v>12</v>
      </c>
      <c r="N21" s="476">
        <v>2963.7328503342978</v>
      </c>
    </row>
    <row r="22" spans="1:14" ht="14.4" customHeight="1" x14ac:dyDescent="0.3">
      <c r="A22" s="471" t="s">
        <v>443</v>
      </c>
      <c r="B22" s="472" t="s">
        <v>444</v>
      </c>
      <c r="C22" s="473" t="s">
        <v>449</v>
      </c>
      <c r="D22" s="474" t="s">
        <v>595</v>
      </c>
      <c r="E22" s="473" t="s">
        <v>457</v>
      </c>
      <c r="F22" s="474" t="s">
        <v>597</v>
      </c>
      <c r="G22" s="473" t="s">
        <v>458</v>
      </c>
      <c r="H22" s="473" t="s">
        <v>515</v>
      </c>
      <c r="I22" s="473" t="s">
        <v>516</v>
      </c>
      <c r="J22" s="473" t="s">
        <v>517</v>
      </c>
      <c r="K22" s="473" t="s">
        <v>518</v>
      </c>
      <c r="L22" s="475">
        <v>36.93</v>
      </c>
      <c r="M22" s="475">
        <v>1</v>
      </c>
      <c r="N22" s="476">
        <v>36.93</v>
      </c>
    </row>
    <row r="23" spans="1:14" ht="14.4" customHeight="1" x14ac:dyDescent="0.3">
      <c r="A23" s="471" t="s">
        <v>443</v>
      </c>
      <c r="B23" s="472" t="s">
        <v>444</v>
      </c>
      <c r="C23" s="473" t="s">
        <v>449</v>
      </c>
      <c r="D23" s="474" t="s">
        <v>595</v>
      </c>
      <c r="E23" s="473" t="s">
        <v>457</v>
      </c>
      <c r="F23" s="474" t="s">
        <v>597</v>
      </c>
      <c r="G23" s="473" t="s">
        <v>519</v>
      </c>
      <c r="H23" s="473" t="s">
        <v>520</v>
      </c>
      <c r="I23" s="473" t="s">
        <v>521</v>
      </c>
      <c r="J23" s="473" t="s">
        <v>522</v>
      </c>
      <c r="K23" s="473" t="s">
        <v>523</v>
      </c>
      <c r="L23" s="475">
        <v>58.67</v>
      </c>
      <c r="M23" s="475">
        <v>1</v>
      </c>
      <c r="N23" s="476">
        <v>58.67</v>
      </c>
    </row>
    <row r="24" spans="1:14" ht="14.4" customHeight="1" x14ac:dyDescent="0.3">
      <c r="A24" s="471" t="s">
        <v>443</v>
      </c>
      <c r="B24" s="472" t="s">
        <v>444</v>
      </c>
      <c r="C24" s="473" t="s">
        <v>449</v>
      </c>
      <c r="D24" s="474" t="s">
        <v>595</v>
      </c>
      <c r="E24" s="473" t="s">
        <v>457</v>
      </c>
      <c r="F24" s="474" t="s">
        <v>597</v>
      </c>
      <c r="G24" s="473" t="s">
        <v>519</v>
      </c>
      <c r="H24" s="473" t="s">
        <v>524</v>
      </c>
      <c r="I24" s="473" t="s">
        <v>525</v>
      </c>
      <c r="J24" s="473" t="s">
        <v>526</v>
      </c>
      <c r="K24" s="473" t="s">
        <v>502</v>
      </c>
      <c r="L24" s="475">
        <v>143.65</v>
      </c>
      <c r="M24" s="475">
        <v>2</v>
      </c>
      <c r="N24" s="476">
        <v>287.3</v>
      </c>
    </row>
    <row r="25" spans="1:14" ht="14.4" customHeight="1" x14ac:dyDescent="0.3">
      <c r="A25" s="471" t="s">
        <v>443</v>
      </c>
      <c r="B25" s="472" t="s">
        <v>444</v>
      </c>
      <c r="C25" s="473" t="s">
        <v>454</v>
      </c>
      <c r="D25" s="474" t="s">
        <v>596</v>
      </c>
      <c r="E25" s="473" t="s">
        <v>457</v>
      </c>
      <c r="F25" s="474" t="s">
        <v>597</v>
      </c>
      <c r="G25" s="473" t="s">
        <v>458</v>
      </c>
      <c r="H25" s="473" t="s">
        <v>527</v>
      </c>
      <c r="I25" s="473" t="s">
        <v>528</v>
      </c>
      <c r="J25" s="473" t="s">
        <v>529</v>
      </c>
      <c r="K25" s="473" t="s">
        <v>530</v>
      </c>
      <c r="L25" s="475">
        <v>729.00296617017466</v>
      </c>
      <c r="M25" s="475">
        <v>2</v>
      </c>
      <c r="N25" s="476">
        <v>1458.0059323403493</v>
      </c>
    </row>
    <row r="26" spans="1:14" ht="14.4" customHeight="1" x14ac:dyDescent="0.3">
      <c r="A26" s="471" t="s">
        <v>443</v>
      </c>
      <c r="B26" s="472" t="s">
        <v>444</v>
      </c>
      <c r="C26" s="473" t="s">
        <v>454</v>
      </c>
      <c r="D26" s="474" t="s">
        <v>596</v>
      </c>
      <c r="E26" s="473" t="s">
        <v>457</v>
      </c>
      <c r="F26" s="474" t="s">
        <v>597</v>
      </c>
      <c r="G26" s="473" t="s">
        <v>458</v>
      </c>
      <c r="H26" s="473" t="s">
        <v>531</v>
      </c>
      <c r="I26" s="473" t="s">
        <v>531</v>
      </c>
      <c r="J26" s="473" t="s">
        <v>532</v>
      </c>
      <c r="K26" s="473" t="s">
        <v>533</v>
      </c>
      <c r="L26" s="475">
        <v>1311.7740039328939</v>
      </c>
      <c r="M26" s="475">
        <v>7</v>
      </c>
      <c r="N26" s="476">
        <v>9182.4180275302569</v>
      </c>
    </row>
    <row r="27" spans="1:14" ht="14.4" customHeight="1" x14ac:dyDescent="0.3">
      <c r="A27" s="471" t="s">
        <v>443</v>
      </c>
      <c r="B27" s="472" t="s">
        <v>444</v>
      </c>
      <c r="C27" s="473" t="s">
        <v>454</v>
      </c>
      <c r="D27" s="474" t="s">
        <v>596</v>
      </c>
      <c r="E27" s="473" t="s">
        <v>457</v>
      </c>
      <c r="F27" s="474" t="s">
        <v>597</v>
      </c>
      <c r="G27" s="473" t="s">
        <v>458</v>
      </c>
      <c r="H27" s="473" t="s">
        <v>534</v>
      </c>
      <c r="I27" s="473" t="s">
        <v>534</v>
      </c>
      <c r="J27" s="473" t="s">
        <v>535</v>
      </c>
      <c r="K27" s="473" t="s">
        <v>536</v>
      </c>
      <c r="L27" s="475">
        <v>2367.9400000000005</v>
      </c>
      <c r="M27" s="475">
        <v>1</v>
      </c>
      <c r="N27" s="476">
        <v>2367.9400000000005</v>
      </c>
    </row>
    <row r="28" spans="1:14" ht="14.4" customHeight="1" x14ac:dyDescent="0.3">
      <c r="A28" s="471" t="s">
        <v>443</v>
      </c>
      <c r="B28" s="472" t="s">
        <v>444</v>
      </c>
      <c r="C28" s="473" t="s">
        <v>454</v>
      </c>
      <c r="D28" s="474" t="s">
        <v>596</v>
      </c>
      <c r="E28" s="473" t="s">
        <v>457</v>
      </c>
      <c r="F28" s="474" t="s">
        <v>597</v>
      </c>
      <c r="G28" s="473" t="s">
        <v>458</v>
      </c>
      <c r="H28" s="473" t="s">
        <v>537</v>
      </c>
      <c r="I28" s="473" t="s">
        <v>538</v>
      </c>
      <c r="J28" s="473" t="s">
        <v>539</v>
      </c>
      <c r="K28" s="473" t="s">
        <v>540</v>
      </c>
      <c r="L28" s="475">
        <v>1219.5064920422603</v>
      </c>
      <c r="M28" s="475">
        <v>64</v>
      </c>
      <c r="N28" s="476">
        <v>78048.415490704661</v>
      </c>
    </row>
    <row r="29" spans="1:14" ht="14.4" customHeight="1" x14ac:dyDescent="0.3">
      <c r="A29" s="471" t="s">
        <v>443</v>
      </c>
      <c r="B29" s="472" t="s">
        <v>444</v>
      </c>
      <c r="C29" s="473" t="s">
        <v>454</v>
      </c>
      <c r="D29" s="474" t="s">
        <v>596</v>
      </c>
      <c r="E29" s="473" t="s">
        <v>457</v>
      </c>
      <c r="F29" s="474" t="s">
        <v>597</v>
      </c>
      <c r="G29" s="473" t="s">
        <v>458</v>
      </c>
      <c r="H29" s="473" t="s">
        <v>541</v>
      </c>
      <c r="I29" s="473" t="s">
        <v>542</v>
      </c>
      <c r="J29" s="473" t="s">
        <v>543</v>
      </c>
      <c r="K29" s="473" t="s">
        <v>544</v>
      </c>
      <c r="L29" s="475">
        <v>708.31834553822421</v>
      </c>
      <c r="M29" s="475">
        <v>14</v>
      </c>
      <c r="N29" s="476">
        <v>9916.4568375351391</v>
      </c>
    </row>
    <row r="30" spans="1:14" ht="14.4" customHeight="1" x14ac:dyDescent="0.3">
      <c r="A30" s="471" t="s">
        <v>443</v>
      </c>
      <c r="B30" s="472" t="s">
        <v>444</v>
      </c>
      <c r="C30" s="473" t="s">
        <v>454</v>
      </c>
      <c r="D30" s="474" t="s">
        <v>596</v>
      </c>
      <c r="E30" s="473" t="s">
        <v>457</v>
      </c>
      <c r="F30" s="474" t="s">
        <v>597</v>
      </c>
      <c r="G30" s="473" t="s">
        <v>458</v>
      </c>
      <c r="H30" s="473" t="s">
        <v>545</v>
      </c>
      <c r="I30" s="473" t="s">
        <v>545</v>
      </c>
      <c r="J30" s="473" t="s">
        <v>546</v>
      </c>
      <c r="K30" s="473" t="s">
        <v>547</v>
      </c>
      <c r="L30" s="475">
        <v>1782.9349390142061</v>
      </c>
      <c r="M30" s="475">
        <v>2</v>
      </c>
      <c r="N30" s="476">
        <v>3565.8698780284121</v>
      </c>
    </row>
    <row r="31" spans="1:14" ht="14.4" customHeight="1" x14ac:dyDescent="0.3">
      <c r="A31" s="471" t="s">
        <v>443</v>
      </c>
      <c r="B31" s="472" t="s">
        <v>444</v>
      </c>
      <c r="C31" s="473" t="s">
        <v>454</v>
      </c>
      <c r="D31" s="474" t="s">
        <v>596</v>
      </c>
      <c r="E31" s="473" t="s">
        <v>457</v>
      </c>
      <c r="F31" s="474" t="s">
        <v>597</v>
      </c>
      <c r="G31" s="473" t="s">
        <v>458</v>
      </c>
      <c r="H31" s="473" t="s">
        <v>548</v>
      </c>
      <c r="I31" s="473" t="s">
        <v>549</v>
      </c>
      <c r="J31" s="473" t="s">
        <v>550</v>
      </c>
      <c r="K31" s="473" t="s">
        <v>551</v>
      </c>
      <c r="L31" s="475">
        <v>657.05562882626612</v>
      </c>
      <c r="M31" s="475">
        <v>54</v>
      </c>
      <c r="N31" s="476">
        <v>35481.00395661837</v>
      </c>
    </row>
    <row r="32" spans="1:14" ht="14.4" customHeight="1" x14ac:dyDescent="0.3">
      <c r="A32" s="471" t="s">
        <v>443</v>
      </c>
      <c r="B32" s="472" t="s">
        <v>444</v>
      </c>
      <c r="C32" s="473" t="s">
        <v>454</v>
      </c>
      <c r="D32" s="474" t="s">
        <v>596</v>
      </c>
      <c r="E32" s="473" t="s">
        <v>457</v>
      </c>
      <c r="F32" s="474" t="s">
        <v>597</v>
      </c>
      <c r="G32" s="473" t="s">
        <v>458</v>
      </c>
      <c r="H32" s="473" t="s">
        <v>552</v>
      </c>
      <c r="I32" s="473" t="s">
        <v>553</v>
      </c>
      <c r="J32" s="473" t="s">
        <v>554</v>
      </c>
      <c r="K32" s="473" t="s">
        <v>555</v>
      </c>
      <c r="L32" s="475">
        <v>909.71696444726354</v>
      </c>
      <c r="M32" s="475">
        <v>52</v>
      </c>
      <c r="N32" s="476">
        <v>47305.282151257707</v>
      </c>
    </row>
    <row r="33" spans="1:14" ht="14.4" customHeight="1" x14ac:dyDescent="0.3">
      <c r="A33" s="471" t="s">
        <v>443</v>
      </c>
      <c r="B33" s="472" t="s">
        <v>444</v>
      </c>
      <c r="C33" s="473" t="s">
        <v>454</v>
      </c>
      <c r="D33" s="474" t="s">
        <v>596</v>
      </c>
      <c r="E33" s="473" t="s">
        <v>457</v>
      </c>
      <c r="F33" s="474" t="s">
        <v>597</v>
      </c>
      <c r="G33" s="473" t="s">
        <v>458</v>
      </c>
      <c r="H33" s="473" t="s">
        <v>556</v>
      </c>
      <c r="I33" s="473" t="s">
        <v>557</v>
      </c>
      <c r="J33" s="473" t="s">
        <v>558</v>
      </c>
      <c r="K33" s="473" t="s">
        <v>559</v>
      </c>
      <c r="L33" s="475">
        <v>450.66696704326472</v>
      </c>
      <c r="M33" s="475">
        <v>112</v>
      </c>
      <c r="N33" s="476">
        <v>50474.700308845648</v>
      </c>
    </row>
    <row r="34" spans="1:14" ht="14.4" customHeight="1" x14ac:dyDescent="0.3">
      <c r="A34" s="471" t="s">
        <v>443</v>
      </c>
      <c r="B34" s="472" t="s">
        <v>444</v>
      </c>
      <c r="C34" s="473" t="s">
        <v>454</v>
      </c>
      <c r="D34" s="474" t="s">
        <v>596</v>
      </c>
      <c r="E34" s="473" t="s">
        <v>457</v>
      </c>
      <c r="F34" s="474" t="s">
        <v>597</v>
      </c>
      <c r="G34" s="473" t="s">
        <v>458</v>
      </c>
      <c r="H34" s="473" t="s">
        <v>560</v>
      </c>
      <c r="I34" s="473" t="s">
        <v>560</v>
      </c>
      <c r="J34" s="473" t="s">
        <v>561</v>
      </c>
      <c r="K34" s="473" t="s">
        <v>562</v>
      </c>
      <c r="L34" s="475">
        <v>1114.7892933699375</v>
      </c>
      <c r="M34" s="475">
        <v>7</v>
      </c>
      <c r="N34" s="476">
        <v>7803.525053589563</v>
      </c>
    </row>
    <row r="35" spans="1:14" ht="14.4" customHeight="1" x14ac:dyDescent="0.3">
      <c r="A35" s="471" t="s">
        <v>443</v>
      </c>
      <c r="B35" s="472" t="s">
        <v>444</v>
      </c>
      <c r="C35" s="473" t="s">
        <v>454</v>
      </c>
      <c r="D35" s="474" t="s">
        <v>596</v>
      </c>
      <c r="E35" s="473" t="s">
        <v>457</v>
      </c>
      <c r="F35" s="474" t="s">
        <v>597</v>
      </c>
      <c r="G35" s="473" t="s">
        <v>458</v>
      </c>
      <c r="H35" s="473" t="s">
        <v>563</v>
      </c>
      <c r="I35" s="473" t="s">
        <v>564</v>
      </c>
      <c r="J35" s="473" t="s">
        <v>565</v>
      </c>
      <c r="K35" s="473" t="s">
        <v>566</v>
      </c>
      <c r="L35" s="475">
        <v>326.29206815826461</v>
      </c>
      <c r="M35" s="475">
        <v>42</v>
      </c>
      <c r="N35" s="476">
        <v>13704.266862647113</v>
      </c>
    </row>
    <row r="36" spans="1:14" ht="14.4" customHeight="1" x14ac:dyDescent="0.3">
      <c r="A36" s="471" t="s">
        <v>443</v>
      </c>
      <c r="B36" s="472" t="s">
        <v>444</v>
      </c>
      <c r="C36" s="473" t="s">
        <v>454</v>
      </c>
      <c r="D36" s="474" t="s">
        <v>596</v>
      </c>
      <c r="E36" s="473" t="s">
        <v>457</v>
      </c>
      <c r="F36" s="474" t="s">
        <v>597</v>
      </c>
      <c r="G36" s="473" t="s">
        <v>458</v>
      </c>
      <c r="H36" s="473" t="s">
        <v>567</v>
      </c>
      <c r="I36" s="473" t="s">
        <v>568</v>
      </c>
      <c r="J36" s="473" t="s">
        <v>569</v>
      </c>
      <c r="K36" s="473" t="s">
        <v>570</v>
      </c>
      <c r="L36" s="475">
        <v>471.09</v>
      </c>
      <c r="M36" s="475">
        <v>1</v>
      </c>
      <c r="N36" s="476">
        <v>471.09</v>
      </c>
    </row>
    <row r="37" spans="1:14" ht="14.4" customHeight="1" x14ac:dyDescent="0.3">
      <c r="A37" s="471" t="s">
        <v>443</v>
      </c>
      <c r="B37" s="472" t="s">
        <v>444</v>
      </c>
      <c r="C37" s="473" t="s">
        <v>454</v>
      </c>
      <c r="D37" s="474" t="s">
        <v>596</v>
      </c>
      <c r="E37" s="473" t="s">
        <v>457</v>
      </c>
      <c r="F37" s="474" t="s">
        <v>597</v>
      </c>
      <c r="G37" s="473" t="s">
        <v>458</v>
      </c>
      <c r="H37" s="473" t="s">
        <v>571</v>
      </c>
      <c r="I37" s="473" t="s">
        <v>571</v>
      </c>
      <c r="J37" s="473" t="s">
        <v>572</v>
      </c>
      <c r="K37" s="473" t="s">
        <v>573</v>
      </c>
      <c r="L37" s="475">
        <v>573.09835610681864</v>
      </c>
      <c r="M37" s="475">
        <v>3</v>
      </c>
      <c r="N37" s="476">
        <v>1719.2950683204558</v>
      </c>
    </row>
    <row r="38" spans="1:14" ht="14.4" customHeight="1" x14ac:dyDescent="0.3">
      <c r="A38" s="471" t="s">
        <v>443</v>
      </c>
      <c r="B38" s="472" t="s">
        <v>444</v>
      </c>
      <c r="C38" s="473" t="s">
        <v>454</v>
      </c>
      <c r="D38" s="474" t="s">
        <v>596</v>
      </c>
      <c r="E38" s="473" t="s">
        <v>457</v>
      </c>
      <c r="F38" s="474" t="s">
        <v>597</v>
      </c>
      <c r="G38" s="473" t="s">
        <v>458</v>
      </c>
      <c r="H38" s="473" t="s">
        <v>574</v>
      </c>
      <c r="I38" s="473" t="s">
        <v>575</v>
      </c>
      <c r="J38" s="473" t="s">
        <v>576</v>
      </c>
      <c r="K38" s="473" t="s">
        <v>577</v>
      </c>
      <c r="L38" s="475">
        <v>639.00097034677185</v>
      </c>
      <c r="M38" s="475">
        <v>3</v>
      </c>
      <c r="N38" s="476">
        <v>1917.0029110403157</v>
      </c>
    </row>
    <row r="39" spans="1:14" ht="14.4" customHeight="1" x14ac:dyDescent="0.3">
      <c r="A39" s="471" t="s">
        <v>443</v>
      </c>
      <c r="B39" s="472" t="s">
        <v>444</v>
      </c>
      <c r="C39" s="473" t="s">
        <v>454</v>
      </c>
      <c r="D39" s="474" t="s">
        <v>596</v>
      </c>
      <c r="E39" s="473" t="s">
        <v>457</v>
      </c>
      <c r="F39" s="474" t="s">
        <v>597</v>
      </c>
      <c r="G39" s="473" t="s">
        <v>458</v>
      </c>
      <c r="H39" s="473" t="s">
        <v>578</v>
      </c>
      <c r="I39" s="473" t="s">
        <v>579</v>
      </c>
      <c r="J39" s="473" t="s">
        <v>580</v>
      </c>
      <c r="K39" s="473" t="s">
        <v>581</v>
      </c>
      <c r="L39" s="475">
        <v>588.58000000000004</v>
      </c>
      <c r="M39" s="475">
        <v>3</v>
      </c>
      <c r="N39" s="476">
        <v>1765.7400000000002</v>
      </c>
    </row>
    <row r="40" spans="1:14" ht="14.4" customHeight="1" x14ac:dyDescent="0.3">
      <c r="A40" s="471" t="s">
        <v>443</v>
      </c>
      <c r="B40" s="472" t="s">
        <v>444</v>
      </c>
      <c r="C40" s="473" t="s">
        <v>454</v>
      </c>
      <c r="D40" s="474" t="s">
        <v>596</v>
      </c>
      <c r="E40" s="473" t="s">
        <v>457</v>
      </c>
      <c r="F40" s="474" t="s">
        <v>597</v>
      </c>
      <c r="G40" s="473" t="s">
        <v>458</v>
      </c>
      <c r="H40" s="473" t="s">
        <v>582</v>
      </c>
      <c r="I40" s="473" t="s">
        <v>582</v>
      </c>
      <c r="J40" s="473" t="s">
        <v>583</v>
      </c>
      <c r="K40" s="473" t="s">
        <v>584</v>
      </c>
      <c r="L40" s="475">
        <v>1263.1099999999997</v>
      </c>
      <c r="M40" s="475">
        <v>1</v>
      </c>
      <c r="N40" s="476">
        <v>1263.1099999999997</v>
      </c>
    </row>
    <row r="41" spans="1:14" ht="14.4" customHeight="1" x14ac:dyDescent="0.3">
      <c r="A41" s="471" t="s">
        <v>443</v>
      </c>
      <c r="B41" s="472" t="s">
        <v>444</v>
      </c>
      <c r="C41" s="473" t="s">
        <v>454</v>
      </c>
      <c r="D41" s="474" t="s">
        <v>596</v>
      </c>
      <c r="E41" s="473" t="s">
        <v>457</v>
      </c>
      <c r="F41" s="474" t="s">
        <v>597</v>
      </c>
      <c r="G41" s="473" t="s">
        <v>458</v>
      </c>
      <c r="H41" s="473" t="s">
        <v>585</v>
      </c>
      <c r="I41" s="473" t="s">
        <v>585</v>
      </c>
      <c r="J41" s="473" t="s">
        <v>586</v>
      </c>
      <c r="K41" s="473" t="s">
        <v>587</v>
      </c>
      <c r="L41" s="475">
        <v>1162.7450415086646</v>
      </c>
      <c r="M41" s="475">
        <v>8</v>
      </c>
      <c r="N41" s="476">
        <v>9301.9603320693168</v>
      </c>
    </row>
    <row r="42" spans="1:14" ht="14.4" customHeight="1" x14ac:dyDescent="0.3">
      <c r="A42" s="471" t="s">
        <v>443</v>
      </c>
      <c r="B42" s="472" t="s">
        <v>444</v>
      </c>
      <c r="C42" s="473" t="s">
        <v>454</v>
      </c>
      <c r="D42" s="474" t="s">
        <v>596</v>
      </c>
      <c r="E42" s="473" t="s">
        <v>457</v>
      </c>
      <c r="F42" s="474" t="s">
        <v>597</v>
      </c>
      <c r="G42" s="473" t="s">
        <v>458</v>
      </c>
      <c r="H42" s="473" t="s">
        <v>588</v>
      </c>
      <c r="I42" s="473" t="s">
        <v>589</v>
      </c>
      <c r="J42" s="473" t="s">
        <v>590</v>
      </c>
      <c r="K42" s="473" t="s">
        <v>591</v>
      </c>
      <c r="L42" s="475">
        <v>779.37949269184537</v>
      </c>
      <c r="M42" s="475">
        <v>42</v>
      </c>
      <c r="N42" s="476">
        <v>32733.938693057506</v>
      </c>
    </row>
    <row r="43" spans="1:14" ht="14.4" customHeight="1" thickBot="1" x14ac:dyDescent="0.35">
      <c r="A43" s="477" t="s">
        <v>443</v>
      </c>
      <c r="B43" s="478" t="s">
        <v>444</v>
      </c>
      <c r="C43" s="479" t="s">
        <v>454</v>
      </c>
      <c r="D43" s="480" t="s">
        <v>596</v>
      </c>
      <c r="E43" s="479" t="s">
        <v>457</v>
      </c>
      <c r="F43" s="480" t="s">
        <v>597</v>
      </c>
      <c r="G43" s="479" t="s">
        <v>458</v>
      </c>
      <c r="H43" s="479" t="s">
        <v>592</v>
      </c>
      <c r="I43" s="479" t="s">
        <v>592</v>
      </c>
      <c r="J43" s="479" t="s">
        <v>593</v>
      </c>
      <c r="K43" s="479" t="s">
        <v>594</v>
      </c>
      <c r="L43" s="481">
        <v>639.87023886027055</v>
      </c>
      <c r="M43" s="481">
        <v>3</v>
      </c>
      <c r="N43" s="482">
        <v>1919.6107165808116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16384" width="8.88671875" style="133"/>
  </cols>
  <sheetData>
    <row r="1" spans="1:6" ht="37.200000000000003" customHeight="1" thickBot="1" x14ac:dyDescent="0.4">
      <c r="A1" s="367" t="s">
        <v>170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483" t="s">
        <v>148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thickBot="1" x14ac:dyDescent="0.35">
      <c r="A5" s="497" t="s">
        <v>598</v>
      </c>
      <c r="B5" s="463"/>
      <c r="C5" s="487">
        <v>0</v>
      </c>
      <c r="D5" s="463">
        <v>345.97</v>
      </c>
      <c r="E5" s="487">
        <v>1</v>
      </c>
      <c r="F5" s="464">
        <v>345.97</v>
      </c>
    </row>
    <row r="6" spans="1:6" ht="14.4" customHeight="1" thickBot="1" x14ac:dyDescent="0.35">
      <c r="A6" s="493" t="s">
        <v>3</v>
      </c>
      <c r="B6" s="494"/>
      <c r="C6" s="495">
        <v>0</v>
      </c>
      <c r="D6" s="494">
        <v>345.97</v>
      </c>
      <c r="E6" s="495">
        <v>1</v>
      </c>
      <c r="F6" s="496">
        <v>345.97</v>
      </c>
    </row>
    <row r="7" spans="1:6" ht="14.4" customHeight="1" thickBot="1" x14ac:dyDescent="0.35"/>
    <row r="8" spans="1:6" ht="14.4" customHeight="1" x14ac:dyDescent="0.3">
      <c r="A8" s="503" t="s">
        <v>599</v>
      </c>
      <c r="B8" s="469"/>
      <c r="C8" s="488">
        <v>0</v>
      </c>
      <c r="D8" s="469">
        <v>287.3</v>
      </c>
      <c r="E8" s="488">
        <v>1</v>
      </c>
      <c r="F8" s="470">
        <v>287.3</v>
      </c>
    </row>
    <row r="9" spans="1:6" ht="14.4" customHeight="1" thickBot="1" x14ac:dyDescent="0.35">
      <c r="A9" s="504" t="s">
        <v>600</v>
      </c>
      <c r="B9" s="500"/>
      <c r="C9" s="501">
        <v>0</v>
      </c>
      <c r="D9" s="500">
        <v>58.67</v>
      </c>
      <c r="E9" s="501">
        <v>1</v>
      </c>
      <c r="F9" s="502">
        <v>58.67</v>
      </c>
    </row>
    <row r="10" spans="1:6" ht="14.4" customHeight="1" thickBot="1" x14ac:dyDescent="0.35">
      <c r="A10" s="493" t="s">
        <v>3</v>
      </c>
      <c r="B10" s="494"/>
      <c r="C10" s="495">
        <v>0</v>
      </c>
      <c r="D10" s="494">
        <v>345.97</v>
      </c>
      <c r="E10" s="495">
        <v>1</v>
      </c>
      <c r="F10" s="496">
        <v>345.97</v>
      </c>
    </row>
  </sheetData>
  <mergeCells count="3">
    <mergeCell ref="A1:F1"/>
    <mergeCell ref="B3:C3"/>
    <mergeCell ref="D3:E3"/>
  </mergeCells>
  <conditionalFormatting sqref="C5:C1048576">
    <cfRule type="cellIs" dxfId="3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3" bestFit="1" customWidth="1"/>
    <col min="2" max="2" width="8.88671875" style="133" bestFit="1" customWidth="1"/>
    <col min="3" max="3" width="7" style="133" bestFit="1" customWidth="1"/>
    <col min="4" max="4" width="53.44140625" style="133" bestFit="1" customWidth="1"/>
    <col min="5" max="5" width="28.44140625" style="133" bestFit="1" customWidth="1"/>
    <col min="6" max="6" width="6.6640625" style="211" customWidth="1"/>
    <col min="7" max="7" width="10" style="211" customWidth="1"/>
    <col min="8" max="8" width="6.77734375" style="214" bestFit="1" customWidth="1"/>
    <col min="9" max="9" width="6.6640625" style="211" customWidth="1"/>
    <col min="10" max="10" width="10" style="211" customWidth="1"/>
    <col min="11" max="11" width="6.77734375" style="214" bestFit="1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604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345.97</v>
      </c>
      <c r="K3" s="44">
        <f>IF(M3=0,0,J3/M3)</f>
        <v>1</v>
      </c>
      <c r="L3" s="43">
        <f>SUBTOTAL(9,L6:L1048576)</f>
        <v>3</v>
      </c>
      <c r="M3" s="45">
        <f>SUBTOTAL(9,M6:M1048576)</f>
        <v>345.97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483" t="s">
        <v>135</v>
      </c>
      <c r="B5" s="505" t="s">
        <v>136</v>
      </c>
      <c r="C5" s="505" t="s">
        <v>71</v>
      </c>
      <c r="D5" s="505" t="s">
        <v>137</v>
      </c>
      <c r="E5" s="505" t="s">
        <v>138</v>
      </c>
      <c r="F5" s="506" t="s">
        <v>28</v>
      </c>
      <c r="G5" s="506" t="s">
        <v>14</v>
      </c>
      <c r="H5" s="485" t="s">
        <v>139</v>
      </c>
      <c r="I5" s="484" t="s">
        <v>28</v>
      </c>
      <c r="J5" s="506" t="s">
        <v>14</v>
      </c>
      <c r="K5" s="485" t="s">
        <v>139</v>
      </c>
      <c r="L5" s="484" t="s">
        <v>28</v>
      </c>
      <c r="M5" s="507" t="s">
        <v>14</v>
      </c>
    </row>
    <row r="6" spans="1:13" ht="14.4" customHeight="1" x14ac:dyDescent="0.3">
      <c r="A6" s="465" t="s">
        <v>449</v>
      </c>
      <c r="B6" s="466" t="s">
        <v>601</v>
      </c>
      <c r="C6" s="466" t="s">
        <v>521</v>
      </c>
      <c r="D6" s="466" t="s">
        <v>522</v>
      </c>
      <c r="E6" s="466" t="s">
        <v>523</v>
      </c>
      <c r="F6" s="469"/>
      <c r="G6" s="469"/>
      <c r="H6" s="488">
        <v>0</v>
      </c>
      <c r="I6" s="469">
        <v>1</v>
      </c>
      <c r="J6" s="469">
        <v>58.67</v>
      </c>
      <c r="K6" s="488">
        <v>1</v>
      </c>
      <c r="L6" s="469">
        <v>1</v>
      </c>
      <c r="M6" s="470">
        <v>58.67</v>
      </c>
    </row>
    <row r="7" spans="1:13" ht="14.4" customHeight="1" thickBot="1" x14ac:dyDescent="0.35">
      <c r="A7" s="477" t="s">
        <v>449</v>
      </c>
      <c r="B7" s="478" t="s">
        <v>602</v>
      </c>
      <c r="C7" s="478" t="s">
        <v>525</v>
      </c>
      <c r="D7" s="478" t="s">
        <v>526</v>
      </c>
      <c r="E7" s="478" t="s">
        <v>603</v>
      </c>
      <c r="F7" s="481"/>
      <c r="G7" s="481"/>
      <c r="H7" s="489">
        <v>0</v>
      </c>
      <c r="I7" s="481">
        <v>2</v>
      </c>
      <c r="J7" s="481">
        <v>287.3</v>
      </c>
      <c r="K7" s="489">
        <v>1</v>
      </c>
      <c r="L7" s="481">
        <v>2</v>
      </c>
      <c r="M7" s="482">
        <v>287.3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7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68" t="s">
        <v>249</v>
      </c>
      <c r="B1" s="368"/>
      <c r="C1" s="368"/>
      <c r="D1" s="368"/>
      <c r="E1" s="368"/>
      <c r="F1" s="331"/>
      <c r="G1" s="331"/>
      <c r="H1" s="331"/>
      <c r="I1" s="331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9" t="s">
        <v>286</v>
      </c>
      <c r="B2" s="218"/>
      <c r="C2" s="218"/>
      <c r="D2" s="218"/>
      <c r="E2" s="218"/>
    </row>
    <row r="3" spans="1:17" ht="14.4" customHeight="1" thickBot="1" x14ac:dyDescent="0.35">
      <c r="A3" s="306" t="s">
        <v>3</v>
      </c>
      <c r="B3" s="310">
        <f>SUM(B6:B1048576)</f>
        <v>226</v>
      </c>
      <c r="C3" s="311">
        <f>SUM(C6:C1048576)</f>
        <v>0</v>
      </c>
      <c r="D3" s="311">
        <f>SUM(D6:D1048576)</f>
        <v>0</v>
      </c>
      <c r="E3" s="312">
        <f>SUM(E6:E1048576)</f>
        <v>0</v>
      </c>
      <c r="F3" s="309">
        <f>IF(SUM($B3:$E3)=0,"",B3/SUM($B3:$E3))</f>
        <v>1</v>
      </c>
      <c r="G3" s="307">
        <f t="shared" ref="G3:I3" si="0">IF(SUM($B3:$E3)=0,"",C3/SUM($B3:$E3))</f>
        <v>0</v>
      </c>
      <c r="H3" s="307">
        <f t="shared" si="0"/>
        <v>0</v>
      </c>
      <c r="I3" s="308">
        <f t="shared" si="0"/>
        <v>0</v>
      </c>
      <c r="J3" s="311">
        <f>SUM(J6:J1048576)</f>
        <v>105</v>
      </c>
      <c r="K3" s="311">
        <f>SUM(K6:K1048576)</f>
        <v>0</v>
      </c>
      <c r="L3" s="311">
        <f>SUM(L6:L1048576)</f>
        <v>0</v>
      </c>
      <c r="M3" s="312">
        <f>SUM(M6:M1048576)</f>
        <v>0</v>
      </c>
      <c r="N3" s="309">
        <f>IF(SUM($J3:$M3)=0,"",J3/SUM($J3:$M3))</f>
        <v>1</v>
      </c>
      <c r="O3" s="307">
        <f t="shared" ref="O3:Q3" si="1">IF(SUM($J3:$M3)=0,"",K3/SUM($J3:$M3))</f>
        <v>0</v>
      </c>
      <c r="P3" s="307">
        <f t="shared" si="1"/>
        <v>0</v>
      </c>
      <c r="Q3" s="308">
        <f t="shared" si="1"/>
        <v>0</v>
      </c>
    </row>
    <row r="4" spans="1:17" ht="14.4" customHeight="1" thickBot="1" x14ac:dyDescent="0.35">
      <c r="A4" s="305"/>
      <c r="B4" s="381" t="s">
        <v>251</v>
      </c>
      <c r="C4" s="382"/>
      <c r="D4" s="382"/>
      <c r="E4" s="383"/>
      <c r="F4" s="378" t="s">
        <v>256</v>
      </c>
      <c r="G4" s="379"/>
      <c r="H4" s="379"/>
      <c r="I4" s="380"/>
      <c r="J4" s="381" t="s">
        <v>257</v>
      </c>
      <c r="K4" s="382"/>
      <c r="L4" s="382"/>
      <c r="M4" s="383"/>
      <c r="N4" s="378" t="s">
        <v>258</v>
      </c>
      <c r="O4" s="379"/>
      <c r="P4" s="379"/>
      <c r="Q4" s="380"/>
    </row>
    <row r="5" spans="1:17" ht="14.4" customHeight="1" thickBot="1" x14ac:dyDescent="0.35">
      <c r="A5" s="508" t="s">
        <v>250</v>
      </c>
      <c r="B5" s="509" t="s">
        <v>252</v>
      </c>
      <c r="C5" s="509" t="s">
        <v>253</v>
      </c>
      <c r="D5" s="509" t="s">
        <v>254</v>
      </c>
      <c r="E5" s="510" t="s">
        <v>255</v>
      </c>
      <c r="F5" s="511" t="s">
        <v>252</v>
      </c>
      <c r="G5" s="512" t="s">
        <v>253</v>
      </c>
      <c r="H5" s="512" t="s">
        <v>254</v>
      </c>
      <c r="I5" s="513" t="s">
        <v>255</v>
      </c>
      <c r="J5" s="509" t="s">
        <v>252</v>
      </c>
      <c r="K5" s="509" t="s">
        <v>253</v>
      </c>
      <c r="L5" s="509" t="s">
        <v>254</v>
      </c>
      <c r="M5" s="510" t="s">
        <v>255</v>
      </c>
      <c r="N5" s="511" t="s">
        <v>252</v>
      </c>
      <c r="O5" s="512" t="s">
        <v>253</v>
      </c>
      <c r="P5" s="512" t="s">
        <v>254</v>
      </c>
      <c r="Q5" s="513" t="s">
        <v>255</v>
      </c>
    </row>
    <row r="6" spans="1:17" ht="14.4" customHeight="1" x14ac:dyDescent="0.3">
      <c r="A6" s="517" t="s">
        <v>605</v>
      </c>
      <c r="B6" s="523"/>
      <c r="C6" s="469"/>
      <c r="D6" s="469"/>
      <c r="E6" s="470"/>
      <c r="F6" s="520"/>
      <c r="G6" s="488"/>
      <c r="H6" s="488"/>
      <c r="I6" s="526"/>
      <c r="J6" s="523"/>
      <c r="K6" s="469"/>
      <c r="L6" s="469"/>
      <c r="M6" s="470"/>
      <c r="N6" s="520"/>
      <c r="O6" s="488"/>
      <c r="P6" s="488"/>
      <c r="Q6" s="514"/>
    </row>
    <row r="7" spans="1:17" ht="14.4" customHeight="1" x14ac:dyDescent="0.3">
      <c r="A7" s="518" t="s">
        <v>606</v>
      </c>
      <c r="B7" s="524">
        <v>154</v>
      </c>
      <c r="C7" s="475"/>
      <c r="D7" s="475"/>
      <c r="E7" s="476"/>
      <c r="F7" s="521">
        <v>1</v>
      </c>
      <c r="G7" s="499">
        <v>0</v>
      </c>
      <c r="H7" s="499">
        <v>0</v>
      </c>
      <c r="I7" s="527">
        <v>0</v>
      </c>
      <c r="J7" s="524">
        <v>79</v>
      </c>
      <c r="K7" s="475"/>
      <c r="L7" s="475"/>
      <c r="M7" s="476"/>
      <c r="N7" s="521">
        <v>1</v>
      </c>
      <c r="O7" s="499">
        <v>0</v>
      </c>
      <c r="P7" s="499">
        <v>0</v>
      </c>
      <c r="Q7" s="515">
        <v>0</v>
      </c>
    </row>
    <row r="8" spans="1:17" ht="14.4" customHeight="1" thickBot="1" x14ac:dyDescent="0.35">
      <c r="A8" s="519" t="s">
        <v>607</v>
      </c>
      <c r="B8" s="525">
        <v>72</v>
      </c>
      <c r="C8" s="481"/>
      <c r="D8" s="481"/>
      <c r="E8" s="482"/>
      <c r="F8" s="522">
        <v>1</v>
      </c>
      <c r="G8" s="489">
        <v>0</v>
      </c>
      <c r="H8" s="489">
        <v>0</v>
      </c>
      <c r="I8" s="528">
        <v>0</v>
      </c>
      <c r="J8" s="525">
        <v>26</v>
      </c>
      <c r="K8" s="481"/>
      <c r="L8" s="481"/>
      <c r="M8" s="482"/>
      <c r="N8" s="522">
        <v>1</v>
      </c>
      <c r="O8" s="489">
        <v>0</v>
      </c>
      <c r="P8" s="489">
        <v>0</v>
      </c>
      <c r="Q8" s="5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68" t="s">
        <v>143</v>
      </c>
      <c r="B1" s="368"/>
      <c r="C1" s="368"/>
      <c r="D1" s="368"/>
      <c r="E1" s="368"/>
      <c r="F1" s="368"/>
      <c r="G1" s="368"/>
      <c r="H1" s="368"/>
      <c r="I1" s="331"/>
      <c r="J1" s="331"/>
      <c r="K1" s="331"/>
      <c r="L1" s="331"/>
    </row>
    <row r="2" spans="1:14" ht="14.4" customHeight="1" thickBot="1" x14ac:dyDescent="0.35">
      <c r="A2" s="239" t="s">
        <v>286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85" t="s">
        <v>15</v>
      </c>
      <c r="D3" s="384"/>
      <c r="E3" s="384" t="s">
        <v>16</v>
      </c>
      <c r="F3" s="384"/>
      <c r="G3" s="384"/>
      <c r="H3" s="384"/>
      <c r="I3" s="384" t="s">
        <v>153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3">
        <v>19</v>
      </c>
      <c r="B5" s="454" t="s">
        <v>444</v>
      </c>
      <c r="C5" s="457">
        <v>34129.150000000009</v>
      </c>
      <c r="D5" s="457">
        <v>325</v>
      </c>
      <c r="E5" s="457">
        <v>24077.780000000006</v>
      </c>
      <c r="F5" s="529">
        <v>0.70549017482123055</v>
      </c>
      <c r="G5" s="457">
        <v>247</v>
      </c>
      <c r="H5" s="529">
        <v>0.76</v>
      </c>
      <c r="I5" s="457">
        <v>10051.370000000001</v>
      </c>
      <c r="J5" s="529">
        <v>0.29450982517876939</v>
      </c>
      <c r="K5" s="457">
        <v>78</v>
      </c>
      <c r="L5" s="529">
        <v>0.24</v>
      </c>
      <c r="M5" s="457" t="s">
        <v>69</v>
      </c>
      <c r="N5" s="154"/>
    </row>
    <row r="6" spans="1:14" ht="14.4" customHeight="1" x14ac:dyDescent="0.3">
      <c r="A6" s="453">
        <v>19</v>
      </c>
      <c r="B6" s="454" t="s">
        <v>608</v>
      </c>
      <c r="C6" s="457">
        <v>34129.150000000009</v>
      </c>
      <c r="D6" s="457">
        <v>325</v>
      </c>
      <c r="E6" s="457">
        <v>24077.780000000006</v>
      </c>
      <c r="F6" s="529">
        <v>0.70549017482123055</v>
      </c>
      <c r="G6" s="457">
        <v>247</v>
      </c>
      <c r="H6" s="529">
        <v>0.76</v>
      </c>
      <c r="I6" s="457">
        <v>10051.370000000001</v>
      </c>
      <c r="J6" s="529">
        <v>0.29450982517876939</v>
      </c>
      <c r="K6" s="457">
        <v>78</v>
      </c>
      <c r="L6" s="529">
        <v>0.24</v>
      </c>
      <c r="M6" s="457" t="s">
        <v>1</v>
      </c>
      <c r="N6" s="154"/>
    </row>
    <row r="7" spans="1:14" ht="14.4" customHeight="1" x14ac:dyDescent="0.3">
      <c r="A7" s="453" t="s">
        <v>443</v>
      </c>
      <c r="B7" s="454" t="s">
        <v>3</v>
      </c>
      <c r="C7" s="457">
        <v>34129.150000000009</v>
      </c>
      <c r="D7" s="457">
        <v>325</v>
      </c>
      <c r="E7" s="457">
        <v>24077.780000000006</v>
      </c>
      <c r="F7" s="529">
        <v>0.70549017482123055</v>
      </c>
      <c r="G7" s="457">
        <v>247</v>
      </c>
      <c r="H7" s="529">
        <v>0.76</v>
      </c>
      <c r="I7" s="457">
        <v>10051.370000000001</v>
      </c>
      <c r="J7" s="529">
        <v>0.29450982517876939</v>
      </c>
      <c r="K7" s="457">
        <v>78</v>
      </c>
      <c r="L7" s="529">
        <v>0.24</v>
      </c>
      <c r="M7" s="457" t="s">
        <v>448</v>
      </c>
      <c r="N7" s="154"/>
    </row>
    <row r="9" spans="1:14" ht="14.4" customHeight="1" x14ac:dyDescent="0.3">
      <c r="A9" s="453">
        <v>19</v>
      </c>
      <c r="B9" s="454" t="s">
        <v>444</v>
      </c>
      <c r="C9" s="457" t="s">
        <v>445</v>
      </c>
      <c r="D9" s="457" t="s">
        <v>445</v>
      </c>
      <c r="E9" s="457" t="s">
        <v>445</v>
      </c>
      <c r="F9" s="529" t="s">
        <v>445</v>
      </c>
      <c r="G9" s="457" t="s">
        <v>445</v>
      </c>
      <c r="H9" s="529" t="s">
        <v>445</v>
      </c>
      <c r="I9" s="457" t="s">
        <v>445</v>
      </c>
      <c r="J9" s="529" t="s">
        <v>445</v>
      </c>
      <c r="K9" s="457" t="s">
        <v>445</v>
      </c>
      <c r="L9" s="529" t="s">
        <v>445</v>
      </c>
      <c r="M9" s="457" t="s">
        <v>69</v>
      </c>
      <c r="N9" s="154"/>
    </row>
    <row r="10" spans="1:14" ht="14.4" customHeight="1" x14ac:dyDescent="0.3">
      <c r="A10" s="453" t="s">
        <v>609</v>
      </c>
      <c r="B10" s="454" t="s">
        <v>608</v>
      </c>
      <c r="C10" s="457">
        <v>34129.150000000009</v>
      </c>
      <c r="D10" s="457">
        <v>325</v>
      </c>
      <c r="E10" s="457">
        <v>24077.780000000006</v>
      </c>
      <c r="F10" s="529">
        <v>0.70549017482123055</v>
      </c>
      <c r="G10" s="457">
        <v>247</v>
      </c>
      <c r="H10" s="529">
        <v>0.76</v>
      </c>
      <c r="I10" s="457">
        <v>10051.370000000001</v>
      </c>
      <c r="J10" s="529">
        <v>0.29450982517876939</v>
      </c>
      <c r="K10" s="457">
        <v>78</v>
      </c>
      <c r="L10" s="529">
        <v>0.24</v>
      </c>
      <c r="M10" s="457" t="s">
        <v>1</v>
      </c>
      <c r="N10" s="154"/>
    </row>
    <row r="11" spans="1:14" ht="14.4" customHeight="1" x14ac:dyDescent="0.3">
      <c r="A11" s="453" t="s">
        <v>609</v>
      </c>
      <c r="B11" s="454" t="s">
        <v>610</v>
      </c>
      <c r="C11" s="457">
        <v>34129.150000000009</v>
      </c>
      <c r="D11" s="457">
        <v>325</v>
      </c>
      <c r="E11" s="457">
        <v>24077.780000000006</v>
      </c>
      <c r="F11" s="529">
        <v>0.70549017482123055</v>
      </c>
      <c r="G11" s="457">
        <v>247</v>
      </c>
      <c r="H11" s="529">
        <v>0.76</v>
      </c>
      <c r="I11" s="457">
        <v>10051.370000000001</v>
      </c>
      <c r="J11" s="529">
        <v>0.29450982517876939</v>
      </c>
      <c r="K11" s="457">
        <v>78</v>
      </c>
      <c r="L11" s="529">
        <v>0.24</v>
      </c>
      <c r="M11" s="457" t="s">
        <v>452</v>
      </c>
      <c r="N11" s="154"/>
    </row>
    <row r="12" spans="1:14" ht="14.4" customHeight="1" x14ac:dyDescent="0.3">
      <c r="A12" s="453" t="s">
        <v>445</v>
      </c>
      <c r="B12" s="454" t="s">
        <v>445</v>
      </c>
      <c r="C12" s="457" t="s">
        <v>445</v>
      </c>
      <c r="D12" s="457" t="s">
        <v>445</v>
      </c>
      <c r="E12" s="457" t="s">
        <v>445</v>
      </c>
      <c r="F12" s="529" t="s">
        <v>445</v>
      </c>
      <c r="G12" s="457" t="s">
        <v>445</v>
      </c>
      <c r="H12" s="529" t="s">
        <v>445</v>
      </c>
      <c r="I12" s="457" t="s">
        <v>445</v>
      </c>
      <c r="J12" s="529" t="s">
        <v>445</v>
      </c>
      <c r="K12" s="457" t="s">
        <v>445</v>
      </c>
      <c r="L12" s="529" t="s">
        <v>445</v>
      </c>
      <c r="M12" s="457" t="s">
        <v>453</v>
      </c>
      <c r="N12" s="154"/>
    </row>
    <row r="13" spans="1:14" ht="14.4" customHeight="1" x14ac:dyDescent="0.3">
      <c r="A13" s="453" t="s">
        <v>443</v>
      </c>
      <c r="B13" s="454" t="s">
        <v>447</v>
      </c>
      <c r="C13" s="457">
        <v>34129.150000000009</v>
      </c>
      <c r="D13" s="457">
        <v>325</v>
      </c>
      <c r="E13" s="457">
        <v>24077.780000000006</v>
      </c>
      <c r="F13" s="529">
        <v>0.70549017482123055</v>
      </c>
      <c r="G13" s="457">
        <v>247</v>
      </c>
      <c r="H13" s="529">
        <v>0.76</v>
      </c>
      <c r="I13" s="457">
        <v>10051.370000000001</v>
      </c>
      <c r="J13" s="529">
        <v>0.29450982517876939</v>
      </c>
      <c r="K13" s="457">
        <v>78</v>
      </c>
      <c r="L13" s="529">
        <v>0.24</v>
      </c>
      <c r="M13" s="457" t="s">
        <v>448</v>
      </c>
      <c r="N13" s="154"/>
    </row>
    <row r="14" spans="1:14" ht="14.4" customHeight="1" x14ac:dyDescent="0.3">
      <c r="A14" s="530" t="s">
        <v>611</v>
      </c>
    </row>
    <row r="15" spans="1:14" ht="14.4" customHeight="1" x14ac:dyDescent="0.3">
      <c r="A15" s="531" t="s">
        <v>612</v>
      </c>
    </row>
    <row r="16" spans="1:14" ht="14.4" customHeight="1" x14ac:dyDescent="0.3">
      <c r="A16" s="530" t="s">
        <v>613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6" priority="15" stopIfTrue="1" operator="lessThan">
      <formula>0.6</formula>
    </cfRule>
  </conditionalFormatting>
  <conditionalFormatting sqref="B5:B7">
    <cfRule type="expression" dxfId="35" priority="10">
      <formula>AND(LEFT(M5,6)&lt;&gt;"mezera",M5&lt;&gt;"")</formula>
    </cfRule>
  </conditionalFormatting>
  <conditionalFormatting sqref="A5:A7">
    <cfRule type="expression" dxfId="34" priority="8">
      <formula>AND(M5&lt;&gt;"",M5&lt;&gt;"mezeraKL")</formula>
    </cfRule>
  </conditionalFormatting>
  <conditionalFormatting sqref="F5:F7">
    <cfRule type="cellIs" dxfId="33" priority="7" operator="lessThan">
      <formula>0.6</formula>
    </cfRule>
  </conditionalFormatting>
  <conditionalFormatting sqref="B5:L7">
    <cfRule type="expression" dxfId="32" priority="9">
      <formula>OR($M5="KL",$M5="SumaKL")</formula>
    </cfRule>
    <cfRule type="expression" dxfId="31" priority="11">
      <formula>$M5="SumaNS"</formula>
    </cfRule>
  </conditionalFormatting>
  <conditionalFormatting sqref="A5:L7">
    <cfRule type="expression" dxfId="30" priority="12">
      <formula>$M5&lt;&gt;""</formula>
    </cfRule>
  </conditionalFormatting>
  <conditionalFormatting sqref="B9:B13">
    <cfRule type="expression" dxfId="29" priority="4">
      <formula>AND(LEFT(M9,6)&lt;&gt;"mezera",M9&lt;&gt;"")</formula>
    </cfRule>
  </conditionalFormatting>
  <conditionalFormatting sqref="A9:A13">
    <cfRule type="expression" dxfId="28" priority="2">
      <formula>AND(M9&lt;&gt;"",M9&lt;&gt;"mezeraKL")</formula>
    </cfRule>
  </conditionalFormatting>
  <conditionalFormatting sqref="F9:F13">
    <cfRule type="cellIs" dxfId="27" priority="1" operator="lessThan">
      <formula>0.6</formula>
    </cfRule>
  </conditionalFormatting>
  <conditionalFormatting sqref="B9:L13">
    <cfRule type="expression" dxfId="26" priority="3">
      <formula>OR($M9="KL",$M9="SumaKL")</formula>
    </cfRule>
    <cfRule type="expression" dxfId="25" priority="5">
      <formula>$M9="SumaNS"</formula>
    </cfRule>
  </conditionalFormatting>
  <conditionalFormatting sqref="A9:L13">
    <cfRule type="expression" dxfId="2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68" t="s">
        <v>154</v>
      </c>
      <c r="B1" s="368"/>
      <c r="C1" s="368"/>
      <c r="D1" s="368"/>
      <c r="E1" s="368"/>
      <c r="F1" s="368"/>
      <c r="G1" s="368"/>
      <c r="H1" s="368"/>
      <c r="I1" s="368"/>
      <c r="J1" s="331"/>
      <c r="K1" s="331"/>
      <c r="L1" s="331"/>
      <c r="M1" s="331"/>
    </row>
    <row r="2" spans="1:13" ht="14.4" customHeight="1" thickBot="1" x14ac:dyDescent="0.35">
      <c r="A2" s="239" t="s">
        <v>286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85" t="s">
        <v>15</v>
      </c>
      <c r="C3" s="387"/>
      <c r="D3" s="384"/>
      <c r="E3" s="146"/>
      <c r="F3" s="384" t="s">
        <v>16</v>
      </c>
      <c r="G3" s="384"/>
      <c r="H3" s="384"/>
      <c r="I3" s="384"/>
      <c r="J3" s="384" t="s">
        <v>153</v>
      </c>
      <c r="K3" s="384"/>
      <c r="L3" s="384"/>
      <c r="M3" s="386"/>
    </row>
    <row r="4" spans="1:13" ht="14.4" customHeight="1" thickBot="1" x14ac:dyDescent="0.35">
      <c r="A4" s="508" t="s">
        <v>140</v>
      </c>
      <c r="B4" s="509" t="s">
        <v>19</v>
      </c>
      <c r="C4" s="535"/>
      <c r="D4" s="509" t="s">
        <v>20</v>
      </c>
      <c r="E4" s="535"/>
      <c r="F4" s="509" t="s">
        <v>19</v>
      </c>
      <c r="G4" s="512" t="s">
        <v>2</v>
      </c>
      <c r="H4" s="509" t="s">
        <v>20</v>
      </c>
      <c r="I4" s="512" t="s">
        <v>2</v>
      </c>
      <c r="J4" s="509" t="s">
        <v>19</v>
      </c>
      <c r="K4" s="512" t="s">
        <v>2</v>
      </c>
      <c r="L4" s="509" t="s">
        <v>20</v>
      </c>
      <c r="M4" s="513" t="s">
        <v>2</v>
      </c>
    </row>
    <row r="5" spans="1:13" ht="14.4" customHeight="1" x14ac:dyDescent="0.3">
      <c r="A5" s="532" t="s">
        <v>614</v>
      </c>
      <c r="B5" s="523">
        <v>14811.760000000007</v>
      </c>
      <c r="C5" s="466">
        <v>1</v>
      </c>
      <c r="D5" s="536">
        <v>167</v>
      </c>
      <c r="E5" s="539" t="s">
        <v>614</v>
      </c>
      <c r="F5" s="523">
        <v>11676.240000000007</v>
      </c>
      <c r="G5" s="488">
        <v>0.78830874926409833</v>
      </c>
      <c r="H5" s="469">
        <v>131</v>
      </c>
      <c r="I5" s="514">
        <v>0.78443113772455086</v>
      </c>
      <c r="J5" s="542">
        <v>3135.52</v>
      </c>
      <c r="K5" s="488">
        <v>0.21169125073590164</v>
      </c>
      <c r="L5" s="469">
        <v>36</v>
      </c>
      <c r="M5" s="514">
        <v>0.21556886227544911</v>
      </c>
    </row>
    <row r="6" spans="1:13" ht="14.4" customHeight="1" x14ac:dyDescent="0.3">
      <c r="A6" s="533" t="s">
        <v>615</v>
      </c>
      <c r="B6" s="524">
        <v>2637.33</v>
      </c>
      <c r="C6" s="472">
        <v>1</v>
      </c>
      <c r="D6" s="537">
        <v>7</v>
      </c>
      <c r="E6" s="540" t="s">
        <v>615</v>
      </c>
      <c r="F6" s="524">
        <v>2637.33</v>
      </c>
      <c r="G6" s="499">
        <v>1</v>
      </c>
      <c r="H6" s="475">
        <v>7</v>
      </c>
      <c r="I6" s="515">
        <v>1</v>
      </c>
      <c r="J6" s="543"/>
      <c r="K6" s="499">
        <v>0</v>
      </c>
      <c r="L6" s="475"/>
      <c r="M6" s="515">
        <v>0</v>
      </c>
    </row>
    <row r="7" spans="1:13" ht="14.4" customHeight="1" x14ac:dyDescent="0.3">
      <c r="A7" s="533" t="s">
        <v>616</v>
      </c>
      <c r="B7" s="524">
        <v>6295.13</v>
      </c>
      <c r="C7" s="472">
        <v>1</v>
      </c>
      <c r="D7" s="537">
        <v>64</v>
      </c>
      <c r="E7" s="540" t="s">
        <v>616</v>
      </c>
      <c r="F7" s="524">
        <v>4328.54</v>
      </c>
      <c r="G7" s="499">
        <v>0.68760136804164484</v>
      </c>
      <c r="H7" s="475">
        <v>46</v>
      </c>
      <c r="I7" s="515">
        <v>0.71875</v>
      </c>
      <c r="J7" s="543">
        <v>1966.5900000000001</v>
      </c>
      <c r="K7" s="499">
        <v>0.3123986319583551</v>
      </c>
      <c r="L7" s="475">
        <v>18</v>
      </c>
      <c r="M7" s="515">
        <v>0.28125</v>
      </c>
    </row>
    <row r="8" spans="1:13" ht="14.4" customHeight="1" x14ac:dyDescent="0.3">
      <c r="A8" s="533" t="s">
        <v>617</v>
      </c>
      <c r="B8" s="524">
        <v>2635.2599999999993</v>
      </c>
      <c r="C8" s="472">
        <v>1</v>
      </c>
      <c r="D8" s="537">
        <v>20</v>
      </c>
      <c r="E8" s="540" t="s">
        <v>617</v>
      </c>
      <c r="F8" s="524">
        <v>1945.7099999999996</v>
      </c>
      <c r="G8" s="499">
        <v>0.73833701418455866</v>
      </c>
      <c r="H8" s="475">
        <v>14</v>
      </c>
      <c r="I8" s="515">
        <v>0.7</v>
      </c>
      <c r="J8" s="543">
        <v>689.55</v>
      </c>
      <c r="K8" s="499">
        <v>0.2616629858154414</v>
      </c>
      <c r="L8" s="475">
        <v>6</v>
      </c>
      <c r="M8" s="515">
        <v>0.3</v>
      </c>
    </row>
    <row r="9" spans="1:13" ht="14.4" customHeight="1" x14ac:dyDescent="0.3">
      <c r="A9" s="533" t="s">
        <v>618</v>
      </c>
      <c r="B9" s="524">
        <v>4677.130000000001</v>
      </c>
      <c r="C9" s="472">
        <v>1</v>
      </c>
      <c r="D9" s="537">
        <v>32</v>
      </c>
      <c r="E9" s="540" t="s">
        <v>618</v>
      </c>
      <c r="F9" s="524">
        <v>1280.0900000000004</v>
      </c>
      <c r="G9" s="499">
        <v>0.27369134490595731</v>
      </c>
      <c r="H9" s="475">
        <v>22</v>
      </c>
      <c r="I9" s="515">
        <v>0.6875</v>
      </c>
      <c r="J9" s="543">
        <v>3397.0400000000004</v>
      </c>
      <c r="K9" s="499">
        <v>0.72630865509404263</v>
      </c>
      <c r="L9" s="475">
        <v>10</v>
      </c>
      <c r="M9" s="515">
        <v>0.3125</v>
      </c>
    </row>
    <row r="10" spans="1:13" ht="14.4" customHeight="1" thickBot="1" x14ac:dyDescent="0.35">
      <c r="A10" s="534" t="s">
        <v>619</v>
      </c>
      <c r="B10" s="525">
        <v>3072.5400000000009</v>
      </c>
      <c r="C10" s="478">
        <v>1</v>
      </c>
      <c r="D10" s="538">
        <v>35</v>
      </c>
      <c r="E10" s="541" t="s">
        <v>619</v>
      </c>
      <c r="F10" s="525">
        <v>2209.8700000000008</v>
      </c>
      <c r="G10" s="489">
        <v>0.71923229640623076</v>
      </c>
      <c r="H10" s="481">
        <v>27</v>
      </c>
      <c r="I10" s="516">
        <v>0.77142857142857146</v>
      </c>
      <c r="J10" s="544">
        <v>862.67000000000007</v>
      </c>
      <c r="K10" s="489">
        <v>0.28076770359376929</v>
      </c>
      <c r="L10" s="481">
        <v>8</v>
      </c>
      <c r="M10" s="516">
        <v>0.22857142857142856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59" t="s">
        <v>905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9" t="s">
        <v>286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132</v>
      </c>
      <c r="L3" s="394"/>
      <c r="M3" s="66">
        <f>SUBTOTAL(9,M7:M1048576)</f>
        <v>34129.150000000009</v>
      </c>
      <c r="N3" s="66">
        <f>SUBTOTAL(9,N7:N1048576)</f>
        <v>659</v>
      </c>
      <c r="O3" s="66">
        <f>SUBTOTAL(9,O7:O1048576)</f>
        <v>325</v>
      </c>
      <c r="P3" s="66">
        <f>SUBTOTAL(9,P7:P1048576)</f>
        <v>24077.78000000001</v>
      </c>
      <c r="Q3" s="67">
        <f>IF(M3=0,0,P3/M3)</f>
        <v>0.70549017482123066</v>
      </c>
      <c r="R3" s="66">
        <f>SUBTOTAL(9,R7:R1048576)</f>
        <v>496</v>
      </c>
      <c r="S3" s="67">
        <f>IF(N3=0,0,R3/N3)</f>
        <v>0.75265553869499247</v>
      </c>
      <c r="T3" s="66">
        <f>SUBTOTAL(9,T7:T1048576)</f>
        <v>247</v>
      </c>
      <c r="U3" s="68">
        <f>IF(O3=0,0,T3/O3)</f>
        <v>0.76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12" customFormat="1" ht="14.4" customHeight="1" thickBot="1" x14ac:dyDescent="0.35">
      <c r="A6" s="545" t="s">
        <v>23</v>
      </c>
      <c r="B6" s="546" t="s">
        <v>5</v>
      </c>
      <c r="C6" s="545" t="s">
        <v>24</v>
      </c>
      <c r="D6" s="546" t="s">
        <v>6</v>
      </c>
      <c r="E6" s="546" t="s">
        <v>156</v>
      </c>
      <c r="F6" s="546" t="s">
        <v>25</v>
      </c>
      <c r="G6" s="546" t="s">
        <v>26</v>
      </c>
      <c r="H6" s="546" t="s">
        <v>8</v>
      </c>
      <c r="I6" s="546" t="s">
        <v>10</v>
      </c>
      <c r="J6" s="546" t="s">
        <v>11</v>
      </c>
      <c r="K6" s="546" t="s">
        <v>12</v>
      </c>
      <c r="L6" s="546" t="s">
        <v>27</v>
      </c>
      <c r="M6" s="547" t="s">
        <v>14</v>
      </c>
      <c r="N6" s="548" t="s">
        <v>28</v>
      </c>
      <c r="O6" s="548" t="s">
        <v>28</v>
      </c>
      <c r="P6" s="548" t="s">
        <v>14</v>
      </c>
      <c r="Q6" s="548" t="s">
        <v>2</v>
      </c>
      <c r="R6" s="548" t="s">
        <v>28</v>
      </c>
      <c r="S6" s="548" t="s">
        <v>2</v>
      </c>
      <c r="T6" s="548" t="s">
        <v>28</v>
      </c>
      <c r="U6" s="549" t="s">
        <v>2</v>
      </c>
    </row>
    <row r="7" spans="1:21" ht="14.4" customHeight="1" x14ac:dyDescent="0.3">
      <c r="A7" s="550">
        <v>19</v>
      </c>
      <c r="B7" s="551" t="s">
        <v>444</v>
      </c>
      <c r="C7" s="551" t="s">
        <v>609</v>
      </c>
      <c r="D7" s="552" t="s">
        <v>904</v>
      </c>
      <c r="E7" s="553" t="s">
        <v>614</v>
      </c>
      <c r="F7" s="551" t="s">
        <v>608</v>
      </c>
      <c r="G7" s="551" t="s">
        <v>620</v>
      </c>
      <c r="H7" s="551" t="s">
        <v>445</v>
      </c>
      <c r="I7" s="551" t="s">
        <v>621</v>
      </c>
      <c r="J7" s="551" t="s">
        <v>622</v>
      </c>
      <c r="K7" s="551" t="s">
        <v>623</v>
      </c>
      <c r="L7" s="554">
        <v>0</v>
      </c>
      <c r="M7" s="554">
        <v>0</v>
      </c>
      <c r="N7" s="551">
        <v>2</v>
      </c>
      <c r="O7" s="555">
        <v>1</v>
      </c>
      <c r="P7" s="554">
        <v>0</v>
      </c>
      <c r="Q7" s="556"/>
      <c r="R7" s="551">
        <v>2</v>
      </c>
      <c r="S7" s="556">
        <v>1</v>
      </c>
      <c r="T7" s="555">
        <v>1</v>
      </c>
      <c r="U7" s="125">
        <v>1</v>
      </c>
    </row>
    <row r="8" spans="1:21" ht="14.4" customHeight="1" x14ac:dyDescent="0.3">
      <c r="A8" s="557">
        <v>19</v>
      </c>
      <c r="B8" s="558" t="s">
        <v>444</v>
      </c>
      <c r="C8" s="558" t="s">
        <v>609</v>
      </c>
      <c r="D8" s="559" t="s">
        <v>904</v>
      </c>
      <c r="E8" s="560" t="s">
        <v>614</v>
      </c>
      <c r="F8" s="558" t="s">
        <v>608</v>
      </c>
      <c r="G8" s="558" t="s">
        <v>624</v>
      </c>
      <c r="H8" s="558" t="s">
        <v>445</v>
      </c>
      <c r="I8" s="558" t="s">
        <v>625</v>
      </c>
      <c r="J8" s="558" t="s">
        <v>626</v>
      </c>
      <c r="K8" s="558" t="s">
        <v>627</v>
      </c>
      <c r="L8" s="561">
        <v>150.04</v>
      </c>
      <c r="M8" s="561">
        <v>300.08</v>
      </c>
      <c r="N8" s="558">
        <v>2</v>
      </c>
      <c r="O8" s="562">
        <v>1</v>
      </c>
      <c r="P8" s="561">
        <v>300.08</v>
      </c>
      <c r="Q8" s="563">
        <v>1</v>
      </c>
      <c r="R8" s="558">
        <v>2</v>
      </c>
      <c r="S8" s="563">
        <v>1</v>
      </c>
      <c r="T8" s="562">
        <v>1</v>
      </c>
      <c r="U8" s="564">
        <v>1</v>
      </c>
    </row>
    <row r="9" spans="1:21" ht="14.4" customHeight="1" x14ac:dyDescent="0.3">
      <c r="A9" s="557">
        <v>19</v>
      </c>
      <c r="B9" s="558" t="s">
        <v>444</v>
      </c>
      <c r="C9" s="558" t="s">
        <v>609</v>
      </c>
      <c r="D9" s="559" t="s">
        <v>904</v>
      </c>
      <c r="E9" s="560" t="s">
        <v>614</v>
      </c>
      <c r="F9" s="558" t="s">
        <v>608</v>
      </c>
      <c r="G9" s="558" t="s">
        <v>624</v>
      </c>
      <c r="H9" s="558" t="s">
        <v>445</v>
      </c>
      <c r="I9" s="558" t="s">
        <v>625</v>
      </c>
      <c r="J9" s="558" t="s">
        <v>626</v>
      </c>
      <c r="K9" s="558" t="s">
        <v>627</v>
      </c>
      <c r="L9" s="561">
        <v>154.36000000000001</v>
      </c>
      <c r="M9" s="561">
        <v>308.72000000000003</v>
      </c>
      <c r="N9" s="558">
        <v>2</v>
      </c>
      <c r="O9" s="562">
        <v>1.5</v>
      </c>
      <c r="P9" s="561">
        <v>308.72000000000003</v>
      </c>
      <c r="Q9" s="563">
        <v>1</v>
      </c>
      <c r="R9" s="558">
        <v>2</v>
      </c>
      <c r="S9" s="563">
        <v>1</v>
      </c>
      <c r="T9" s="562">
        <v>1.5</v>
      </c>
      <c r="U9" s="564">
        <v>1</v>
      </c>
    </row>
    <row r="10" spans="1:21" ht="14.4" customHeight="1" x14ac:dyDescent="0.3">
      <c r="A10" s="557">
        <v>19</v>
      </c>
      <c r="B10" s="558" t="s">
        <v>444</v>
      </c>
      <c r="C10" s="558" t="s">
        <v>609</v>
      </c>
      <c r="D10" s="559" t="s">
        <v>904</v>
      </c>
      <c r="E10" s="560" t="s">
        <v>614</v>
      </c>
      <c r="F10" s="558" t="s">
        <v>608</v>
      </c>
      <c r="G10" s="558" t="s">
        <v>628</v>
      </c>
      <c r="H10" s="558" t="s">
        <v>445</v>
      </c>
      <c r="I10" s="558" t="s">
        <v>629</v>
      </c>
      <c r="J10" s="558" t="s">
        <v>630</v>
      </c>
      <c r="K10" s="558" t="s">
        <v>631</v>
      </c>
      <c r="L10" s="561">
        <v>189.43</v>
      </c>
      <c r="M10" s="561">
        <v>189.43</v>
      </c>
      <c r="N10" s="558">
        <v>1</v>
      </c>
      <c r="O10" s="562">
        <v>1</v>
      </c>
      <c r="P10" s="561">
        <v>189.43</v>
      </c>
      <c r="Q10" s="563">
        <v>1</v>
      </c>
      <c r="R10" s="558">
        <v>1</v>
      </c>
      <c r="S10" s="563">
        <v>1</v>
      </c>
      <c r="T10" s="562">
        <v>1</v>
      </c>
      <c r="U10" s="564">
        <v>1</v>
      </c>
    </row>
    <row r="11" spans="1:21" ht="14.4" customHeight="1" x14ac:dyDescent="0.3">
      <c r="A11" s="557">
        <v>19</v>
      </c>
      <c r="B11" s="558" t="s">
        <v>444</v>
      </c>
      <c r="C11" s="558" t="s">
        <v>609</v>
      </c>
      <c r="D11" s="559" t="s">
        <v>904</v>
      </c>
      <c r="E11" s="560" t="s">
        <v>614</v>
      </c>
      <c r="F11" s="558" t="s">
        <v>608</v>
      </c>
      <c r="G11" s="558" t="s">
        <v>632</v>
      </c>
      <c r="H11" s="558" t="s">
        <v>445</v>
      </c>
      <c r="I11" s="558" t="s">
        <v>633</v>
      </c>
      <c r="J11" s="558" t="s">
        <v>634</v>
      </c>
      <c r="K11" s="558" t="s">
        <v>635</v>
      </c>
      <c r="L11" s="561">
        <v>322.8</v>
      </c>
      <c r="M11" s="561">
        <v>322.8</v>
      </c>
      <c r="N11" s="558">
        <v>1</v>
      </c>
      <c r="O11" s="562">
        <v>0.5</v>
      </c>
      <c r="P11" s="561">
        <v>322.8</v>
      </c>
      <c r="Q11" s="563">
        <v>1</v>
      </c>
      <c r="R11" s="558">
        <v>1</v>
      </c>
      <c r="S11" s="563">
        <v>1</v>
      </c>
      <c r="T11" s="562">
        <v>0.5</v>
      </c>
      <c r="U11" s="564">
        <v>1</v>
      </c>
    </row>
    <row r="12" spans="1:21" ht="14.4" customHeight="1" x14ac:dyDescent="0.3">
      <c r="A12" s="557">
        <v>19</v>
      </c>
      <c r="B12" s="558" t="s">
        <v>444</v>
      </c>
      <c r="C12" s="558" t="s">
        <v>609</v>
      </c>
      <c r="D12" s="559" t="s">
        <v>904</v>
      </c>
      <c r="E12" s="560" t="s">
        <v>614</v>
      </c>
      <c r="F12" s="558" t="s">
        <v>608</v>
      </c>
      <c r="G12" s="558" t="s">
        <v>636</v>
      </c>
      <c r="H12" s="558" t="s">
        <v>445</v>
      </c>
      <c r="I12" s="558" t="s">
        <v>637</v>
      </c>
      <c r="J12" s="558" t="s">
        <v>638</v>
      </c>
      <c r="K12" s="558" t="s">
        <v>639</v>
      </c>
      <c r="L12" s="561">
        <v>110.28</v>
      </c>
      <c r="M12" s="561">
        <v>661.68000000000006</v>
      </c>
      <c r="N12" s="558">
        <v>6</v>
      </c>
      <c r="O12" s="562">
        <v>1.5</v>
      </c>
      <c r="P12" s="561">
        <v>661.68000000000006</v>
      </c>
      <c r="Q12" s="563">
        <v>1</v>
      </c>
      <c r="R12" s="558">
        <v>6</v>
      </c>
      <c r="S12" s="563">
        <v>1</v>
      </c>
      <c r="T12" s="562">
        <v>1.5</v>
      </c>
      <c r="U12" s="564">
        <v>1</v>
      </c>
    </row>
    <row r="13" spans="1:21" ht="14.4" customHeight="1" x14ac:dyDescent="0.3">
      <c r="A13" s="557">
        <v>19</v>
      </c>
      <c r="B13" s="558" t="s">
        <v>444</v>
      </c>
      <c r="C13" s="558" t="s">
        <v>609</v>
      </c>
      <c r="D13" s="559" t="s">
        <v>904</v>
      </c>
      <c r="E13" s="560" t="s">
        <v>614</v>
      </c>
      <c r="F13" s="558" t="s">
        <v>608</v>
      </c>
      <c r="G13" s="558" t="s">
        <v>640</v>
      </c>
      <c r="H13" s="558" t="s">
        <v>445</v>
      </c>
      <c r="I13" s="558" t="s">
        <v>641</v>
      </c>
      <c r="J13" s="558" t="s">
        <v>642</v>
      </c>
      <c r="K13" s="558" t="s">
        <v>643</v>
      </c>
      <c r="L13" s="561">
        <v>98.75</v>
      </c>
      <c r="M13" s="561">
        <v>98.75</v>
      </c>
      <c r="N13" s="558">
        <v>1</v>
      </c>
      <c r="O13" s="562">
        <v>1</v>
      </c>
      <c r="P13" s="561">
        <v>98.75</v>
      </c>
      <c r="Q13" s="563">
        <v>1</v>
      </c>
      <c r="R13" s="558">
        <v>1</v>
      </c>
      <c r="S13" s="563">
        <v>1</v>
      </c>
      <c r="T13" s="562">
        <v>1</v>
      </c>
      <c r="U13" s="564">
        <v>1</v>
      </c>
    </row>
    <row r="14" spans="1:21" ht="14.4" customHeight="1" x14ac:dyDescent="0.3">
      <c r="A14" s="557">
        <v>19</v>
      </c>
      <c r="B14" s="558" t="s">
        <v>444</v>
      </c>
      <c r="C14" s="558" t="s">
        <v>609</v>
      </c>
      <c r="D14" s="559" t="s">
        <v>904</v>
      </c>
      <c r="E14" s="560" t="s">
        <v>614</v>
      </c>
      <c r="F14" s="558" t="s">
        <v>608</v>
      </c>
      <c r="G14" s="558" t="s">
        <v>644</v>
      </c>
      <c r="H14" s="558" t="s">
        <v>445</v>
      </c>
      <c r="I14" s="558" t="s">
        <v>645</v>
      </c>
      <c r="J14" s="558" t="s">
        <v>646</v>
      </c>
      <c r="K14" s="558" t="s">
        <v>647</v>
      </c>
      <c r="L14" s="561">
        <v>40.01</v>
      </c>
      <c r="M14" s="561">
        <v>1720.4299999999998</v>
      </c>
      <c r="N14" s="558">
        <v>43</v>
      </c>
      <c r="O14" s="562">
        <v>20.5</v>
      </c>
      <c r="P14" s="561">
        <v>1400.35</v>
      </c>
      <c r="Q14" s="563">
        <v>0.81395348837209303</v>
      </c>
      <c r="R14" s="558">
        <v>35</v>
      </c>
      <c r="S14" s="563">
        <v>0.81395348837209303</v>
      </c>
      <c r="T14" s="562">
        <v>17</v>
      </c>
      <c r="U14" s="564">
        <v>0.82926829268292679</v>
      </c>
    </row>
    <row r="15" spans="1:21" ht="14.4" customHeight="1" x14ac:dyDescent="0.3">
      <c r="A15" s="557">
        <v>19</v>
      </c>
      <c r="B15" s="558" t="s">
        <v>444</v>
      </c>
      <c r="C15" s="558" t="s">
        <v>609</v>
      </c>
      <c r="D15" s="559" t="s">
        <v>904</v>
      </c>
      <c r="E15" s="560" t="s">
        <v>614</v>
      </c>
      <c r="F15" s="558" t="s">
        <v>608</v>
      </c>
      <c r="G15" s="558" t="s">
        <v>644</v>
      </c>
      <c r="H15" s="558" t="s">
        <v>445</v>
      </c>
      <c r="I15" s="558" t="s">
        <v>645</v>
      </c>
      <c r="J15" s="558" t="s">
        <v>646</v>
      </c>
      <c r="K15" s="558" t="s">
        <v>647</v>
      </c>
      <c r="L15" s="561">
        <v>44.59</v>
      </c>
      <c r="M15" s="561">
        <v>10077.340000000009</v>
      </c>
      <c r="N15" s="558">
        <v>226</v>
      </c>
      <c r="O15" s="562">
        <v>110</v>
      </c>
      <c r="P15" s="561">
        <v>7669.4800000000087</v>
      </c>
      <c r="Q15" s="563">
        <v>0.76106194690265505</v>
      </c>
      <c r="R15" s="558">
        <v>172</v>
      </c>
      <c r="S15" s="563">
        <v>0.76106194690265483</v>
      </c>
      <c r="T15" s="562">
        <v>83</v>
      </c>
      <c r="U15" s="564">
        <v>0.75454545454545452</v>
      </c>
    </row>
    <row r="16" spans="1:21" ht="14.4" customHeight="1" x14ac:dyDescent="0.3">
      <c r="A16" s="557">
        <v>19</v>
      </c>
      <c r="B16" s="558" t="s">
        <v>444</v>
      </c>
      <c r="C16" s="558" t="s">
        <v>609</v>
      </c>
      <c r="D16" s="559" t="s">
        <v>904</v>
      </c>
      <c r="E16" s="560" t="s">
        <v>614</v>
      </c>
      <c r="F16" s="558" t="s">
        <v>608</v>
      </c>
      <c r="G16" s="558" t="s">
        <v>648</v>
      </c>
      <c r="H16" s="558" t="s">
        <v>519</v>
      </c>
      <c r="I16" s="558" t="s">
        <v>649</v>
      </c>
      <c r="J16" s="558" t="s">
        <v>650</v>
      </c>
      <c r="K16" s="558" t="s">
        <v>651</v>
      </c>
      <c r="L16" s="561">
        <v>48.37</v>
      </c>
      <c r="M16" s="561">
        <v>48.37</v>
      </c>
      <c r="N16" s="558">
        <v>1</v>
      </c>
      <c r="O16" s="562">
        <v>1</v>
      </c>
      <c r="P16" s="561"/>
      <c r="Q16" s="563">
        <v>0</v>
      </c>
      <c r="R16" s="558"/>
      <c r="S16" s="563">
        <v>0</v>
      </c>
      <c r="T16" s="562"/>
      <c r="U16" s="564">
        <v>0</v>
      </c>
    </row>
    <row r="17" spans="1:21" ht="14.4" customHeight="1" x14ac:dyDescent="0.3">
      <c r="A17" s="557">
        <v>19</v>
      </c>
      <c r="B17" s="558" t="s">
        <v>444</v>
      </c>
      <c r="C17" s="558" t="s">
        <v>609</v>
      </c>
      <c r="D17" s="559" t="s">
        <v>904</v>
      </c>
      <c r="E17" s="560" t="s">
        <v>614</v>
      </c>
      <c r="F17" s="558" t="s">
        <v>608</v>
      </c>
      <c r="G17" s="558" t="s">
        <v>652</v>
      </c>
      <c r="H17" s="558" t="s">
        <v>445</v>
      </c>
      <c r="I17" s="558" t="s">
        <v>653</v>
      </c>
      <c r="J17" s="558" t="s">
        <v>654</v>
      </c>
      <c r="K17" s="558" t="s">
        <v>655</v>
      </c>
      <c r="L17" s="561">
        <v>0</v>
      </c>
      <c r="M17" s="561">
        <v>0</v>
      </c>
      <c r="N17" s="558">
        <v>6</v>
      </c>
      <c r="O17" s="562">
        <v>3</v>
      </c>
      <c r="P17" s="561">
        <v>0</v>
      </c>
      <c r="Q17" s="563"/>
      <c r="R17" s="558">
        <v>4</v>
      </c>
      <c r="S17" s="563">
        <v>0.66666666666666663</v>
      </c>
      <c r="T17" s="562">
        <v>2</v>
      </c>
      <c r="U17" s="564">
        <v>0.66666666666666663</v>
      </c>
    </row>
    <row r="18" spans="1:21" ht="14.4" customHeight="1" x14ac:dyDescent="0.3">
      <c r="A18" s="557">
        <v>19</v>
      </c>
      <c r="B18" s="558" t="s">
        <v>444</v>
      </c>
      <c r="C18" s="558" t="s">
        <v>609</v>
      </c>
      <c r="D18" s="559" t="s">
        <v>904</v>
      </c>
      <c r="E18" s="560" t="s">
        <v>614</v>
      </c>
      <c r="F18" s="558" t="s">
        <v>608</v>
      </c>
      <c r="G18" s="558" t="s">
        <v>656</v>
      </c>
      <c r="H18" s="558" t="s">
        <v>519</v>
      </c>
      <c r="I18" s="558" t="s">
        <v>657</v>
      </c>
      <c r="J18" s="558" t="s">
        <v>658</v>
      </c>
      <c r="K18" s="558" t="s">
        <v>659</v>
      </c>
      <c r="L18" s="561">
        <v>48.42</v>
      </c>
      <c r="M18" s="561">
        <v>48.42</v>
      </c>
      <c r="N18" s="558">
        <v>1</v>
      </c>
      <c r="O18" s="562">
        <v>1</v>
      </c>
      <c r="P18" s="561">
        <v>48.42</v>
      </c>
      <c r="Q18" s="563">
        <v>1</v>
      </c>
      <c r="R18" s="558">
        <v>1</v>
      </c>
      <c r="S18" s="563">
        <v>1</v>
      </c>
      <c r="T18" s="562">
        <v>1</v>
      </c>
      <c r="U18" s="564">
        <v>1</v>
      </c>
    </row>
    <row r="19" spans="1:21" ht="14.4" customHeight="1" x14ac:dyDescent="0.3">
      <c r="A19" s="557">
        <v>19</v>
      </c>
      <c r="B19" s="558" t="s">
        <v>444</v>
      </c>
      <c r="C19" s="558" t="s">
        <v>609</v>
      </c>
      <c r="D19" s="559" t="s">
        <v>904</v>
      </c>
      <c r="E19" s="560" t="s">
        <v>614</v>
      </c>
      <c r="F19" s="558" t="s">
        <v>608</v>
      </c>
      <c r="G19" s="558" t="s">
        <v>660</v>
      </c>
      <c r="H19" s="558" t="s">
        <v>445</v>
      </c>
      <c r="I19" s="558" t="s">
        <v>661</v>
      </c>
      <c r="J19" s="558" t="s">
        <v>662</v>
      </c>
      <c r="K19" s="558" t="s">
        <v>663</v>
      </c>
      <c r="L19" s="561">
        <v>75.819999999999993</v>
      </c>
      <c r="M19" s="561">
        <v>75.819999999999993</v>
      </c>
      <c r="N19" s="558">
        <v>1</v>
      </c>
      <c r="O19" s="562">
        <v>1</v>
      </c>
      <c r="P19" s="561">
        <v>75.819999999999993</v>
      </c>
      <c r="Q19" s="563">
        <v>1</v>
      </c>
      <c r="R19" s="558">
        <v>1</v>
      </c>
      <c r="S19" s="563">
        <v>1</v>
      </c>
      <c r="T19" s="562">
        <v>1</v>
      </c>
      <c r="U19" s="564">
        <v>1</v>
      </c>
    </row>
    <row r="20" spans="1:21" ht="14.4" customHeight="1" x14ac:dyDescent="0.3">
      <c r="A20" s="557">
        <v>19</v>
      </c>
      <c r="B20" s="558" t="s">
        <v>444</v>
      </c>
      <c r="C20" s="558" t="s">
        <v>609</v>
      </c>
      <c r="D20" s="559" t="s">
        <v>904</v>
      </c>
      <c r="E20" s="560" t="s">
        <v>614</v>
      </c>
      <c r="F20" s="558" t="s">
        <v>608</v>
      </c>
      <c r="G20" s="558" t="s">
        <v>664</v>
      </c>
      <c r="H20" s="558" t="s">
        <v>445</v>
      </c>
      <c r="I20" s="558" t="s">
        <v>665</v>
      </c>
      <c r="J20" s="558" t="s">
        <v>666</v>
      </c>
      <c r="K20" s="558" t="s">
        <v>667</v>
      </c>
      <c r="L20" s="561">
        <v>0</v>
      </c>
      <c r="M20" s="561">
        <v>0</v>
      </c>
      <c r="N20" s="558">
        <v>6</v>
      </c>
      <c r="O20" s="562">
        <v>2</v>
      </c>
      <c r="P20" s="561">
        <v>0</v>
      </c>
      <c r="Q20" s="563"/>
      <c r="R20" s="558">
        <v>6</v>
      </c>
      <c r="S20" s="563">
        <v>1</v>
      </c>
      <c r="T20" s="562">
        <v>2</v>
      </c>
      <c r="U20" s="564">
        <v>1</v>
      </c>
    </row>
    <row r="21" spans="1:21" ht="14.4" customHeight="1" x14ac:dyDescent="0.3">
      <c r="A21" s="557">
        <v>19</v>
      </c>
      <c r="B21" s="558" t="s">
        <v>444</v>
      </c>
      <c r="C21" s="558" t="s">
        <v>609</v>
      </c>
      <c r="D21" s="559" t="s">
        <v>904</v>
      </c>
      <c r="E21" s="560" t="s">
        <v>614</v>
      </c>
      <c r="F21" s="558" t="s">
        <v>608</v>
      </c>
      <c r="G21" s="558" t="s">
        <v>664</v>
      </c>
      <c r="H21" s="558" t="s">
        <v>445</v>
      </c>
      <c r="I21" s="558" t="s">
        <v>668</v>
      </c>
      <c r="J21" s="558" t="s">
        <v>666</v>
      </c>
      <c r="K21" s="558" t="s">
        <v>667</v>
      </c>
      <c r="L21" s="561">
        <v>0</v>
      </c>
      <c r="M21" s="561">
        <v>0</v>
      </c>
      <c r="N21" s="558">
        <v>32</v>
      </c>
      <c r="O21" s="562">
        <v>12.5</v>
      </c>
      <c r="P21" s="561">
        <v>0</v>
      </c>
      <c r="Q21" s="563"/>
      <c r="R21" s="558">
        <v>30</v>
      </c>
      <c r="S21" s="563">
        <v>0.9375</v>
      </c>
      <c r="T21" s="562">
        <v>12</v>
      </c>
      <c r="U21" s="564">
        <v>0.96</v>
      </c>
    </row>
    <row r="22" spans="1:21" ht="14.4" customHeight="1" x14ac:dyDescent="0.3">
      <c r="A22" s="557">
        <v>19</v>
      </c>
      <c r="B22" s="558" t="s">
        <v>444</v>
      </c>
      <c r="C22" s="558" t="s">
        <v>609</v>
      </c>
      <c r="D22" s="559" t="s">
        <v>904</v>
      </c>
      <c r="E22" s="560" t="s">
        <v>614</v>
      </c>
      <c r="F22" s="558" t="s">
        <v>608</v>
      </c>
      <c r="G22" s="558" t="s">
        <v>664</v>
      </c>
      <c r="H22" s="558" t="s">
        <v>445</v>
      </c>
      <c r="I22" s="558" t="s">
        <v>669</v>
      </c>
      <c r="J22" s="558" t="s">
        <v>666</v>
      </c>
      <c r="K22" s="558" t="s">
        <v>667</v>
      </c>
      <c r="L22" s="561">
        <v>0</v>
      </c>
      <c r="M22" s="561">
        <v>0</v>
      </c>
      <c r="N22" s="558">
        <v>2</v>
      </c>
      <c r="O22" s="562">
        <v>0.5</v>
      </c>
      <c r="P22" s="561">
        <v>0</v>
      </c>
      <c r="Q22" s="563"/>
      <c r="R22" s="558">
        <v>2</v>
      </c>
      <c r="S22" s="563">
        <v>1</v>
      </c>
      <c r="T22" s="562">
        <v>0.5</v>
      </c>
      <c r="U22" s="564">
        <v>1</v>
      </c>
    </row>
    <row r="23" spans="1:21" ht="14.4" customHeight="1" x14ac:dyDescent="0.3">
      <c r="A23" s="557">
        <v>19</v>
      </c>
      <c r="B23" s="558" t="s">
        <v>444</v>
      </c>
      <c r="C23" s="558" t="s">
        <v>609</v>
      </c>
      <c r="D23" s="559" t="s">
        <v>904</v>
      </c>
      <c r="E23" s="560" t="s">
        <v>614</v>
      </c>
      <c r="F23" s="558" t="s">
        <v>608</v>
      </c>
      <c r="G23" s="558" t="s">
        <v>670</v>
      </c>
      <c r="H23" s="558" t="s">
        <v>445</v>
      </c>
      <c r="I23" s="558" t="s">
        <v>671</v>
      </c>
      <c r="J23" s="558" t="s">
        <v>672</v>
      </c>
      <c r="K23" s="558" t="s">
        <v>673</v>
      </c>
      <c r="L23" s="561">
        <v>0</v>
      </c>
      <c r="M23" s="561">
        <v>0</v>
      </c>
      <c r="N23" s="558">
        <v>5</v>
      </c>
      <c r="O23" s="562">
        <v>4</v>
      </c>
      <c r="P23" s="561">
        <v>0</v>
      </c>
      <c r="Q23" s="563"/>
      <c r="R23" s="558">
        <v>3</v>
      </c>
      <c r="S23" s="563">
        <v>0.6</v>
      </c>
      <c r="T23" s="562">
        <v>2</v>
      </c>
      <c r="U23" s="564">
        <v>0.5</v>
      </c>
    </row>
    <row r="24" spans="1:21" ht="14.4" customHeight="1" x14ac:dyDescent="0.3">
      <c r="A24" s="557">
        <v>19</v>
      </c>
      <c r="B24" s="558" t="s">
        <v>444</v>
      </c>
      <c r="C24" s="558" t="s">
        <v>609</v>
      </c>
      <c r="D24" s="559" t="s">
        <v>904</v>
      </c>
      <c r="E24" s="560" t="s">
        <v>614</v>
      </c>
      <c r="F24" s="558" t="s">
        <v>608</v>
      </c>
      <c r="G24" s="558" t="s">
        <v>674</v>
      </c>
      <c r="H24" s="558" t="s">
        <v>445</v>
      </c>
      <c r="I24" s="558" t="s">
        <v>675</v>
      </c>
      <c r="J24" s="558" t="s">
        <v>676</v>
      </c>
      <c r="K24" s="558" t="s">
        <v>677</v>
      </c>
      <c r="L24" s="561">
        <v>0</v>
      </c>
      <c r="M24" s="561">
        <v>0</v>
      </c>
      <c r="N24" s="558">
        <v>1</v>
      </c>
      <c r="O24" s="562">
        <v>1</v>
      </c>
      <c r="P24" s="561">
        <v>0</v>
      </c>
      <c r="Q24" s="563"/>
      <c r="R24" s="558">
        <v>1</v>
      </c>
      <c r="S24" s="563">
        <v>1</v>
      </c>
      <c r="T24" s="562">
        <v>1</v>
      </c>
      <c r="U24" s="564">
        <v>1</v>
      </c>
    </row>
    <row r="25" spans="1:21" ht="14.4" customHeight="1" x14ac:dyDescent="0.3">
      <c r="A25" s="557">
        <v>19</v>
      </c>
      <c r="B25" s="558" t="s">
        <v>444</v>
      </c>
      <c r="C25" s="558" t="s">
        <v>609</v>
      </c>
      <c r="D25" s="559" t="s">
        <v>904</v>
      </c>
      <c r="E25" s="560" t="s">
        <v>614</v>
      </c>
      <c r="F25" s="558" t="s">
        <v>608</v>
      </c>
      <c r="G25" s="558" t="s">
        <v>678</v>
      </c>
      <c r="H25" s="558" t="s">
        <v>445</v>
      </c>
      <c r="I25" s="558" t="s">
        <v>679</v>
      </c>
      <c r="J25" s="558" t="s">
        <v>680</v>
      </c>
      <c r="K25" s="558" t="s">
        <v>681</v>
      </c>
      <c r="L25" s="561">
        <v>0</v>
      </c>
      <c r="M25" s="561">
        <v>0</v>
      </c>
      <c r="N25" s="558">
        <v>1</v>
      </c>
      <c r="O25" s="562">
        <v>0.5</v>
      </c>
      <c r="P25" s="561">
        <v>0</v>
      </c>
      <c r="Q25" s="563"/>
      <c r="R25" s="558">
        <v>1</v>
      </c>
      <c r="S25" s="563">
        <v>1</v>
      </c>
      <c r="T25" s="562">
        <v>0.5</v>
      </c>
      <c r="U25" s="564">
        <v>1</v>
      </c>
    </row>
    <row r="26" spans="1:21" ht="14.4" customHeight="1" x14ac:dyDescent="0.3">
      <c r="A26" s="557">
        <v>19</v>
      </c>
      <c r="B26" s="558" t="s">
        <v>444</v>
      </c>
      <c r="C26" s="558" t="s">
        <v>609</v>
      </c>
      <c r="D26" s="559" t="s">
        <v>904</v>
      </c>
      <c r="E26" s="560" t="s">
        <v>614</v>
      </c>
      <c r="F26" s="558" t="s">
        <v>608</v>
      </c>
      <c r="G26" s="558" t="s">
        <v>682</v>
      </c>
      <c r="H26" s="558" t="s">
        <v>445</v>
      </c>
      <c r="I26" s="558" t="s">
        <v>683</v>
      </c>
      <c r="J26" s="558" t="s">
        <v>684</v>
      </c>
      <c r="K26" s="558" t="s">
        <v>685</v>
      </c>
      <c r="L26" s="561">
        <v>359.21</v>
      </c>
      <c r="M26" s="561">
        <v>718.42</v>
      </c>
      <c r="N26" s="558">
        <v>2</v>
      </c>
      <c r="O26" s="562">
        <v>1.5</v>
      </c>
      <c r="P26" s="561">
        <v>359.21</v>
      </c>
      <c r="Q26" s="563">
        <v>0.5</v>
      </c>
      <c r="R26" s="558">
        <v>1</v>
      </c>
      <c r="S26" s="563">
        <v>0.5</v>
      </c>
      <c r="T26" s="562">
        <v>0.5</v>
      </c>
      <c r="U26" s="564">
        <v>0.33333333333333331</v>
      </c>
    </row>
    <row r="27" spans="1:21" ht="14.4" customHeight="1" x14ac:dyDescent="0.3">
      <c r="A27" s="557">
        <v>19</v>
      </c>
      <c r="B27" s="558" t="s">
        <v>444</v>
      </c>
      <c r="C27" s="558" t="s">
        <v>609</v>
      </c>
      <c r="D27" s="559" t="s">
        <v>904</v>
      </c>
      <c r="E27" s="560" t="s">
        <v>614</v>
      </c>
      <c r="F27" s="558" t="s">
        <v>608</v>
      </c>
      <c r="G27" s="558" t="s">
        <v>686</v>
      </c>
      <c r="H27" s="558" t="s">
        <v>519</v>
      </c>
      <c r="I27" s="558" t="s">
        <v>687</v>
      </c>
      <c r="J27" s="558" t="s">
        <v>688</v>
      </c>
      <c r="K27" s="558" t="s">
        <v>689</v>
      </c>
      <c r="L27" s="561">
        <v>40.25</v>
      </c>
      <c r="M27" s="561">
        <v>241.5</v>
      </c>
      <c r="N27" s="558">
        <v>6</v>
      </c>
      <c r="O27" s="562">
        <v>1</v>
      </c>
      <c r="P27" s="561">
        <v>241.5</v>
      </c>
      <c r="Q27" s="563">
        <v>1</v>
      </c>
      <c r="R27" s="558">
        <v>6</v>
      </c>
      <c r="S27" s="563">
        <v>1</v>
      </c>
      <c r="T27" s="562">
        <v>1</v>
      </c>
      <c r="U27" s="564">
        <v>1</v>
      </c>
    </row>
    <row r="28" spans="1:21" ht="14.4" customHeight="1" x14ac:dyDescent="0.3">
      <c r="A28" s="557">
        <v>19</v>
      </c>
      <c r="B28" s="558" t="s">
        <v>444</v>
      </c>
      <c r="C28" s="558" t="s">
        <v>609</v>
      </c>
      <c r="D28" s="559" t="s">
        <v>904</v>
      </c>
      <c r="E28" s="560" t="s">
        <v>615</v>
      </c>
      <c r="F28" s="558" t="s">
        <v>608</v>
      </c>
      <c r="G28" s="558" t="s">
        <v>624</v>
      </c>
      <c r="H28" s="558" t="s">
        <v>445</v>
      </c>
      <c r="I28" s="558" t="s">
        <v>625</v>
      </c>
      <c r="J28" s="558" t="s">
        <v>626</v>
      </c>
      <c r="K28" s="558" t="s">
        <v>627</v>
      </c>
      <c r="L28" s="561">
        <v>154.36000000000001</v>
      </c>
      <c r="M28" s="561">
        <v>308.72000000000003</v>
      </c>
      <c r="N28" s="558">
        <v>2</v>
      </c>
      <c r="O28" s="562">
        <v>0.5</v>
      </c>
      <c r="P28" s="561">
        <v>308.72000000000003</v>
      </c>
      <c r="Q28" s="563">
        <v>1</v>
      </c>
      <c r="R28" s="558">
        <v>2</v>
      </c>
      <c r="S28" s="563">
        <v>1</v>
      </c>
      <c r="T28" s="562">
        <v>0.5</v>
      </c>
      <c r="U28" s="564">
        <v>1</v>
      </c>
    </row>
    <row r="29" spans="1:21" ht="14.4" customHeight="1" x14ac:dyDescent="0.3">
      <c r="A29" s="557">
        <v>19</v>
      </c>
      <c r="B29" s="558" t="s">
        <v>444</v>
      </c>
      <c r="C29" s="558" t="s">
        <v>609</v>
      </c>
      <c r="D29" s="559" t="s">
        <v>904</v>
      </c>
      <c r="E29" s="560" t="s">
        <v>615</v>
      </c>
      <c r="F29" s="558" t="s">
        <v>608</v>
      </c>
      <c r="G29" s="558" t="s">
        <v>628</v>
      </c>
      <c r="H29" s="558" t="s">
        <v>519</v>
      </c>
      <c r="I29" s="558" t="s">
        <v>690</v>
      </c>
      <c r="J29" s="558" t="s">
        <v>691</v>
      </c>
      <c r="K29" s="558" t="s">
        <v>692</v>
      </c>
      <c r="L29" s="561">
        <v>340.97</v>
      </c>
      <c r="M29" s="561">
        <v>340.97</v>
      </c>
      <c r="N29" s="558">
        <v>1</v>
      </c>
      <c r="O29" s="562">
        <v>0.5</v>
      </c>
      <c r="P29" s="561">
        <v>340.97</v>
      </c>
      <c r="Q29" s="563">
        <v>1</v>
      </c>
      <c r="R29" s="558">
        <v>1</v>
      </c>
      <c r="S29" s="563">
        <v>1</v>
      </c>
      <c r="T29" s="562">
        <v>0.5</v>
      </c>
      <c r="U29" s="564">
        <v>1</v>
      </c>
    </row>
    <row r="30" spans="1:21" ht="14.4" customHeight="1" x14ac:dyDescent="0.3">
      <c r="A30" s="557">
        <v>19</v>
      </c>
      <c r="B30" s="558" t="s">
        <v>444</v>
      </c>
      <c r="C30" s="558" t="s">
        <v>609</v>
      </c>
      <c r="D30" s="559" t="s">
        <v>904</v>
      </c>
      <c r="E30" s="560" t="s">
        <v>615</v>
      </c>
      <c r="F30" s="558" t="s">
        <v>608</v>
      </c>
      <c r="G30" s="558" t="s">
        <v>636</v>
      </c>
      <c r="H30" s="558" t="s">
        <v>445</v>
      </c>
      <c r="I30" s="558" t="s">
        <v>637</v>
      </c>
      <c r="J30" s="558" t="s">
        <v>638</v>
      </c>
      <c r="K30" s="558" t="s">
        <v>639</v>
      </c>
      <c r="L30" s="561">
        <v>110.28</v>
      </c>
      <c r="M30" s="561">
        <v>110.28</v>
      </c>
      <c r="N30" s="558">
        <v>1</v>
      </c>
      <c r="O30" s="562">
        <v>0.5</v>
      </c>
      <c r="P30" s="561">
        <v>110.28</v>
      </c>
      <c r="Q30" s="563">
        <v>1</v>
      </c>
      <c r="R30" s="558">
        <v>1</v>
      </c>
      <c r="S30" s="563">
        <v>1</v>
      </c>
      <c r="T30" s="562">
        <v>0.5</v>
      </c>
      <c r="U30" s="564">
        <v>1</v>
      </c>
    </row>
    <row r="31" spans="1:21" ht="14.4" customHeight="1" x14ac:dyDescent="0.3">
      <c r="A31" s="557">
        <v>19</v>
      </c>
      <c r="B31" s="558" t="s">
        <v>444</v>
      </c>
      <c r="C31" s="558" t="s">
        <v>609</v>
      </c>
      <c r="D31" s="559" t="s">
        <v>904</v>
      </c>
      <c r="E31" s="560" t="s">
        <v>615</v>
      </c>
      <c r="F31" s="558" t="s">
        <v>608</v>
      </c>
      <c r="G31" s="558" t="s">
        <v>636</v>
      </c>
      <c r="H31" s="558" t="s">
        <v>445</v>
      </c>
      <c r="I31" s="558" t="s">
        <v>693</v>
      </c>
      <c r="J31" s="558" t="s">
        <v>638</v>
      </c>
      <c r="K31" s="558" t="s">
        <v>694</v>
      </c>
      <c r="L31" s="561">
        <v>220.56</v>
      </c>
      <c r="M31" s="561">
        <v>220.56</v>
      </c>
      <c r="N31" s="558">
        <v>1</v>
      </c>
      <c r="O31" s="562">
        <v>0.5</v>
      </c>
      <c r="P31" s="561">
        <v>220.56</v>
      </c>
      <c r="Q31" s="563">
        <v>1</v>
      </c>
      <c r="R31" s="558">
        <v>1</v>
      </c>
      <c r="S31" s="563">
        <v>1</v>
      </c>
      <c r="T31" s="562">
        <v>0.5</v>
      </c>
      <c r="U31" s="564">
        <v>1</v>
      </c>
    </row>
    <row r="32" spans="1:21" ht="14.4" customHeight="1" x14ac:dyDescent="0.3">
      <c r="A32" s="557">
        <v>19</v>
      </c>
      <c r="B32" s="558" t="s">
        <v>444</v>
      </c>
      <c r="C32" s="558" t="s">
        <v>609</v>
      </c>
      <c r="D32" s="559" t="s">
        <v>904</v>
      </c>
      <c r="E32" s="560" t="s">
        <v>615</v>
      </c>
      <c r="F32" s="558" t="s">
        <v>608</v>
      </c>
      <c r="G32" s="558" t="s">
        <v>695</v>
      </c>
      <c r="H32" s="558" t="s">
        <v>445</v>
      </c>
      <c r="I32" s="558" t="s">
        <v>696</v>
      </c>
      <c r="J32" s="558" t="s">
        <v>697</v>
      </c>
      <c r="K32" s="558" t="s">
        <v>698</v>
      </c>
      <c r="L32" s="561">
        <v>1065.22</v>
      </c>
      <c r="M32" s="561">
        <v>1065.22</v>
      </c>
      <c r="N32" s="558">
        <v>1</v>
      </c>
      <c r="O32" s="562">
        <v>1</v>
      </c>
      <c r="P32" s="561">
        <v>1065.22</v>
      </c>
      <c r="Q32" s="563">
        <v>1</v>
      </c>
      <c r="R32" s="558">
        <v>1</v>
      </c>
      <c r="S32" s="563">
        <v>1</v>
      </c>
      <c r="T32" s="562">
        <v>1</v>
      </c>
      <c r="U32" s="564">
        <v>1</v>
      </c>
    </row>
    <row r="33" spans="1:21" ht="14.4" customHeight="1" x14ac:dyDescent="0.3">
      <c r="A33" s="557">
        <v>19</v>
      </c>
      <c r="B33" s="558" t="s">
        <v>444</v>
      </c>
      <c r="C33" s="558" t="s">
        <v>609</v>
      </c>
      <c r="D33" s="559" t="s">
        <v>904</v>
      </c>
      <c r="E33" s="560" t="s">
        <v>615</v>
      </c>
      <c r="F33" s="558" t="s">
        <v>608</v>
      </c>
      <c r="G33" s="558" t="s">
        <v>699</v>
      </c>
      <c r="H33" s="558" t="s">
        <v>445</v>
      </c>
      <c r="I33" s="558" t="s">
        <v>700</v>
      </c>
      <c r="J33" s="558" t="s">
        <v>701</v>
      </c>
      <c r="K33" s="558" t="s">
        <v>702</v>
      </c>
      <c r="L33" s="561">
        <v>58.59</v>
      </c>
      <c r="M33" s="561">
        <v>58.59</v>
      </c>
      <c r="N33" s="558">
        <v>1</v>
      </c>
      <c r="O33" s="562">
        <v>0.5</v>
      </c>
      <c r="P33" s="561">
        <v>58.59</v>
      </c>
      <c r="Q33" s="563">
        <v>1</v>
      </c>
      <c r="R33" s="558">
        <v>1</v>
      </c>
      <c r="S33" s="563">
        <v>1</v>
      </c>
      <c r="T33" s="562">
        <v>0.5</v>
      </c>
      <c r="U33" s="564">
        <v>1</v>
      </c>
    </row>
    <row r="34" spans="1:21" ht="14.4" customHeight="1" x14ac:dyDescent="0.3">
      <c r="A34" s="557">
        <v>19</v>
      </c>
      <c r="B34" s="558" t="s">
        <v>444</v>
      </c>
      <c r="C34" s="558" t="s">
        <v>609</v>
      </c>
      <c r="D34" s="559" t="s">
        <v>904</v>
      </c>
      <c r="E34" s="560" t="s">
        <v>615</v>
      </c>
      <c r="F34" s="558" t="s">
        <v>608</v>
      </c>
      <c r="G34" s="558" t="s">
        <v>703</v>
      </c>
      <c r="H34" s="558" t="s">
        <v>445</v>
      </c>
      <c r="I34" s="558" t="s">
        <v>704</v>
      </c>
      <c r="J34" s="558" t="s">
        <v>705</v>
      </c>
      <c r="K34" s="558" t="s">
        <v>706</v>
      </c>
      <c r="L34" s="561">
        <v>52.75</v>
      </c>
      <c r="M34" s="561">
        <v>158.25</v>
      </c>
      <c r="N34" s="558">
        <v>3</v>
      </c>
      <c r="O34" s="562">
        <v>1.5</v>
      </c>
      <c r="P34" s="561">
        <v>158.25</v>
      </c>
      <c r="Q34" s="563">
        <v>1</v>
      </c>
      <c r="R34" s="558">
        <v>3</v>
      </c>
      <c r="S34" s="563">
        <v>1</v>
      </c>
      <c r="T34" s="562">
        <v>1.5</v>
      </c>
      <c r="U34" s="564">
        <v>1</v>
      </c>
    </row>
    <row r="35" spans="1:21" ht="14.4" customHeight="1" x14ac:dyDescent="0.3">
      <c r="A35" s="557">
        <v>19</v>
      </c>
      <c r="B35" s="558" t="s">
        <v>444</v>
      </c>
      <c r="C35" s="558" t="s">
        <v>609</v>
      </c>
      <c r="D35" s="559" t="s">
        <v>904</v>
      </c>
      <c r="E35" s="560" t="s">
        <v>615</v>
      </c>
      <c r="F35" s="558" t="s">
        <v>608</v>
      </c>
      <c r="G35" s="558" t="s">
        <v>707</v>
      </c>
      <c r="H35" s="558" t="s">
        <v>445</v>
      </c>
      <c r="I35" s="558" t="s">
        <v>708</v>
      </c>
      <c r="J35" s="558" t="s">
        <v>709</v>
      </c>
      <c r="K35" s="558" t="s">
        <v>710</v>
      </c>
      <c r="L35" s="561">
        <v>0</v>
      </c>
      <c r="M35" s="561">
        <v>0</v>
      </c>
      <c r="N35" s="558">
        <v>1</v>
      </c>
      <c r="O35" s="562">
        <v>0.5</v>
      </c>
      <c r="P35" s="561">
        <v>0</v>
      </c>
      <c r="Q35" s="563"/>
      <c r="R35" s="558">
        <v>1</v>
      </c>
      <c r="S35" s="563">
        <v>1</v>
      </c>
      <c r="T35" s="562">
        <v>0.5</v>
      </c>
      <c r="U35" s="564">
        <v>1</v>
      </c>
    </row>
    <row r="36" spans="1:21" ht="14.4" customHeight="1" x14ac:dyDescent="0.3">
      <c r="A36" s="557">
        <v>19</v>
      </c>
      <c r="B36" s="558" t="s">
        <v>444</v>
      </c>
      <c r="C36" s="558" t="s">
        <v>609</v>
      </c>
      <c r="D36" s="559" t="s">
        <v>904</v>
      </c>
      <c r="E36" s="560" t="s">
        <v>615</v>
      </c>
      <c r="F36" s="558" t="s">
        <v>608</v>
      </c>
      <c r="G36" s="558" t="s">
        <v>711</v>
      </c>
      <c r="H36" s="558" t="s">
        <v>519</v>
      </c>
      <c r="I36" s="558" t="s">
        <v>712</v>
      </c>
      <c r="J36" s="558" t="s">
        <v>713</v>
      </c>
      <c r="K36" s="558" t="s">
        <v>714</v>
      </c>
      <c r="L36" s="561">
        <v>0</v>
      </c>
      <c r="M36" s="561">
        <v>0</v>
      </c>
      <c r="N36" s="558">
        <v>2</v>
      </c>
      <c r="O36" s="562">
        <v>1</v>
      </c>
      <c r="P36" s="561">
        <v>0</v>
      </c>
      <c r="Q36" s="563"/>
      <c r="R36" s="558">
        <v>2</v>
      </c>
      <c r="S36" s="563">
        <v>1</v>
      </c>
      <c r="T36" s="562">
        <v>1</v>
      </c>
      <c r="U36" s="564">
        <v>1</v>
      </c>
    </row>
    <row r="37" spans="1:21" ht="14.4" customHeight="1" x14ac:dyDescent="0.3">
      <c r="A37" s="557">
        <v>19</v>
      </c>
      <c r="B37" s="558" t="s">
        <v>444</v>
      </c>
      <c r="C37" s="558" t="s">
        <v>609</v>
      </c>
      <c r="D37" s="559" t="s">
        <v>904</v>
      </c>
      <c r="E37" s="560" t="s">
        <v>615</v>
      </c>
      <c r="F37" s="558" t="s">
        <v>608</v>
      </c>
      <c r="G37" s="558" t="s">
        <v>715</v>
      </c>
      <c r="H37" s="558" t="s">
        <v>519</v>
      </c>
      <c r="I37" s="558" t="s">
        <v>716</v>
      </c>
      <c r="J37" s="558" t="s">
        <v>717</v>
      </c>
      <c r="K37" s="558" t="s">
        <v>692</v>
      </c>
      <c r="L37" s="561">
        <v>374.74</v>
      </c>
      <c r="M37" s="561">
        <v>374.74</v>
      </c>
      <c r="N37" s="558">
        <v>1</v>
      </c>
      <c r="O37" s="562">
        <v>0.5</v>
      </c>
      <c r="P37" s="561">
        <v>374.74</v>
      </c>
      <c r="Q37" s="563">
        <v>1</v>
      </c>
      <c r="R37" s="558">
        <v>1</v>
      </c>
      <c r="S37" s="563">
        <v>1</v>
      </c>
      <c r="T37" s="562">
        <v>0.5</v>
      </c>
      <c r="U37" s="564">
        <v>1</v>
      </c>
    </row>
    <row r="38" spans="1:21" ht="14.4" customHeight="1" x14ac:dyDescent="0.3">
      <c r="A38" s="557">
        <v>19</v>
      </c>
      <c r="B38" s="558" t="s">
        <v>444</v>
      </c>
      <c r="C38" s="558" t="s">
        <v>609</v>
      </c>
      <c r="D38" s="559" t="s">
        <v>904</v>
      </c>
      <c r="E38" s="560" t="s">
        <v>616</v>
      </c>
      <c r="F38" s="558" t="s">
        <v>608</v>
      </c>
      <c r="G38" s="558" t="s">
        <v>718</v>
      </c>
      <c r="H38" s="558" t="s">
        <v>445</v>
      </c>
      <c r="I38" s="558" t="s">
        <v>719</v>
      </c>
      <c r="J38" s="558" t="s">
        <v>720</v>
      </c>
      <c r="K38" s="558" t="s">
        <v>721</v>
      </c>
      <c r="L38" s="561">
        <v>96.84</v>
      </c>
      <c r="M38" s="561">
        <v>96.84</v>
      </c>
      <c r="N38" s="558">
        <v>1</v>
      </c>
      <c r="O38" s="562">
        <v>1</v>
      </c>
      <c r="P38" s="561">
        <v>96.84</v>
      </c>
      <c r="Q38" s="563">
        <v>1</v>
      </c>
      <c r="R38" s="558">
        <v>1</v>
      </c>
      <c r="S38" s="563">
        <v>1</v>
      </c>
      <c r="T38" s="562">
        <v>1</v>
      </c>
      <c r="U38" s="564">
        <v>1</v>
      </c>
    </row>
    <row r="39" spans="1:21" ht="14.4" customHeight="1" x14ac:dyDescent="0.3">
      <c r="A39" s="557">
        <v>19</v>
      </c>
      <c r="B39" s="558" t="s">
        <v>444</v>
      </c>
      <c r="C39" s="558" t="s">
        <v>609</v>
      </c>
      <c r="D39" s="559" t="s">
        <v>904</v>
      </c>
      <c r="E39" s="560" t="s">
        <v>616</v>
      </c>
      <c r="F39" s="558" t="s">
        <v>608</v>
      </c>
      <c r="G39" s="558" t="s">
        <v>722</v>
      </c>
      <c r="H39" s="558" t="s">
        <v>445</v>
      </c>
      <c r="I39" s="558" t="s">
        <v>723</v>
      </c>
      <c r="J39" s="558" t="s">
        <v>724</v>
      </c>
      <c r="K39" s="558" t="s">
        <v>725</v>
      </c>
      <c r="L39" s="561">
        <v>49.87</v>
      </c>
      <c r="M39" s="561">
        <v>49.87</v>
      </c>
      <c r="N39" s="558">
        <v>1</v>
      </c>
      <c r="O39" s="562">
        <v>0.5</v>
      </c>
      <c r="P39" s="561">
        <v>49.87</v>
      </c>
      <c r="Q39" s="563">
        <v>1</v>
      </c>
      <c r="R39" s="558">
        <v>1</v>
      </c>
      <c r="S39" s="563">
        <v>1</v>
      </c>
      <c r="T39" s="562">
        <v>0.5</v>
      </c>
      <c r="U39" s="564">
        <v>1</v>
      </c>
    </row>
    <row r="40" spans="1:21" ht="14.4" customHeight="1" x14ac:dyDescent="0.3">
      <c r="A40" s="557">
        <v>19</v>
      </c>
      <c r="B40" s="558" t="s">
        <v>444</v>
      </c>
      <c r="C40" s="558" t="s">
        <v>609</v>
      </c>
      <c r="D40" s="559" t="s">
        <v>904</v>
      </c>
      <c r="E40" s="560" t="s">
        <v>616</v>
      </c>
      <c r="F40" s="558" t="s">
        <v>608</v>
      </c>
      <c r="G40" s="558" t="s">
        <v>726</v>
      </c>
      <c r="H40" s="558" t="s">
        <v>445</v>
      </c>
      <c r="I40" s="558" t="s">
        <v>727</v>
      </c>
      <c r="J40" s="558" t="s">
        <v>728</v>
      </c>
      <c r="K40" s="558" t="s">
        <v>729</v>
      </c>
      <c r="L40" s="561">
        <v>42.85</v>
      </c>
      <c r="M40" s="561">
        <v>42.85</v>
      </c>
      <c r="N40" s="558">
        <v>1</v>
      </c>
      <c r="O40" s="562">
        <v>0.5</v>
      </c>
      <c r="P40" s="561"/>
      <c r="Q40" s="563">
        <v>0</v>
      </c>
      <c r="R40" s="558"/>
      <c r="S40" s="563">
        <v>0</v>
      </c>
      <c r="T40" s="562"/>
      <c r="U40" s="564">
        <v>0</v>
      </c>
    </row>
    <row r="41" spans="1:21" ht="14.4" customHeight="1" x14ac:dyDescent="0.3">
      <c r="A41" s="557">
        <v>19</v>
      </c>
      <c r="B41" s="558" t="s">
        <v>444</v>
      </c>
      <c r="C41" s="558" t="s">
        <v>609</v>
      </c>
      <c r="D41" s="559" t="s">
        <v>904</v>
      </c>
      <c r="E41" s="560" t="s">
        <v>616</v>
      </c>
      <c r="F41" s="558" t="s">
        <v>608</v>
      </c>
      <c r="G41" s="558" t="s">
        <v>730</v>
      </c>
      <c r="H41" s="558" t="s">
        <v>519</v>
      </c>
      <c r="I41" s="558" t="s">
        <v>731</v>
      </c>
      <c r="J41" s="558" t="s">
        <v>732</v>
      </c>
      <c r="K41" s="558" t="s">
        <v>733</v>
      </c>
      <c r="L41" s="561">
        <v>4.7</v>
      </c>
      <c r="M41" s="561">
        <v>4.7</v>
      </c>
      <c r="N41" s="558">
        <v>1</v>
      </c>
      <c r="O41" s="562">
        <v>1</v>
      </c>
      <c r="P41" s="561">
        <v>4.7</v>
      </c>
      <c r="Q41" s="563">
        <v>1</v>
      </c>
      <c r="R41" s="558">
        <v>1</v>
      </c>
      <c r="S41" s="563">
        <v>1</v>
      </c>
      <c r="T41" s="562">
        <v>1</v>
      </c>
      <c r="U41" s="564">
        <v>1</v>
      </c>
    </row>
    <row r="42" spans="1:21" ht="14.4" customHeight="1" x14ac:dyDescent="0.3">
      <c r="A42" s="557">
        <v>19</v>
      </c>
      <c r="B42" s="558" t="s">
        <v>444</v>
      </c>
      <c r="C42" s="558" t="s">
        <v>609</v>
      </c>
      <c r="D42" s="559" t="s">
        <v>904</v>
      </c>
      <c r="E42" s="560" t="s">
        <v>616</v>
      </c>
      <c r="F42" s="558" t="s">
        <v>608</v>
      </c>
      <c r="G42" s="558" t="s">
        <v>624</v>
      </c>
      <c r="H42" s="558" t="s">
        <v>445</v>
      </c>
      <c r="I42" s="558" t="s">
        <v>625</v>
      </c>
      <c r="J42" s="558" t="s">
        <v>626</v>
      </c>
      <c r="K42" s="558" t="s">
        <v>627</v>
      </c>
      <c r="L42" s="561">
        <v>154.36000000000001</v>
      </c>
      <c r="M42" s="561">
        <v>154.36000000000001</v>
      </c>
      <c r="N42" s="558">
        <v>1</v>
      </c>
      <c r="O42" s="562">
        <v>1</v>
      </c>
      <c r="P42" s="561">
        <v>154.36000000000001</v>
      </c>
      <c r="Q42" s="563">
        <v>1</v>
      </c>
      <c r="R42" s="558">
        <v>1</v>
      </c>
      <c r="S42" s="563">
        <v>1</v>
      </c>
      <c r="T42" s="562">
        <v>1</v>
      </c>
      <c r="U42" s="564">
        <v>1</v>
      </c>
    </row>
    <row r="43" spans="1:21" ht="14.4" customHeight="1" x14ac:dyDescent="0.3">
      <c r="A43" s="557">
        <v>19</v>
      </c>
      <c r="B43" s="558" t="s">
        <v>444</v>
      </c>
      <c r="C43" s="558" t="s">
        <v>609</v>
      </c>
      <c r="D43" s="559" t="s">
        <v>904</v>
      </c>
      <c r="E43" s="560" t="s">
        <v>616</v>
      </c>
      <c r="F43" s="558" t="s">
        <v>608</v>
      </c>
      <c r="G43" s="558" t="s">
        <v>734</v>
      </c>
      <c r="H43" s="558" t="s">
        <v>519</v>
      </c>
      <c r="I43" s="558" t="s">
        <v>735</v>
      </c>
      <c r="J43" s="558" t="s">
        <v>736</v>
      </c>
      <c r="K43" s="558" t="s">
        <v>737</v>
      </c>
      <c r="L43" s="561">
        <v>132</v>
      </c>
      <c r="M43" s="561">
        <v>264</v>
      </c>
      <c r="N43" s="558">
        <v>2</v>
      </c>
      <c r="O43" s="562">
        <v>2</v>
      </c>
      <c r="P43" s="561">
        <v>264</v>
      </c>
      <c r="Q43" s="563">
        <v>1</v>
      </c>
      <c r="R43" s="558">
        <v>2</v>
      </c>
      <c r="S43" s="563">
        <v>1</v>
      </c>
      <c r="T43" s="562">
        <v>2</v>
      </c>
      <c r="U43" s="564">
        <v>1</v>
      </c>
    </row>
    <row r="44" spans="1:21" ht="14.4" customHeight="1" x14ac:dyDescent="0.3">
      <c r="A44" s="557">
        <v>19</v>
      </c>
      <c r="B44" s="558" t="s">
        <v>444</v>
      </c>
      <c r="C44" s="558" t="s">
        <v>609</v>
      </c>
      <c r="D44" s="559" t="s">
        <v>904</v>
      </c>
      <c r="E44" s="560" t="s">
        <v>616</v>
      </c>
      <c r="F44" s="558" t="s">
        <v>608</v>
      </c>
      <c r="G44" s="558" t="s">
        <v>738</v>
      </c>
      <c r="H44" s="558" t="s">
        <v>445</v>
      </c>
      <c r="I44" s="558" t="s">
        <v>739</v>
      </c>
      <c r="J44" s="558" t="s">
        <v>740</v>
      </c>
      <c r="K44" s="558" t="s">
        <v>741</v>
      </c>
      <c r="L44" s="561">
        <v>0</v>
      </c>
      <c r="M44" s="561">
        <v>0</v>
      </c>
      <c r="N44" s="558">
        <v>1</v>
      </c>
      <c r="O44" s="562">
        <v>0.5</v>
      </c>
      <c r="P44" s="561">
        <v>0</v>
      </c>
      <c r="Q44" s="563"/>
      <c r="R44" s="558">
        <v>1</v>
      </c>
      <c r="S44" s="563">
        <v>1</v>
      </c>
      <c r="T44" s="562">
        <v>0.5</v>
      </c>
      <c r="U44" s="564">
        <v>1</v>
      </c>
    </row>
    <row r="45" spans="1:21" ht="14.4" customHeight="1" x14ac:dyDescent="0.3">
      <c r="A45" s="557">
        <v>19</v>
      </c>
      <c r="B45" s="558" t="s">
        <v>444</v>
      </c>
      <c r="C45" s="558" t="s">
        <v>609</v>
      </c>
      <c r="D45" s="559" t="s">
        <v>904</v>
      </c>
      <c r="E45" s="560" t="s">
        <v>616</v>
      </c>
      <c r="F45" s="558" t="s">
        <v>608</v>
      </c>
      <c r="G45" s="558" t="s">
        <v>632</v>
      </c>
      <c r="H45" s="558" t="s">
        <v>445</v>
      </c>
      <c r="I45" s="558" t="s">
        <v>742</v>
      </c>
      <c r="J45" s="558" t="s">
        <v>743</v>
      </c>
      <c r="K45" s="558" t="s">
        <v>744</v>
      </c>
      <c r="L45" s="561">
        <v>54.81</v>
      </c>
      <c r="M45" s="561">
        <v>54.81</v>
      </c>
      <c r="N45" s="558">
        <v>1</v>
      </c>
      <c r="O45" s="562">
        <v>1</v>
      </c>
      <c r="P45" s="561"/>
      <c r="Q45" s="563">
        <v>0</v>
      </c>
      <c r="R45" s="558"/>
      <c r="S45" s="563">
        <v>0</v>
      </c>
      <c r="T45" s="562"/>
      <c r="U45" s="564">
        <v>0</v>
      </c>
    </row>
    <row r="46" spans="1:21" ht="14.4" customHeight="1" x14ac:dyDescent="0.3">
      <c r="A46" s="557">
        <v>19</v>
      </c>
      <c r="B46" s="558" t="s">
        <v>444</v>
      </c>
      <c r="C46" s="558" t="s">
        <v>609</v>
      </c>
      <c r="D46" s="559" t="s">
        <v>904</v>
      </c>
      <c r="E46" s="560" t="s">
        <v>616</v>
      </c>
      <c r="F46" s="558" t="s">
        <v>608</v>
      </c>
      <c r="G46" s="558" t="s">
        <v>632</v>
      </c>
      <c r="H46" s="558" t="s">
        <v>445</v>
      </c>
      <c r="I46" s="558" t="s">
        <v>745</v>
      </c>
      <c r="J46" s="558" t="s">
        <v>634</v>
      </c>
      <c r="K46" s="558" t="s">
        <v>746</v>
      </c>
      <c r="L46" s="561">
        <v>64.56</v>
      </c>
      <c r="M46" s="561">
        <v>64.56</v>
      </c>
      <c r="N46" s="558">
        <v>1</v>
      </c>
      <c r="O46" s="562">
        <v>0.5</v>
      </c>
      <c r="P46" s="561"/>
      <c r="Q46" s="563">
        <v>0</v>
      </c>
      <c r="R46" s="558"/>
      <c r="S46" s="563">
        <v>0</v>
      </c>
      <c r="T46" s="562"/>
      <c r="U46" s="564">
        <v>0</v>
      </c>
    </row>
    <row r="47" spans="1:21" ht="14.4" customHeight="1" x14ac:dyDescent="0.3">
      <c r="A47" s="557">
        <v>19</v>
      </c>
      <c r="B47" s="558" t="s">
        <v>444</v>
      </c>
      <c r="C47" s="558" t="s">
        <v>609</v>
      </c>
      <c r="D47" s="559" t="s">
        <v>904</v>
      </c>
      <c r="E47" s="560" t="s">
        <v>616</v>
      </c>
      <c r="F47" s="558" t="s">
        <v>608</v>
      </c>
      <c r="G47" s="558" t="s">
        <v>636</v>
      </c>
      <c r="H47" s="558" t="s">
        <v>445</v>
      </c>
      <c r="I47" s="558" t="s">
        <v>637</v>
      </c>
      <c r="J47" s="558" t="s">
        <v>638</v>
      </c>
      <c r="K47" s="558" t="s">
        <v>639</v>
      </c>
      <c r="L47" s="561">
        <v>110.28</v>
      </c>
      <c r="M47" s="561">
        <v>110.28</v>
      </c>
      <c r="N47" s="558">
        <v>1</v>
      </c>
      <c r="O47" s="562">
        <v>1</v>
      </c>
      <c r="P47" s="561"/>
      <c r="Q47" s="563">
        <v>0</v>
      </c>
      <c r="R47" s="558"/>
      <c r="S47" s="563">
        <v>0</v>
      </c>
      <c r="T47" s="562"/>
      <c r="U47" s="564">
        <v>0</v>
      </c>
    </row>
    <row r="48" spans="1:21" ht="14.4" customHeight="1" x14ac:dyDescent="0.3">
      <c r="A48" s="557">
        <v>19</v>
      </c>
      <c r="B48" s="558" t="s">
        <v>444</v>
      </c>
      <c r="C48" s="558" t="s">
        <v>609</v>
      </c>
      <c r="D48" s="559" t="s">
        <v>904</v>
      </c>
      <c r="E48" s="560" t="s">
        <v>616</v>
      </c>
      <c r="F48" s="558" t="s">
        <v>608</v>
      </c>
      <c r="G48" s="558" t="s">
        <v>747</v>
      </c>
      <c r="H48" s="558" t="s">
        <v>445</v>
      </c>
      <c r="I48" s="558" t="s">
        <v>748</v>
      </c>
      <c r="J48" s="558" t="s">
        <v>749</v>
      </c>
      <c r="K48" s="558" t="s">
        <v>750</v>
      </c>
      <c r="L48" s="561">
        <v>49.63</v>
      </c>
      <c r="M48" s="561">
        <v>49.63</v>
      </c>
      <c r="N48" s="558">
        <v>1</v>
      </c>
      <c r="O48" s="562">
        <v>0.5</v>
      </c>
      <c r="P48" s="561"/>
      <c r="Q48" s="563">
        <v>0</v>
      </c>
      <c r="R48" s="558"/>
      <c r="S48" s="563">
        <v>0</v>
      </c>
      <c r="T48" s="562"/>
      <c r="U48" s="564">
        <v>0</v>
      </c>
    </row>
    <row r="49" spans="1:21" ht="14.4" customHeight="1" x14ac:dyDescent="0.3">
      <c r="A49" s="557">
        <v>19</v>
      </c>
      <c r="B49" s="558" t="s">
        <v>444</v>
      </c>
      <c r="C49" s="558" t="s">
        <v>609</v>
      </c>
      <c r="D49" s="559" t="s">
        <v>904</v>
      </c>
      <c r="E49" s="560" t="s">
        <v>616</v>
      </c>
      <c r="F49" s="558" t="s">
        <v>608</v>
      </c>
      <c r="G49" s="558" t="s">
        <v>751</v>
      </c>
      <c r="H49" s="558" t="s">
        <v>445</v>
      </c>
      <c r="I49" s="558" t="s">
        <v>752</v>
      </c>
      <c r="J49" s="558" t="s">
        <v>753</v>
      </c>
      <c r="K49" s="558" t="s">
        <v>754</v>
      </c>
      <c r="L49" s="561">
        <v>156.77000000000001</v>
      </c>
      <c r="M49" s="561">
        <v>156.77000000000001</v>
      </c>
      <c r="N49" s="558">
        <v>1</v>
      </c>
      <c r="O49" s="562">
        <v>1</v>
      </c>
      <c r="P49" s="561"/>
      <c r="Q49" s="563">
        <v>0</v>
      </c>
      <c r="R49" s="558"/>
      <c r="S49" s="563">
        <v>0</v>
      </c>
      <c r="T49" s="562"/>
      <c r="U49" s="564">
        <v>0</v>
      </c>
    </row>
    <row r="50" spans="1:21" ht="14.4" customHeight="1" x14ac:dyDescent="0.3">
      <c r="A50" s="557">
        <v>19</v>
      </c>
      <c r="B50" s="558" t="s">
        <v>444</v>
      </c>
      <c r="C50" s="558" t="s">
        <v>609</v>
      </c>
      <c r="D50" s="559" t="s">
        <v>904</v>
      </c>
      <c r="E50" s="560" t="s">
        <v>616</v>
      </c>
      <c r="F50" s="558" t="s">
        <v>608</v>
      </c>
      <c r="G50" s="558" t="s">
        <v>755</v>
      </c>
      <c r="H50" s="558" t="s">
        <v>445</v>
      </c>
      <c r="I50" s="558" t="s">
        <v>756</v>
      </c>
      <c r="J50" s="558" t="s">
        <v>757</v>
      </c>
      <c r="K50" s="558" t="s">
        <v>758</v>
      </c>
      <c r="L50" s="561">
        <v>0</v>
      </c>
      <c r="M50" s="561">
        <v>0</v>
      </c>
      <c r="N50" s="558">
        <v>2</v>
      </c>
      <c r="O50" s="562">
        <v>2</v>
      </c>
      <c r="P50" s="561">
        <v>0</v>
      </c>
      <c r="Q50" s="563"/>
      <c r="R50" s="558">
        <v>2</v>
      </c>
      <c r="S50" s="563">
        <v>1</v>
      </c>
      <c r="T50" s="562">
        <v>2</v>
      </c>
      <c r="U50" s="564">
        <v>1</v>
      </c>
    </row>
    <row r="51" spans="1:21" ht="14.4" customHeight="1" x14ac:dyDescent="0.3">
      <c r="A51" s="557">
        <v>19</v>
      </c>
      <c r="B51" s="558" t="s">
        <v>444</v>
      </c>
      <c r="C51" s="558" t="s">
        <v>609</v>
      </c>
      <c r="D51" s="559" t="s">
        <v>904</v>
      </c>
      <c r="E51" s="560" t="s">
        <v>616</v>
      </c>
      <c r="F51" s="558" t="s">
        <v>608</v>
      </c>
      <c r="G51" s="558" t="s">
        <v>759</v>
      </c>
      <c r="H51" s="558" t="s">
        <v>445</v>
      </c>
      <c r="I51" s="558" t="s">
        <v>760</v>
      </c>
      <c r="J51" s="558" t="s">
        <v>761</v>
      </c>
      <c r="K51" s="558" t="s">
        <v>762</v>
      </c>
      <c r="L51" s="561">
        <v>9.2799999999999994</v>
      </c>
      <c r="M51" s="561">
        <v>9.2799999999999994</v>
      </c>
      <c r="N51" s="558">
        <v>1</v>
      </c>
      <c r="O51" s="562">
        <v>0.5</v>
      </c>
      <c r="P51" s="561"/>
      <c r="Q51" s="563">
        <v>0</v>
      </c>
      <c r="R51" s="558"/>
      <c r="S51" s="563">
        <v>0</v>
      </c>
      <c r="T51" s="562"/>
      <c r="U51" s="564">
        <v>0</v>
      </c>
    </row>
    <row r="52" spans="1:21" ht="14.4" customHeight="1" x14ac:dyDescent="0.3">
      <c r="A52" s="557">
        <v>19</v>
      </c>
      <c r="B52" s="558" t="s">
        <v>444</v>
      </c>
      <c r="C52" s="558" t="s">
        <v>609</v>
      </c>
      <c r="D52" s="559" t="s">
        <v>904</v>
      </c>
      <c r="E52" s="560" t="s">
        <v>616</v>
      </c>
      <c r="F52" s="558" t="s">
        <v>608</v>
      </c>
      <c r="G52" s="558" t="s">
        <v>763</v>
      </c>
      <c r="H52" s="558" t="s">
        <v>445</v>
      </c>
      <c r="I52" s="558" t="s">
        <v>764</v>
      </c>
      <c r="J52" s="558" t="s">
        <v>765</v>
      </c>
      <c r="K52" s="558" t="s">
        <v>766</v>
      </c>
      <c r="L52" s="561">
        <v>48.09</v>
      </c>
      <c r="M52" s="561">
        <v>48.09</v>
      </c>
      <c r="N52" s="558">
        <v>1</v>
      </c>
      <c r="O52" s="562">
        <v>1</v>
      </c>
      <c r="P52" s="561">
        <v>48.09</v>
      </c>
      <c r="Q52" s="563">
        <v>1</v>
      </c>
      <c r="R52" s="558">
        <v>1</v>
      </c>
      <c r="S52" s="563">
        <v>1</v>
      </c>
      <c r="T52" s="562">
        <v>1</v>
      </c>
      <c r="U52" s="564">
        <v>1</v>
      </c>
    </row>
    <row r="53" spans="1:21" ht="14.4" customHeight="1" x14ac:dyDescent="0.3">
      <c r="A53" s="557">
        <v>19</v>
      </c>
      <c r="B53" s="558" t="s">
        <v>444</v>
      </c>
      <c r="C53" s="558" t="s">
        <v>609</v>
      </c>
      <c r="D53" s="559" t="s">
        <v>904</v>
      </c>
      <c r="E53" s="560" t="s">
        <v>616</v>
      </c>
      <c r="F53" s="558" t="s">
        <v>608</v>
      </c>
      <c r="G53" s="558" t="s">
        <v>767</v>
      </c>
      <c r="H53" s="558" t="s">
        <v>445</v>
      </c>
      <c r="I53" s="558" t="s">
        <v>768</v>
      </c>
      <c r="J53" s="558" t="s">
        <v>769</v>
      </c>
      <c r="K53" s="558" t="s">
        <v>770</v>
      </c>
      <c r="L53" s="561">
        <v>0</v>
      </c>
      <c r="M53" s="561">
        <v>0</v>
      </c>
      <c r="N53" s="558">
        <v>2</v>
      </c>
      <c r="O53" s="562">
        <v>1</v>
      </c>
      <c r="P53" s="561"/>
      <c r="Q53" s="563"/>
      <c r="R53" s="558"/>
      <c r="S53" s="563">
        <v>0</v>
      </c>
      <c r="T53" s="562"/>
      <c r="U53" s="564">
        <v>0</v>
      </c>
    </row>
    <row r="54" spans="1:21" ht="14.4" customHeight="1" x14ac:dyDescent="0.3">
      <c r="A54" s="557">
        <v>19</v>
      </c>
      <c r="B54" s="558" t="s">
        <v>444</v>
      </c>
      <c r="C54" s="558" t="s">
        <v>609</v>
      </c>
      <c r="D54" s="559" t="s">
        <v>904</v>
      </c>
      <c r="E54" s="560" t="s">
        <v>616</v>
      </c>
      <c r="F54" s="558" t="s">
        <v>608</v>
      </c>
      <c r="G54" s="558" t="s">
        <v>771</v>
      </c>
      <c r="H54" s="558" t="s">
        <v>445</v>
      </c>
      <c r="I54" s="558" t="s">
        <v>772</v>
      </c>
      <c r="J54" s="558" t="s">
        <v>773</v>
      </c>
      <c r="K54" s="558" t="s">
        <v>774</v>
      </c>
      <c r="L54" s="561">
        <v>156.19</v>
      </c>
      <c r="M54" s="561">
        <v>156.19</v>
      </c>
      <c r="N54" s="558">
        <v>1</v>
      </c>
      <c r="O54" s="562">
        <v>1</v>
      </c>
      <c r="P54" s="561">
        <v>156.19</v>
      </c>
      <c r="Q54" s="563">
        <v>1</v>
      </c>
      <c r="R54" s="558">
        <v>1</v>
      </c>
      <c r="S54" s="563">
        <v>1</v>
      </c>
      <c r="T54" s="562">
        <v>1</v>
      </c>
      <c r="U54" s="564">
        <v>1</v>
      </c>
    </row>
    <row r="55" spans="1:21" ht="14.4" customHeight="1" x14ac:dyDescent="0.3">
      <c r="A55" s="557">
        <v>19</v>
      </c>
      <c r="B55" s="558" t="s">
        <v>444</v>
      </c>
      <c r="C55" s="558" t="s">
        <v>609</v>
      </c>
      <c r="D55" s="559" t="s">
        <v>904</v>
      </c>
      <c r="E55" s="560" t="s">
        <v>616</v>
      </c>
      <c r="F55" s="558" t="s">
        <v>608</v>
      </c>
      <c r="G55" s="558" t="s">
        <v>644</v>
      </c>
      <c r="H55" s="558" t="s">
        <v>445</v>
      </c>
      <c r="I55" s="558" t="s">
        <v>645</v>
      </c>
      <c r="J55" s="558" t="s">
        <v>646</v>
      </c>
      <c r="K55" s="558" t="s">
        <v>647</v>
      </c>
      <c r="L55" s="561">
        <v>44.59</v>
      </c>
      <c r="M55" s="561">
        <v>3255.0699999999997</v>
      </c>
      <c r="N55" s="558">
        <v>73</v>
      </c>
      <c r="O55" s="562">
        <v>36.5</v>
      </c>
      <c r="P55" s="561">
        <v>2719.99</v>
      </c>
      <c r="Q55" s="563">
        <v>0.83561643835616439</v>
      </c>
      <c r="R55" s="558">
        <v>61</v>
      </c>
      <c r="S55" s="563">
        <v>0.83561643835616439</v>
      </c>
      <c r="T55" s="562">
        <v>30.5</v>
      </c>
      <c r="U55" s="564">
        <v>0.83561643835616439</v>
      </c>
    </row>
    <row r="56" spans="1:21" ht="14.4" customHeight="1" x14ac:dyDescent="0.3">
      <c r="A56" s="557">
        <v>19</v>
      </c>
      <c r="B56" s="558" t="s">
        <v>444</v>
      </c>
      <c r="C56" s="558" t="s">
        <v>609</v>
      </c>
      <c r="D56" s="559" t="s">
        <v>904</v>
      </c>
      <c r="E56" s="560" t="s">
        <v>616</v>
      </c>
      <c r="F56" s="558" t="s">
        <v>608</v>
      </c>
      <c r="G56" s="558" t="s">
        <v>775</v>
      </c>
      <c r="H56" s="558" t="s">
        <v>519</v>
      </c>
      <c r="I56" s="558" t="s">
        <v>776</v>
      </c>
      <c r="J56" s="558" t="s">
        <v>777</v>
      </c>
      <c r="K56" s="558" t="s">
        <v>778</v>
      </c>
      <c r="L56" s="561">
        <v>0</v>
      </c>
      <c r="M56" s="561">
        <v>0</v>
      </c>
      <c r="N56" s="558">
        <v>1</v>
      </c>
      <c r="O56" s="562">
        <v>0.5</v>
      </c>
      <c r="P56" s="561">
        <v>0</v>
      </c>
      <c r="Q56" s="563"/>
      <c r="R56" s="558">
        <v>1</v>
      </c>
      <c r="S56" s="563">
        <v>1</v>
      </c>
      <c r="T56" s="562">
        <v>0.5</v>
      </c>
      <c r="U56" s="564">
        <v>1</v>
      </c>
    </row>
    <row r="57" spans="1:21" ht="14.4" customHeight="1" x14ac:dyDescent="0.3">
      <c r="A57" s="557">
        <v>19</v>
      </c>
      <c r="B57" s="558" t="s">
        <v>444</v>
      </c>
      <c r="C57" s="558" t="s">
        <v>609</v>
      </c>
      <c r="D57" s="559" t="s">
        <v>904</v>
      </c>
      <c r="E57" s="560" t="s">
        <v>616</v>
      </c>
      <c r="F57" s="558" t="s">
        <v>608</v>
      </c>
      <c r="G57" s="558" t="s">
        <v>775</v>
      </c>
      <c r="H57" s="558" t="s">
        <v>519</v>
      </c>
      <c r="I57" s="558" t="s">
        <v>779</v>
      </c>
      <c r="J57" s="558" t="s">
        <v>777</v>
      </c>
      <c r="K57" s="558" t="s">
        <v>780</v>
      </c>
      <c r="L57" s="561">
        <v>0</v>
      </c>
      <c r="M57" s="561">
        <v>0</v>
      </c>
      <c r="N57" s="558">
        <v>1</v>
      </c>
      <c r="O57" s="562">
        <v>1</v>
      </c>
      <c r="P57" s="561"/>
      <c r="Q57" s="563"/>
      <c r="R57" s="558"/>
      <c r="S57" s="563">
        <v>0</v>
      </c>
      <c r="T57" s="562"/>
      <c r="U57" s="564">
        <v>0</v>
      </c>
    </row>
    <row r="58" spans="1:21" ht="14.4" customHeight="1" x14ac:dyDescent="0.3">
      <c r="A58" s="557">
        <v>19</v>
      </c>
      <c r="B58" s="558" t="s">
        <v>444</v>
      </c>
      <c r="C58" s="558" t="s">
        <v>609</v>
      </c>
      <c r="D58" s="559" t="s">
        <v>904</v>
      </c>
      <c r="E58" s="560" t="s">
        <v>616</v>
      </c>
      <c r="F58" s="558" t="s">
        <v>608</v>
      </c>
      <c r="G58" s="558" t="s">
        <v>711</v>
      </c>
      <c r="H58" s="558" t="s">
        <v>519</v>
      </c>
      <c r="I58" s="558" t="s">
        <v>781</v>
      </c>
      <c r="J58" s="558" t="s">
        <v>782</v>
      </c>
      <c r="K58" s="558" t="s">
        <v>783</v>
      </c>
      <c r="L58" s="561">
        <v>0</v>
      </c>
      <c r="M58" s="561">
        <v>0</v>
      </c>
      <c r="N58" s="558">
        <v>1</v>
      </c>
      <c r="O58" s="562">
        <v>0.5</v>
      </c>
      <c r="P58" s="561"/>
      <c r="Q58" s="563"/>
      <c r="R58" s="558"/>
      <c r="S58" s="563">
        <v>0</v>
      </c>
      <c r="T58" s="562"/>
      <c r="U58" s="564">
        <v>0</v>
      </c>
    </row>
    <row r="59" spans="1:21" ht="14.4" customHeight="1" x14ac:dyDescent="0.3">
      <c r="A59" s="557">
        <v>19</v>
      </c>
      <c r="B59" s="558" t="s">
        <v>444</v>
      </c>
      <c r="C59" s="558" t="s">
        <v>609</v>
      </c>
      <c r="D59" s="559" t="s">
        <v>904</v>
      </c>
      <c r="E59" s="560" t="s">
        <v>616</v>
      </c>
      <c r="F59" s="558" t="s">
        <v>608</v>
      </c>
      <c r="G59" s="558" t="s">
        <v>784</v>
      </c>
      <c r="H59" s="558" t="s">
        <v>519</v>
      </c>
      <c r="I59" s="558" t="s">
        <v>785</v>
      </c>
      <c r="J59" s="558" t="s">
        <v>786</v>
      </c>
      <c r="K59" s="558" t="s">
        <v>787</v>
      </c>
      <c r="L59" s="561">
        <v>77.790000000000006</v>
      </c>
      <c r="M59" s="561">
        <v>77.790000000000006</v>
      </c>
      <c r="N59" s="558">
        <v>1</v>
      </c>
      <c r="O59" s="562">
        <v>0.5</v>
      </c>
      <c r="P59" s="561"/>
      <c r="Q59" s="563">
        <v>0</v>
      </c>
      <c r="R59" s="558"/>
      <c r="S59" s="563">
        <v>0</v>
      </c>
      <c r="T59" s="562"/>
      <c r="U59" s="564">
        <v>0</v>
      </c>
    </row>
    <row r="60" spans="1:21" ht="14.4" customHeight="1" x14ac:dyDescent="0.3">
      <c r="A60" s="557">
        <v>19</v>
      </c>
      <c r="B60" s="558" t="s">
        <v>444</v>
      </c>
      <c r="C60" s="558" t="s">
        <v>609</v>
      </c>
      <c r="D60" s="559" t="s">
        <v>904</v>
      </c>
      <c r="E60" s="560" t="s">
        <v>616</v>
      </c>
      <c r="F60" s="558" t="s">
        <v>608</v>
      </c>
      <c r="G60" s="558" t="s">
        <v>788</v>
      </c>
      <c r="H60" s="558" t="s">
        <v>445</v>
      </c>
      <c r="I60" s="558" t="s">
        <v>789</v>
      </c>
      <c r="J60" s="558" t="s">
        <v>790</v>
      </c>
      <c r="K60" s="558" t="s">
        <v>791</v>
      </c>
      <c r="L60" s="561">
        <v>232.37</v>
      </c>
      <c r="M60" s="561">
        <v>232.37</v>
      </c>
      <c r="N60" s="558">
        <v>1</v>
      </c>
      <c r="O60" s="562">
        <v>1</v>
      </c>
      <c r="P60" s="561">
        <v>232.37</v>
      </c>
      <c r="Q60" s="563">
        <v>1</v>
      </c>
      <c r="R60" s="558">
        <v>1</v>
      </c>
      <c r="S60" s="563">
        <v>1</v>
      </c>
      <c r="T60" s="562">
        <v>1</v>
      </c>
      <c r="U60" s="564">
        <v>1</v>
      </c>
    </row>
    <row r="61" spans="1:21" ht="14.4" customHeight="1" x14ac:dyDescent="0.3">
      <c r="A61" s="557">
        <v>19</v>
      </c>
      <c r="B61" s="558" t="s">
        <v>444</v>
      </c>
      <c r="C61" s="558" t="s">
        <v>609</v>
      </c>
      <c r="D61" s="559" t="s">
        <v>904</v>
      </c>
      <c r="E61" s="560" t="s">
        <v>616</v>
      </c>
      <c r="F61" s="558" t="s">
        <v>608</v>
      </c>
      <c r="G61" s="558" t="s">
        <v>792</v>
      </c>
      <c r="H61" s="558" t="s">
        <v>519</v>
      </c>
      <c r="I61" s="558" t="s">
        <v>793</v>
      </c>
      <c r="J61" s="558" t="s">
        <v>794</v>
      </c>
      <c r="K61" s="558" t="s">
        <v>795</v>
      </c>
      <c r="L61" s="561">
        <v>101.68</v>
      </c>
      <c r="M61" s="561">
        <v>101.68</v>
      </c>
      <c r="N61" s="558">
        <v>1</v>
      </c>
      <c r="O61" s="562">
        <v>0.5</v>
      </c>
      <c r="P61" s="561"/>
      <c r="Q61" s="563">
        <v>0</v>
      </c>
      <c r="R61" s="558"/>
      <c r="S61" s="563">
        <v>0</v>
      </c>
      <c r="T61" s="562"/>
      <c r="U61" s="564">
        <v>0</v>
      </c>
    </row>
    <row r="62" spans="1:21" ht="14.4" customHeight="1" x14ac:dyDescent="0.3">
      <c r="A62" s="557">
        <v>19</v>
      </c>
      <c r="B62" s="558" t="s">
        <v>444</v>
      </c>
      <c r="C62" s="558" t="s">
        <v>609</v>
      </c>
      <c r="D62" s="559" t="s">
        <v>904</v>
      </c>
      <c r="E62" s="560" t="s">
        <v>616</v>
      </c>
      <c r="F62" s="558" t="s">
        <v>608</v>
      </c>
      <c r="G62" s="558" t="s">
        <v>796</v>
      </c>
      <c r="H62" s="558" t="s">
        <v>445</v>
      </c>
      <c r="I62" s="558" t="s">
        <v>797</v>
      </c>
      <c r="J62" s="558" t="s">
        <v>798</v>
      </c>
      <c r="K62" s="558" t="s">
        <v>799</v>
      </c>
      <c r="L62" s="561">
        <v>234.07</v>
      </c>
      <c r="M62" s="561">
        <v>234.07</v>
      </c>
      <c r="N62" s="558">
        <v>1</v>
      </c>
      <c r="O62" s="562">
        <v>0.5</v>
      </c>
      <c r="P62" s="561"/>
      <c r="Q62" s="563">
        <v>0</v>
      </c>
      <c r="R62" s="558"/>
      <c r="S62" s="563">
        <v>0</v>
      </c>
      <c r="T62" s="562"/>
      <c r="U62" s="564">
        <v>0</v>
      </c>
    </row>
    <row r="63" spans="1:21" ht="14.4" customHeight="1" x14ac:dyDescent="0.3">
      <c r="A63" s="557">
        <v>19</v>
      </c>
      <c r="B63" s="558" t="s">
        <v>444</v>
      </c>
      <c r="C63" s="558" t="s">
        <v>609</v>
      </c>
      <c r="D63" s="559" t="s">
        <v>904</v>
      </c>
      <c r="E63" s="560" t="s">
        <v>616</v>
      </c>
      <c r="F63" s="558" t="s">
        <v>608</v>
      </c>
      <c r="G63" s="558" t="s">
        <v>656</v>
      </c>
      <c r="H63" s="558" t="s">
        <v>445</v>
      </c>
      <c r="I63" s="558" t="s">
        <v>800</v>
      </c>
      <c r="J63" s="558" t="s">
        <v>658</v>
      </c>
      <c r="K63" s="558" t="s">
        <v>801</v>
      </c>
      <c r="L63" s="561">
        <v>48.42</v>
      </c>
      <c r="M63" s="561">
        <v>96.84</v>
      </c>
      <c r="N63" s="558">
        <v>2</v>
      </c>
      <c r="O63" s="562">
        <v>1</v>
      </c>
      <c r="P63" s="561"/>
      <c r="Q63" s="563">
        <v>0</v>
      </c>
      <c r="R63" s="558"/>
      <c r="S63" s="563">
        <v>0</v>
      </c>
      <c r="T63" s="562"/>
      <c r="U63" s="564">
        <v>0</v>
      </c>
    </row>
    <row r="64" spans="1:21" ht="14.4" customHeight="1" x14ac:dyDescent="0.3">
      <c r="A64" s="557">
        <v>19</v>
      </c>
      <c r="B64" s="558" t="s">
        <v>444</v>
      </c>
      <c r="C64" s="558" t="s">
        <v>609</v>
      </c>
      <c r="D64" s="559" t="s">
        <v>904</v>
      </c>
      <c r="E64" s="560" t="s">
        <v>616</v>
      </c>
      <c r="F64" s="558" t="s">
        <v>608</v>
      </c>
      <c r="G64" s="558" t="s">
        <v>802</v>
      </c>
      <c r="H64" s="558" t="s">
        <v>445</v>
      </c>
      <c r="I64" s="558" t="s">
        <v>803</v>
      </c>
      <c r="J64" s="558" t="s">
        <v>804</v>
      </c>
      <c r="K64" s="558" t="s">
        <v>805</v>
      </c>
      <c r="L64" s="561">
        <v>93.71</v>
      </c>
      <c r="M64" s="561">
        <v>93.71</v>
      </c>
      <c r="N64" s="558">
        <v>1</v>
      </c>
      <c r="O64" s="562">
        <v>0.5</v>
      </c>
      <c r="P64" s="561"/>
      <c r="Q64" s="563">
        <v>0</v>
      </c>
      <c r="R64" s="558"/>
      <c r="S64" s="563">
        <v>0</v>
      </c>
      <c r="T64" s="562"/>
      <c r="U64" s="564">
        <v>0</v>
      </c>
    </row>
    <row r="65" spans="1:21" ht="14.4" customHeight="1" x14ac:dyDescent="0.3">
      <c r="A65" s="557">
        <v>19</v>
      </c>
      <c r="B65" s="558" t="s">
        <v>444</v>
      </c>
      <c r="C65" s="558" t="s">
        <v>609</v>
      </c>
      <c r="D65" s="559" t="s">
        <v>904</v>
      </c>
      <c r="E65" s="560" t="s">
        <v>616</v>
      </c>
      <c r="F65" s="558" t="s">
        <v>608</v>
      </c>
      <c r="G65" s="558" t="s">
        <v>664</v>
      </c>
      <c r="H65" s="558" t="s">
        <v>445</v>
      </c>
      <c r="I65" s="558" t="s">
        <v>665</v>
      </c>
      <c r="J65" s="558" t="s">
        <v>666</v>
      </c>
      <c r="K65" s="558" t="s">
        <v>667</v>
      </c>
      <c r="L65" s="561">
        <v>0</v>
      </c>
      <c r="M65" s="561">
        <v>0</v>
      </c>
      <c r="N65" s="558">
        <v>2</v>
      </c>
      <c r="O65" s="562">
        <v>0.5</v>
      </c>
      <c r="P65" s="561">
        <v>0</v>
      </c>
      <c r="Q65" s="563"/>
      <c r="R65" s="558">
        <v>2</v>
      </c>
      <c r="S65" s="563">
        <v>1</v>
      </c>
      <c r="T65" s="562">
        <v>0.5</v>
      </c>
      <c r="U65" s="564">
        <v>1</v>
      </c>
    </row>
    <row r="66" spans="1:21" ht="14.4" customHeight="1" x14ac:dyDescent="0.3">
      <c r="A66" s="557">
        <v>19</v>
      </c>
      <c r="B66" s="558" t="s">
        <v>444</v>
      </c>
      <c r="C66" s="558" t="s">
        <v>609</v>
      </c>
      <c r="D66" s="559" t="s">
        <v>904</v>
      </c>
      <c r="E66" s="560" t="s">
        <v>616</v>
      </c>
      <c r="F66" s="558" t="s">
        <v>608</v>
      </c>
      <c r="G66" s="558" t="s">
        <v>664</v>
      </c>
      <c r="H66" s="558" t="s">
        <v>445</v>
      </c>
      <c r="I66" s="558" t="s">
        <v>668</v>
      </c>
      <c r="J66" s="558" t="s">
        <v>666</v>
      </c>
      <c r="K66" s="558" t="s">
        <v>667</v>
      </c>
      <c r="L66" s="561">
        <v>0</v>
      </c>
      <c r="M66" s="561">
        <v>0</v>
      </c>
      <c r="N66" s="558">
        <v>2</v>
      </c>
      <c r="O66" s="562">
        <v>1</v>
      </c>
      <c r="P66" s="561">
        <v>0</v>
      </c>
      <c r="Q66" s="563"/>
      <c r="R66" s="558">
        <v>2</v>
      </c>
      <c r="S66" s="563">
        <v>1</v>
      </c>
      <c r="T66" s="562">
        <v>1</v>
      </c>
      <c r="U66" s="564">
        <v>1</v>
      </c>
    </row>
    <row r="67" spans="1:21" ht="14.4" customHeight="1" x14ac:dyDescent="0.3">
      <c r="A67" s="557">
        <v>19</v>
      </c>
      <c r="B67" s="558" t="s">
        <v>444</v>
      </c>
      <c r="C67" s="558" t="s">
        <v>609</v>
      </c>
      <c r="D67" s="559" t="s">
        <v>904</v>
      </c>
      <c r="E67" s="560" t="s">
        <v>616</v>
      </c>
      <c r="F67" s="558" t="s">
        <v>608</v>
      </c>
      <c r="G67" s="558" t="s">
        <v>806</v>
      </c>
      <c r="H67" s="558" t="s">
        <v>445</v>
      </c>
      <c r="I67" s="558" t="s">
        <v>807</v>
      </c>
      <c r="J67" s="558" t="s">
        <v>808</v>
      </c>
      <c r="K67" s="558" t="s">
        <v>809</v>
      </c>
      <c r="L67" s="561">
        <v>99.11</v>
      </c>
      <c r="M67" s="561">
        <v>99.11</v>
      </c>
      <c r="N67" s="558">
        <v>1</v>
      </c>
      <c r="O67" s="562">
        <v>0.5</v>
      </c>
      <c r="P67" s="561">
        <v>99.11</v>
      </c>
      <c r="Q67" s="563">
        <v>1</v>
      </c>
      <c r="R67" s="558">
        <v>1</v>
      </c>
      <c r="S67" s="563">
        <v>1</v>
      </c>
      <c r="T67" s="562">
        <v>0.5</v>
      </c>
      <c r="U67" s="564">
        <v>1</v>
      </c>
    </row>
    <row r="68" spans="1:21" ht="14.4" customHeight="1" x14ac:dyDescent="0.3">
      <c r="A68" s="557">
        <v>19</v>
      </c>
      <c r="B68" s="558" t="s">
        <v>444</v>
      </c>
      <c r="C68" s="558" t="s">
        <v>609</v>
      </c>
      <c r="D68" s="559" t="s">
        <v>904</v>
      </c>
      <c r="E68" s="560" t="s">
        <v>616</v>
      </c>
      <c r="F68" s="558" t="s">
        <v>608</v>
      </c>
      <c r="G68" s="558" t="s">
        <v>670</v>
      </c>
      <c r="H68" s="558" t="s">
        <v>445</v>
      </c>
      <c r="I68" s="558" t="s">
        <v>671</v>
      </c>
      <c r="J68" s="558" t="s">
        <v>672</v>
      </c>
      <c r="K68" s="558" t="s">
        <v>673</v>
      </c>
      <c r="L68" s="561">
        <v>0</v>
      </c>
      <c r="M68" s="561">
        <v>0</v>
      </c>
      <c r="N68" s="558">
        <v>1</v>
      </c>
      <c r="O68" s="562">
        <v>1</v>
      </c>
      <c r="P68" s="561">
        <v>0</v>
      </c>
      <c r="Q68" s="563"/>
      <c r="R68" s="558">
        <v>1</v>
      </c>
      <c r="S68" s="563">
        <v>1</v>
      </c>
      <c r="T68" s="562">
        <v>1</v>
      </c>
      <c r="U68" s="564">
        <v>1</v>
      </c>
    </row>
    <row r="69" spans="1:21" ht="14.4" customHeight="1" x14ac:dyDescent="0.3">
      <c r="A69" s="557">
        <v>19</v>
      </c>
      <c r="B69" s="558" t="s">
        <v>444</v>
      </c>
      <c r="C69" s="558" t="s">
        <v>609</v>
      </c>
      <c r="D69" s="559" t="s">
        <v>904</v>
      </c>
      <c r="E69" s="560" t="s">
        <v>616</v>
      </c>
      <c r="F69" s="558" t="s">
        <v>608</v>
      </c>
      <c r="G69" s="558" t="s">
        <v>810</v>
      </c>
      <c r="H69" s="558" t="s">
        <v>445</v>
      </c>
      <c r="I69" s="558" t="s">
        <v>811</v>
      </c>
      <c r="J69" s="558" t="s">
        <v>812</v>
      </c>
      <c r="K69" s="558" t="s">
        <v>813</v>
      </c>
      <c r="L69" s="561">
        <v>38.56</v>
      </c>
      <c r="M69" s="561">
        <v>38.56</v>
      </c>
      <c r="N69" s="558">
        <v>1</v>
      </c>
      <c r="O69" s="562">
        <v>0.5</v>
      </c>
      <c r="P69" s="561"/>
      <c r="Q69" s="563">
        <v>0</v>
      </c>
      <c r="R69" s="558"/>
      <c r="S69" s="563">
        <v>0</v>
      </c>
      <c r="T69" s="562"/>
      <c r="U69" s="564">
        <v>0</v>
      </c>
    </row>
    <row r="70" spans="1:21" ht="14.4" customHeight="1" x14ac:dyDescent="0.3">
      <c r="A70" s="557">
        <v>19</v>
      </c>
      <c r="B70" s="558" t="s">
        <v>444</v>
      </c>
      <c r="C70" s="558" t="s">
        <v>609</v>
      </c>
      <c r="D70" s="559" t="s">
        <v>904</v>
      </c>
      <c r="E70" s="560" t="s">
        <v>616</v>
      </c>
      <c r="F70" s="558" t="s">
        <v>608</v>
      </c>
      <c r="G70" s="558" t="s">
        <v>814</v>
      </c>
      <c r="H70" s="558" t="s">
        <v>519</v>
      </c>
      <c r="I70" s="558" t="s">
        <v>815</v>
      </c>
      <c r="J70" s="558" t="s">
        <v>816</v>
      </c>
      <c r="K70" s="558" t="s">
        <v>817</v>
      </c>
      <c r="L70" s="561">
        <v>300.68</v>
      </c>
      <c r="M70" s="561">
        <v>300.68</v>
      </c>
      <c r="N70" s="558">
        <v>1</v>
      </c>
      <c r="O70" s="562">
        <v>1</v>
      </c>
      <c r="P70" s="561"/>
      <c r="Q70" s="563">
        <v>0</v>
      </c>
      <c r="R70" s="558"/>
      <c r="S70" s="563">
        <v>0</v>
      </c>
      <c r="T70" s="562"/>
      <c r="U70" s="564">
        <v>0</v>
      </c>
    </row>
    <row r="71" spans="1:21" ht="14.4" customHeight="1" x14ac:dyDescent="0.3">
      <c r="A71" s="557">
        <v>19</v>
      </c>
      <c r="B71" s="558" t="s">
        <v>444</v>
      </c>
      <c r="C71" s="558" t="s">
        <v>609</v>
      </c>
      <c r="D71" s="559" t="s">
        <v>904</v>
      </c>
      <c r="E71" s="560" t="s">
        <v>616</v>
      </c>
      <c r="F71" s="558" t="s">
        <v>608</v>
      </c>
      <c r="G71" s="558" t="s">
        <v>818</v>
      </c>
      <c r="H71" s="558" t="s">
        <v>445</v>
      </c>
      <c r="I71" s="558" t="s">
        <v>819</v>
      </c>
      <c r="J71" s="558" t="s">
        <v>820</v>
      </c>
      <c r="K71" s="558" t="s">
        <v>821</v>
      </c>
      <c r="L71" s="561">
        <v>503.02</v>
      </c>
      <c r="M71" s="561">
        <v>503.02</v>
      </c>
      <c r="N71" s="558">
        <v>1</v>
      </c>
      <c r="O71" s="562">
        <v>1</v>
      </c>
      <c r="P71" s="561">
        <v>503.02</v>
      </c>
      <c r="Q71" s="563">
        <v>1</v>
      </c>
      <c r="R71" s="558">
        <v>1</v>
      </c>
      <c r="S71" s="563">
        <v>1</v>
      </c>
      <c r="T71" s="562">
        <v>1</v>
      </c>
      <c r="U71" s="564">
        <v>1</v>
      </c>
    </row>
    <row r="72" spans="1:21" ht="14.4" customHeight="1" x14ac:dyDescent="0.3">
      <c r="A72" s="557">
        <v>19</v>
      </c>
      <c r="B72" s="558" t="s">
        <v>444</v>
      </c>
      <c r="C72" s="558" t="s">
        <v>609</v>
      </c>
      <c r="D72" s="559" t="s">
        <v>904</v>
      </c>
      <c r="E72" s="560" t="s">
        <v>617</v>
      </c>
      <c r="F72" s="558" t="s">
        <v>608</v>
      </c>
      <c r="G72" s="558" t="s">
        <v>718</v>
      </c>
      <c r="H72" s="558" t="s">
        <v>445</v>
      </c>
      <c r="I72" s="558" t="s">
        <v>822</v>
      </c>
      <c r="J72" s="558" t="s">
        <v>720</v>
      </c>
      <c r="K72" s="558" t="s">
        <v>721</v>
      </c>
      <c r="L72" s="561">
        <v>73.069999999999993</v>
      </c>
      <c r="M72" s="561">
        <v>73.069999999999993</v>
      </c>
      <c r="N72" s="558">
        <v>1</v>
      </c>
      <c r="O72" s="562">
        <v>1</v>
      </c>
      <c r="P72" s="561">
        <v>73.069999999999993</v>
      </c>
      <c r="Q72" s="563">
        <v>1</v>
      </c>
      <c r="R72" s="558">
        <v>1</v>
      </c>
      <c r="S72" s="563">
        <v>1</v>
      </c>
      <c r="T72" s="562">
        <v>1</v>
      </c>
      <c r="U72" s="564">
        <v>1</v>
      </c>
    </row>
    <row r="73" spans="1:21" ht="14.4" customHeight="1" x14ac:dyDescent="0.3">
      <c r="A73" s="557">
        <v>19</v>
      </c>
      <c r="B73" s="558" t="s">
        <v>444</v>
      </c>
      <c r="C73" s="558" t="s">
        <v>609</v>
      </c>
      <c r="D73" s="559" t="s">
        <v>904</v>
      </c>
      <c r="E73" s="560" t="s">
        <v>617</v>
      </c>
      <c r="F73" s="558" t="s">
        <v>608</v>
      </c>
      <c r="G73" s="558" t="s">
        <v>823</v>
      </c>
      <c r="H73" s="558" t="s">
        <v>445</v>
      </c>
      <c r="I73" s="558" t="s">
        <v>824</v>
      </c>
      <c r="J73" s="558" t="s">
        <v>825</v>
      </c>
      <c r="K73" s="558" t="s">
        <v>826</v>
      </c>
      <c r="L73" s="561">
        <v>0</v>
      </c>
      <c r="M73" s="561">
        <v>0</v>
      </c>
      <c r="N73" s="558">
        <v>1</v>
      </c>
      <c r="O73" s="562">
        <v>0.5</v>
      </c>
      <c r="P73" s="561">
        <v>0</v>
      </c>
      <c r="Q73" s="563"/>
      <c r="R73" s="558">
        <v>1</v>
      </c>
      <c r="S73" s="563">
        <v>1</v>
      </c>
      <c r="T73" s="562">
        <v>0.5</v>
      </c>
      <c r="U73" s="564">
        <v>1</v>
      </c>
    </row>
    <row r="74" spans="1:21" ht="14.4" customHeight="1" x14ac:dyDescent="0.3">
      <c r="A74" s="557">
        <v>19</v>
      </c>
      <c r="B74" s="558" t="s">
        <v>444</v>
      </c>
      <c r="C74" s="558" t="s">
        <v>609</v>
      </c>
      <c r="D74" s="559" t="s">
        <v>904</v>
      </c>
      <c r="E74" s="560" t="s">
        <v>617</v>
      </c>
      <c r="F74" s="558" t="s">
        <v>608</v>
      </c>
      <c r="G74" s="558" t="s">
        <v>827</v>
      </c>
      <c r="H74" s="558" t="s">
        <v>519</v>
      </c>
      <c r="I74" s="558" t="s">
        <v>828</v>
      </c>
      <c r="J74" s="558" t="s">
        <v>829</v>
      </c>
      <c r="K74" s="558" t="s">
        <v>737</v>
      </c>
      <c r="L74" s="561">
        <v>117.73</v>
      </c>
      <c r="M74" s="561">
        <v>235.46</v>
      </c>
      <c r="N74" s="558">
        <v>2</v>
      </c>
      <c r="O74" s="562">
        <v>1</v>
      </c>
      <c r="P74" s="561">
        <v>235.46</v>
      </c>
      <c r="Q74" s="563">
        <v>1</v>
      </c>
      <c r="R74" s="558">
        <v>2</v>
      </c>
      <c r="S74" s="563">
        <v>1</v>
      </c>
      <c r="T74" s="562">
        <v>1</v>
      </c>
      <c r="U74" s="564">
        <v>1</v>
      </c>
    </row>
    <row r="75" spans="1:21" ht="14.4" customHeight="1" x14ac:dyDescent="0.3">
      <c r="A75" s="557">
        <v>19</v>
      </c>
      <c r="B75" s="558" t="s">
        <v>444</v>
      </c>
      <c r="C75" s="558" t="s">
        <v>609</v>
      </c>
      <c r="D75" s="559" t="s">
        <v>904</v>
      </c>
      <c r="E75" s="560" t="s">
        <v>617</v>
      </c>
      <c r="F75" s="558" t="s">
        <v>608</v>
      </c>
      <c r="G75" s="558" t="s">
        <v>830</v>
      </c>
      <c r="H75" s="558" t="s">
        <v>445</v>
      </c>
      <c r="I75" s="558" t="s">
        <v>831</v>
      </c>
      <c r="J75" s="558" t="s">
        <v>832</v>
      </c>
      <c r="K75" s="558" t="s">
        <v>833</v>
      </c>
      <c r="L75" s="561">
        <v>79.48</v>
      </c>
      <c r="M75" s="561">
        <v>158.96</v>
      </c>
      <c r="N75" s="558">
        <v>2</v>
      </c>
      <c r="O75" s="562">
        <v>1</v>
      </c>
      <c r="P75" s="561"/>
      <c r="Q75" s="563">
        <v>0</v>
      </c>
      <c r="R75" s="558"/>
      <c r="S75" s="563">
        <v>0</v>
      </c>
      <c r="T75" s="562"/>
      <c r="U75" s="564">
        <v>0</v>
      </c>
    </row>
    <row r="76" spans="1:21" ht="14.4" customHeight="1" x14ac:dyDescent="0.3">
      <c r="A76" s="557">
        <v>19</v>
      </c>
      <c r="B76" s="558" t="s">
        <v>444</v>
      </c>
      <c r="C76" s="558" t="s">
        <v>609</v>
      </c>
      <c r="D76" s="559" t="s">
        <v>904</v>
      </c>
      <c r="E76" s="560" t="s">
        <v>617</v>
      </c>
      <c r="F76" s="558" t="s">
        <v>608</v>
      </c>
      <c r="G76" s="558" t="s">
        <v>834</v>
      </c>
      <c r="H76" s="558" t="s">
        <v>445</v>
      </c>
      <c r="I76" s="558" t="s">
        <v>835</v>
      </c>
      <c r="J76" s="558" t="s">
        <v>836</v>
      </c>
      <c r="K76" s="558" t="s">
        <v>837</v>
      </c>
      <c r="L76" s="561">
        <v>45.05</v>
      </c>
      <c r="M76" s="561">
        <v>90.1</v>
      </c>
      <c r="N76" s="558">
        <v>2</v>
      </c>
      <c r="O76" s="562">
        <v>1</v>
      </c>
      <c r="P76" s="561">
        <v>90.1</v>
      </c>
      <c r="Q76" s="563">
        <v>1</v>
      </c>
      <c r="R76" s="558">
        <v>2</v>
      </c>
      <c r="S76" s="563">
        <v>1</v>
      </c>
      <c r="T76" s="562">
        <v>1</v>
      </c>
      <c r="U76" s="564">
        <v>1</v>
      </c>
    </row>
    <row r="77" spans="1:21" ht="14.4" customHeight="1" x14ac:dyDescent="0.3">
      <c r="A77" s="557">
        <v>19</v>
      </c>
      <c r="B77" s="558" t="s">
        <v>444</v>
      </c>
      <c r="C77" s="558" t="s">
        <v>609</v>
      </c>
      <c r="D77" s="559" t="s">
        <v>904</v>
      </c>
      <c r="E77" s="560" t="s">
        <v>617</v>
      </c>
      <c r="F77" s="558" t="s">
        <v>608</v>
      </c>
      <c r="G77" s="558" t="s">
        <v>755</v>
      </c>
      <c r="H77" s="558" t="s">
        <v>445</v>
      </c>
      <c r="I77" s="558" t="s">
        <v>756</v>
      </c>
      <c r="J77" s="558" t="s">
        <v>757</v>
      </c>
      <c r="K77" s="558" t="s">
        <v>758</v>
      </c>
      <c r="L77" s="561">
        <v>0</v>
      </c>
      <c r="M77" s="561">
        <v>0</v>
      </c>
      <c r="N77" s="558">
        <v>2</v>
      </c>
      <c r="O77" s="562">
        <v>0.5</v>
      </c>
      <c r="P77" s="561">
        <v>0</v>
      </c>
      <c r="Q77" s="563"/>
      <c r="R77" s="558">
        <v>2</v>
      </c>
      <c r="S77" s="563">
        <v>1</v>
      </c>
      <c r="T77" s="562">
        <v>0.5</v>
      </c>
      <c r="U77" s="564">
        <v>1</v>
      </c>
    </row>
    <row r="78" spans="1:21" ht="14.4" customHeight="1" x14ac:dyDescent="0.3">
      <c r="A78" s="557">
        <v>19</v>
      </c>
      <c r="B78" s="558" t="s">
        <v>444</v>
      </c>
      <c r="C78" s="558" t="s">
        <v>609</v>
      </c>
      <c r="D78" s="559" t="s">
        <v>904</v>
      </c>
      <c r="E78" s="560" t="s">
        <v>617</v>
      </c>
      <c r="F78" s="558" t="s">
        <v>608</v>
      </c>
      <c r="G78" s="558" t="s">
        <v>640</v>
      </c>
      <c r="H78" s="558" t="s">
        <v>445</v>
      </c>
      <c r="I78" s="558" t="s">
        <v>641</v>
      </c>
      <c r="J78" s="558" t="s">
        <v>642</v>
      </c>
      <c r="K78" s="558" t="s">
        <v>643</v>
      </c>
      <c r="L78" s="561">
        <v>111.72</v>
      </c>
      <c r="M78" s="561">
        <v>335.15999999999997</v>
      </c>
      <c r="N78" s="558">
        <v>3</v>
      </c>
      <c r="O78" s="562">
        <v>2</v>
      </c>
      <c r="P78" s="561">
        <v>335.15999999999997</v>
      </c>
      <c r="Q78" s="563">
        <v>1</v>
      </c>
      <c r="R78" s="558">
        <v>3</v>
      </c>
      <c r="S78" s="563">
        <v>1</v>
      </c>
      <c r="T78" s="562">
        <v>2</v>
      </c>
      <c r="U78" s="564">
        <v>1</v>
      </c>
    </row>
    <row r="79" spans="1:21" ht="14.4" customHeight="1" x14ac:dyDescent="0.3">
      <c r="A79" s="557">
        <v>19</v>
      </c>
      <c r="B79" s="558" t="s">
        <v>444</v>
      </c>
      <c r="C79" s="558" t="s">
        <v>609</v>
      </c>
      <c r="D79" s="559" t="s">
        <v>904</v>
      </c>
      <c r="E79" s="560" t="s">
        <v>617</v>
      </c>
      <c r="F79" s="558" t="s">
        <v>608</v>
      </c>
      <c r="G79" s="558" t="s">
        <v>838</v>
      </c>
      <c r="H79" s="558" t="s">
        <v>445</v>
      </c>
      <c r="I79" s="558" t="s">
        <v>839</v>
      </c>
      <c r="J79" s="558" t="s">
        <v>840</v>
      </c>
      <c r="K79" s="558" t="s">
        <v>841</v>
      </c>
      <c r="L79" s="561">
        <v>300.33</v>
      </c>
      <c r="M79" s="561">
        <v>600.66</v>
      </c>
      <c r="N79" s="558">
        <v>2</v>
      </c>
      <c r="O79" s="562">
        <v>2</v>
      </c>
      <c r="P79" s="561">
        <v>300.33</v>
      </c>
      <c r="Q79" s="563">
        <v>0.5</v>
      </c>
      <c r="R79" s="558">
        <v>1</v>
      </c>
      <c r="S79" s="563">
        <v>0.5</v>
      </c>
      <c r="T79" s="562">
        <v>1</v>
      </c>
      <c r="U79" s="564">
        <v>0.5</v>
      </c>
    </row>
    <row r="80" spans="1:21" ht="14.4" customHeight="1" x14ac:dyDescent="0.3">
      <c r="A80" s="557">
        <v>19</v>
      </c>
      <c r="B80" s="558" t="s">
        <v>444</v>
      </c>
      <c r="C80" s="558" t="s">
        <v>609</v>
      </c>
      <c r="D80" s="559" t="s">
        <v>904</v>
      </c>
      <c r="E80" s="560" t="s">
        <v>617</v>
      </c>
      <c r="F80" s="558" t="s">
        <v>608</v>
      </c>
      <c r="G80" s="558" t="s">
        <v>838</v>
      </c>
      <c r="H80" s="558" t="s">
        <v>519</v>
      </c>
      <c r="I80" s="558" t="s">
        <v>842</v>
      </c>
      <c r="J80" s="558" t="s">
        <v>843</v>
      </c>
      <c r="K80" s="558" t="s">
        <v>844</v>
      </c>
      <c r="L80" s="561">
        <v>186.87</v>
      </c>
      <c r="M80" s="561">
        <v>186.87</v>
      </c>
      <c r="N80" s="558">
        <v>1</v>
      </c>
      <c r="O80" s="562">
        <v>1</v>
      </c>
      <c r="P80" s="561">
        <v>186.87</v>
      </c>
      <c r="Q80" s="563">
        <v>1</v>
      </c>
      <c r="R80" s="558">
        <v>1</v>
      </c>
      <c r="S80" s="563">
        <v>1</v>
      </c>
      <c r="T80" s="562">
        <v>1</v>
      </c>
      <c r="U80" s="564">
        <v>1</v>
      </c>
    </row>
    <row r="81" spans="1:21" ht="14.4" customHeight="1" x14ac:dyDescent="0.3">
      <c r="A81" s="557">
        <v>19</v>
      </c>
      <c r="B81" s="558" t="s">
        <v>444</v>
      </c>
      <c r="C81" s="558" t="s">
        <v>609</v>
      </c>
      <c r="D81" s="559" t="s">
        <v>904</v>
      </c>
      <c r="E81" s="560" t="s">
        <v>617</v>
      </c>
      <c r="F81" s="558" t="s">
        <v>608</v>
      </c>
      <c r="G81" s="558" t="s">
        <v>648</v>
      </c>
      <c r="H81" s="558" t="s">
        <v>519</v>
      </c>
      <c r="I81" s="558" t="s">
        <v>649</v>
      </c>
      <c r="J81" s="558" t="s">
        <v>650</v>
      </c>
      <c r="K81" s="558" t="s">
        <v>651</v>
      </c>
      <c r="L81" s="561">
        <v>46.07</v>
      </c>
      <c r="M81" s="561">
        <v>46.07</v>
      </c>
      <c r="N81" s="558">
        <v>1</v>
      </c>
      <c r="O81" s="562">
        <v>1</v>
      </c>
      <c r="P81" s="561">
        <v>46.07</v>
      </c>
      <c r="Q81" s="563">
        <v>1</v>
      </c>
      <c r="R81" s="558">
        <v>1</v>
      </c>
      <c r="S81" s="563">
        <v>1</v>
      </c>
      <c r="T81" s="562">
        <v>1</v>
      </c>
      <c r="U81" s="564">
        <v>1</v>
      </c>
    </row>
    <row r="82" spans="1:21" ht="14.4" customHeight="1" x14ac:dyDescent="0.3">
      <c r="A82" s="557">
        <v>19</v>
      </c>
      <c r="B82" s="558" t="s">
        <v>444</v>
      </c>
      <c r="C82" s="558" t="s">
        <v>609</v>
      </c>
      <c r="D82" s="559" t="s">
        <v>904</v>
      </c>
      <c r="E82" s="560" t="s">
        <v>617</v>
      </c>
      <c r="F82" s="558" t="s">
        <v>608</v>
      </c>
      <c r="G82" s="558" t="s">
        <v>845</v>
      </c>
      <c r="H82" s="558" t="s">
        <v>445</v>
      </c>
      <c r="I82" s="558" t="s">
        <v>846</v>
      </c>
      <c r="J82" s="558" t="s">
        <v>847</v>
      </c>
      <c r="K82" s="558" t="s">
        <v>848</v>
      </c>
      <c r="L82" s="561">
        <v>115.13</v>
      </c>
      <c r="M82" s="561">
        <v>230.26</v>
      </c>
      <c r="N82" s="558">
        <v>2</v>
      </c>
      <c r="O82" s="562">
        <v>1</v>
      </c>
      <c r="P82" s="561"/>
      <c r="Q82" s="563">
        <v>0</v>
      </c>
      <c r="R82" s="558"/>
      <c r="S82" s="563">
        <v>0</v>
      </c>
      <c r="T82" s="562"/>
      <c r="U82" s="564">
        <v>0</v>
      </c>
    </row>
    <row r="83" spans="1:21" ht="14.4" customHeight="1" x14ac:dyDescent="0.3">
      <c r="A83" s="557">
        <v>19</v>
      </c>
      <c r="B83" s="558" t="s">
        <v>444</v>
      </c>
      <c r="C83" s="558" t="s">
        <v>609</v>
      </c>
      <c r="D83" s="559" t="s">
        <v>904</v>
      </c>
      <c r="E83" s="560" t="s">
        <v>617</v>
      </c>
      <c r="F83" s="558" t="s">
        <v>608</v>
      </c>
      <c r="G83" s="558" t="s">
        <v>849</v>
      </c>
      <c r="H83" s="558" t="s">
        <v>445</v>
      </c>
      <c r="I83" s="558" t="s">
        <v>850</v>
      </c>
      <c r="J83" s="558" t="s">
        <v>851</v>
      </c>
      <c r="K83" s="558" t="s">
        <v>852</v>
      </c>
      <c r="L83" s="561">
        <v>121.04</v>
      </c>
      <c r="M83" s="561">
        <v>484.16</v>
      </c>
      <c r="N83" s="558">
        <v>4</v>
      </c>
      <c r="O83" s="562">
        <v>2</v>
      </c>
      <c r="P83" s="561">
        <v>484.16</v>
      </c>
      <c r="Q83" s="563">
        <v>1</v>
      </c>
      <c r="R83" s="558">
        <v>4</v>
      </c>
      <c r="S83" s="563">
        <v>1</v>
      </c>
      <c r="T83" s="562">
        <v>2</v>
      </c>
      <c r="U83" s="564">
        <v>1</v>
      </c>
    </row>
    <row r="84" spans="1:21" ht="14.4" customHeight="1" x14ac:dyDescent="0.3">
      <c r="A84" s="557">
        <v>19</v>
      </c>
      <c r="B84" s="558" t="s">
        <v>444</v>
      </c>
      <c r="C84" s="558" t="s">
        <v>609</v>
      </c>
      <c r="D84" s="559" t="s">
        <v>904</v>
      </c>
      <c r="E84" s="560" t="s">
        <v>617</v>
      </c>
      <c r="F84" s="558" t="s">
        <v>608</v>
      </c>
      <c r="G84" s="558" t="s">
        <v>853</v>
      </c>
      <c r="H84" s="558" t="s">
        <v>445</v>
      </c>
      <c r="I84" s="558" t="s">
        <v>854</v>
      </c>
      <c r="J84" s="558" t="s">
        <v>855</v>
      </c>
      <c r="K84" s="558" t="s">
        <v>856</v>
      </c>
      <c r="L84" s="561">
        <v>194.49</v>
      </c>
      <c r="M84" s="561">
        <v>194.49</v>
      </c>
      <c r="N84" s="558">
        <v>1</v>
      </c>
      <c r="O84" s="562">
        <v>1</v>
      </c>
      <c r="P84" s="561">
        <v>194.49</v>
      </c>
      <c r="Q84" s="563">
        <v>1</v>
      </c>
      <c r="R84" s="558">
        <v>1</v>
      </c>
      <c r="S84" s="563">
        <v>1</v>
      </c>
      <c r="T84" s="562">
        <v>1</v>
      </c>
      <c r="U84" s="564">
        <v>1</v>
      </c>
    </row>
    <row r="85" spans="1:21" ht="14.4" customHeight="1" x14ac:dyDescent="0.3">
      <c r="A85" s="557">
        <v>19</v>
      </c>
      <c r="B85" s="558" t="s">
        <v>444</v>
      </c>
      <c r="C85" s="558" t="s">
        <v>609</v>
      </c>
      <c r="D85" s="559" t="s">
        <v>904</v>
      </c>
      <c r="E85" s="560" t="s">
        <v>617</v>
      </c>
      <c r="F85" s="558" t="s">
        <v>608</v>
      </c>
      <c r="G85" s="558" t="s">
        <v>857</v>
      </c>
      <c r="H85" s="558" t="s">
        <v>445</v>
      </c>
      <c r="I85" s="558" t="s">
        <v>858</v>
      </c>
      <c r="J85" s="558" t="s">
        <v>859</v>
      </c>
      <c r="K85" s="558" t="s">
        <v>860</v>
      </c>
      <c r="L85" s="561">
        <v>0</v>
      </c>
      <c r="M85" s="561">
        <v>0</v>
      </c>
      <c r="N85" s="558">
        <v>2</v>
      </c>
      <c r="O85" s="562">
        <v>1</v>
      </c>
      <c r="P85" s="561"/>
      <c r="Q85" s="563"/>
      <c r="R85" s="558"/>
      <c r="S85" s="563">
        <v>0</v>
      </c>
      <c r="T85" s="562"/>
      <c r="U85" s="564">
        <v>0</v>
      </c>
    </row>
    <row r="86" spans="1:21" ht="14.4" customHeight="1" x14ac:dyDescent="0.3">
      <c r="A86" s="557">
        <v>19</v>
      </c>
      <c r="B86" s="558" t="s">
        <v>444</v>
      </c>
      <c r="C86" s="558" t="s">
        <v>609</v>
      </c>
      <c r="D86" s="559" t="s">
        <v>904</v>
      </c>
      <c r="E86" s="560" t="s">
        <v>617</v>
      </c>
      <c r="F86" s="558" t="s">
        <v>608</v>
      </c>
      <c r="G86" s="558" t="s">
        <v>857</v>
      </c>
      <c r="H86" s="558" t="s">
        <v>445</v>
      </c>
      <c r="I86" s="558" t="s">
        <v>861</v>
      </c>
      <c r="J86" s="558" t="s">
        <v>859</v>
      </c>
      <c r="K86" s="558" t="s">
        <v>862</v>
      </c>
      <c r="L86" s="561">
        <v>0</v>
      </c>
      <c r="M86" s="561">
        <v>0</v>
      </c>
      <c r="N86" s="558">
        <v>1</v>
      </c>
      <c r="O86" s="562">
        <v>1</v>
      </c>
      <c r="P86" s="561"/>
      <c r="Q86" s="563"/>
      <c r="R86" s="558"/>
      <c r="S86" s="563">
        <v>0</v>
      </c>
      <c r="T86" s="562"/>
      <c r="U86" s="564">
        <v>0</v>
      </c>
    </row>
    <row r="87" spans="1:21" ht="14.4" customHeight="1" x14ac:dyDescent="0.3">
      <c r="A87" s="557">
        <v>19</v>
      </c>
      <c r="B87" s="558" t="s">
        <v>444</v>
      </c>
      <c r="C87" s="558" t="s">
        <v>609</v>
      </c>
      <c r="D87" s="559" t="s">
        <v>904</v>
      </c>
      <c r="E87" s="560" t="s">
        <v>617</v>
      </c>
      <c r="F87" s="558" t="s">
        <v>608</v>
      </c>
      <c r="G87" s="558" t="s">
        <v>857</v>
      </c>
      <c r="H87" s="558" t="s">
        <v>445</v>
      </c>
      <c r="I87" s="558" t="s">
        <v>863</v>
      </c>
      <c r="J87" s="558" t="s">
        <v>859</v>
      </c>
      <c r="K87" s="558" t="s">
        <v>762</v>
      </c>
      <c r="L87" s="561">
        <v>0</v>
      </c>
      <c r="M87" s="561">
        <v>0</v>
      </c>
      <c r="N87" s="558">
        <v>5</v>
      </c>
      <c r="O87" s="562">
        <v>3</v>
      </c>
      <c r="P87" s="561">
        <v>0</v>
      </c>
      <c r="Q87" s="563"/>
      <c r="R87" s="558">
        <v>4</v>
      </c>
      <c r="S87" s="563">
        <v>0.8</v>
      </c>
      <c r="T87" s="562">
        <v>2</v>
      </c>
      <c r="U87" s="564">
        <v>0.66666666666666663</v>
      </c>
    </row>
    <row r="88" spans="1:21" ht="14.4" customHeight="1" x14ac:dyDescent="0.3">
      <c r="A88" s="557">
        <v>19</v>
      </c>
      <c r="B88" s="558" t="s">
        <v>444</v>
      </c>
      <c r="C88" s="558" t="s">
        <v>609</v>
      </c>
      <c r="D88" s="559" t="s">
        <v>904</v>
      </c>
      <c r="E88" s="560" t="s">
        <v>618</v>
      </c>
      <c r="F88" s="558" t="s">
        <v>608</v>
      </c>
      <c r="G88" s="558" t="s">
        <v>632</v>
      </c>
      <c r="H88" s="558" t="s">
        <v>445</v>
      </c>
      <c r="I88" s="558" t="s">
        <v>864</v>
      </c>
      <c r="J88" s="558" t="s">
        <v>634</v>
      </c>
      <c r="K88" s="558" t="s">
        <v>865</v>
      </c>
      <c r="L88" s="561">
        <v>161.4</v>
      </c>
      <c r="M88" s="561">
        <v>322.8</v>
      </c>
      <c r="N88" s="558">
        <v>2</v>
      </c>
      <c r="O88" s="562">
        <v>0.5</v>
      </c>
      <c r="P88" s="561"/>
      <c r="Q88" s="563">
        <v>0</v>
      </c>
      <c r="R88" s="558"/>
      <c r="S88" s="563">
        <v>0</v>
      </c>
      <c r="T88" s="562"/>
      <c r="U88" s="564">
        <v>0</v>
      </c>
    </row>
    <row r="89" spans="1:21" ht="14.4" customHeight="1" x14ac:dyDescent="0.3">
      <c r="A89" s="557">
        <v>19</v>
      </c>
      <c r="B89" s="558" t="s">
        <v>444</v>
      </c>
      <c r="C89" s="558" t="s">
        <v>609</v>
      </c>
      <c r="D89" s="559" t="s">
        <v>904</v>
      </c>
      <c r="E89" s="560" t="s">
        <v>618</v>
      </c>
      <c r="F89" s="558" t="s">
        <v>608</v>
      </c>
      <c r="G89" s="558" t="s">
        <v>632</v>
      </c>
      <c r="H89" s="558" t="s">
        <v>445</v>
      </c>
      <c r="I89" s="558" t="s">
        <v>633</v>
      </c>
      <c r="J89" s="558" t="s">
        <v>634</v>
      </c>
      <c r="K89" s="558" t="s">
        <v>635</v>
      </c>
      <c r="L89" s="561">
        <v>322.8</v>
      </c>
      <c r="M89" s="561">
        <v>322.8</v>
      </c>
      <c r="N89" s="558">
        <v>1</v>
      </c>
      <c r="O89" s="562">
        <v>0.5</v>
      </c>
      <c r="P89" s="561"/>
      <c r="Q89" s="563">
        <v>0</v>
      </c>
      <c r="R89" s="558"/>
      <c r="S89" s="563">
        <v>0</v>
      </c>
      <c r="T89" s="562"/>
      <c r="U89" s="564">
        <v>0</v>
      </c>
    </row>
    <row r="90" spans="1:21" ht="14.4" customHeight="1" x14ac:dyDescent="0.3">
      <c r="A90" s="557">
        <v>19</v>
      </c>
      <c r="B90" s="558" t="s">
        <v>444</v>
      </c>
      <c r="C90" s="558" t="s">
        <v>609</v>
      </c>
      <c r="D90" s="559" t="s">
        <v>904</v>
      </c>
      <c r="E90" s="560" t="s">
        <v>618</v>
      </c>
      <c r="F90" s="558" t="s">
        <v>608</v>
      </c>
      <c r="G90" s="558" t="s">
        <v>644</v>
      </c>
      <c r="H90" s="558" t="s">
        <v>445</v>
      </c>
      <c r="I90" s="558" t="s">
        <v>645</v>
      </c>
      <c r="J90" s="558" t="s">
        <v>646</v>
      </c>
      <c r="K90" s="558" t="s">
        <v>647</v>
      </c>
      <c r="L90" s="561">
        <v>44.59</v>
      </c>
      <c r="M90" s="561">
        <v>1248.5200000000004</v>
      </c>
      <c r="N90" s="558">
        <v>28</v>
      </c>
      <c r="O90" s="562">
        <v>14</v>
      </c>
      <c r="P90" s="561">
        <v>1159.3400000000004</v>
      </c>
      <c r="Q90" s="563">
        <v>0.92857142857142849</v>
      </c>
      <c r="R90" s="558">
        <v>26</v>
      </c>
      <c r="S90" s="563">
        <v>0.9285714285714286</v>
      </c>
      <c r="T90" s="562">
        <v>13</v>
      </c>
      <c r="U90" s="564">
        <v>0.9285714285714286</v>
      </c>
    </row>
    <row r="91" spans="1:21" ht="14.4" customHeight="1" x14ac:dyDescent="0.3">
      <c r="A91" s="557">
        <v>19</v>
      </c>
      <c r="B91" s="558" t="s">
        <v>444</v>
      </c>
      <c r="C91" s="558" t="s">
        <v>609</v>
      </c>
      <c r="D91" s="559" t="s">
        <v>904</v>
      </c>
      <c r="E91" s="560" t="s">
        <v>618</v>
      </c>
      <c r="F91" s="558" t="s">
        <v>608</v>
      </c>
      <c r="G91" s="558" t="s">
        <v>792</v>
      </c>
      <c r="H91" s="558" t="s">
        <v>445</v>
      </c>
      <c r="I91" s="558" t="s">
        <v>866</v>
      </c>
      <c r="J91" s="558" t="s">
        <v>867</v>
      </c>
      <c r="K91" s="558" t="s">
        <v>795</v>
      </c>
      <c r="L91" s="561">
        <v>101.68</v>
      </c>
      <c r="M91" s="561">
        <v>406.72</v>
      </c>
      <c r="N91" s="558">
        <v>4</v>
      </c>
      <c r="O91" s="562">
        <v>1</v>
      </c>
      <c r="P91" s="561"/>
      <c r="Q91" s="563">
        <v>0</v>
      </c>
      <c r="R91" s="558"/>
      <c r="S91" s="563">
        <v>0</v>
      </c>
      <c r="T91" s="562"/>
      <c r="U91" s="564">
        <v>0</v>
      </c>
    </row>
    <row r="92" spans="1:21" ht="14.4" customHeight="1" x14ac:dyDescent="0.3">
      <c r="A92" s="557">
        <v>19</v>
      </c>
      <c r="B92" s="558" t="s">
        <v>444</v>
      </c>
      <c r="C92" s="558" t="s">
        <v>609</v>
      </c>
      <c r="D92" s="559" t="s">
        <v>904</v>
      </c>
      <c r="E92" s="560" t="s">
        <v>618</v>
      </c>
      <c r="F92" s="558" t="s">
        <v>608</v>
      </c>
      <c r="G92" s="558" t="s">
        <v>792</v>
      </c>
      <c r="H92" s="558" t="s">
        <v>519</v>
      </c>
      <c r="I92" s="558" t="s">
        <v>868</v>
      </c>
      <c r="J92" s="558" t="s">
        <v>869</v>
      </c>
      <c r="K92" s="558" t="s">
        <v>795</v>
      </c>
      <c r="L92" s="561">
        <v>101.68</v>
      </c>
      <c r="M92" s="561">
        <v>508.40000000000003</v>
      </c>
      <c r="N92" s="558">
        <v>5</v>
      </c>
      <c r="O92" s="562">
        <v>1</v>
      </c>
      <c r="P92" s="561"/>
      <c r="Q92" s="563">
        <v>0</v>
      </c>
      <c r="R92" s="558"/>
      <c r="S92" s="563">
        <v>0</v>
      </c>
      <c r="T92" s="562"/>
      <c r="U92" s="564">
        <v>0</v>
      </c>
    </row>
    <row r="93" spans="1:21" ht="14.4" customHeight="1" x14ac:dyDescent="0.3">
      <c r="A93" s="557">
        <v>19</v>
      </c>
      <c r="B93" s="558" t="s">
        <v>444</v>
      </c>
      <c r="C93" s="558" t="s">
        <v>609</v>
      </c>
      <c r="D93" s="559" t="s">
        <v>904</v>
      </c>
      <c r="E93" s="560" t="s">
        <v>618</v>
      </c>
      <c r="F93" s="558" t="s">
        <v>608</v>
      </c>
      <c r="G93" s="558" t="s">
        <v>792</v>
      </c>
      <c r="H93" s="558" t="s">
        <v>445</v>
      </c>
      <c r="I93" s="558" t="s">
        <v>870</v>
      </c>
      <c r="J93" s="558" t="s">
        <v>871</v>
      </c>
      <c r="K93" s="558" t="s">
        <v>872</v>
      </c>
      <c r="L93" s="561">
        <v>0</v>
      </c>
      <c r="M93" s="561">
        <v>0</v>
      </c>
      <c r="N93" s="558">
        <v>3</v>
      </c>
      <c r="O93" s="562">
        <v>1</v>
      </c>
      <c r="P93" s="561"/>
      <c r="Q93" s="563"/>
      <c r="R93" s="558"/>
      <c r="S93" s="563">
        <v>0</v>
      </c>
      <c r="T93" s="562"/>
      <c r="U93" s="564">
        <v>0</v>
      </c>
    </row>
    <row r="94" spans="1:21" ht="14.4" customHeight="1" x14ac:dyDescent="0.3">
      <c r="A94" s="557">
        <v>19</v>
      </c>
      <c r="B94" s="558" t="s">
        <v>444</v>
      </c>
      <c r="C94" s="558" t="s">
        <v>609</v>
      </c>
      <c r="D94" s="559" t="s">
        <v>904</v>
      </c>
      <c r="E94" s="560" t="s">
        <v>618</v>
      </c>
      <c r="F94" s="558" t="s">
        <v>608</v>
      </c>
      <c r="G94" s="558" t="s">
        <v>873</v>
      </c>
      <c r="H94" s="558" t="s">
        <v>519</v>
      </c>
      <c r="I94" s="558" t="s">
        <v>874</v>
      </c>
      <c r="J94" s="558" t="s">
        <v>875</v>
      </c>
      <c r="K94" s="558" t="s">
        <v>876</v>
      </c>
      <c r="L94" s="561">
        <v>37.159999999999997</v>
      </c>
      <c r="M94" s="561">
        <v>222.95999999999998</v>
      </c>
      <c r="N94" s="558">
        <v>6</v>
      </c>
      <c r="O94" s="562">
        <v>1</v>
      </c>
      <c r="P94" s="561"/>
      <c r="Q94" s="563">
        <v>0</v>
      </c>
      <c r="R94" s="558"/>
      <c r="S94" s="563">
        <v>0</v>
      </c>
      <c r="T94" s="562"/>
      <c r="U94" s="564">
        <v>0</v>
      </c>
    </row>
    <row r="95" spans="1:21" ht="14.4" customHeight="1" x14ac:dyDescent="0.3">
      <c r="A95" s="557">
        <v>19</v>
      </c>
      <c r="B95" s="558" t="s">
        <v>444</v>
      </c>
      <c r="C95" s="558" t="s">
        <v>609</v>
      </c>
      <c r="D95" s="559" t="s">
        <v>904</v>
      </c>
      <c r="E95" s="560" t="s">
        <v>618</v>
      </c>
      <c r="F95" s="558" t="s">
        <v>608</v>
      </c>
      <c r="G95" s="558" t="s">
        <v>796</v>
      </c>
      <c r="H95" s="558" t="s">
        <v>445</v>
      </c>
      <c r="I95" s="558" t="s">
        <v>797</v>
      </c>
      <c r="J95" s="558" t="s">
        <v>798</v>
      </c>
      <c r="K95" s="558" t="s">
        <v>799</v>
      </c>
      <c r="L95" s="561">
        <v>234.07</v>
      </c>
      <c r="M95" s="561">
        <v>702.21</v>
      </c>
      <c r="N95" s="558">
        <v>3</v>
      </c>
      <c r="O95" s="562">
        <v>1.5</v>
      </c>
      <c r="P95" s="561"/>
      <c r="Q95" s="563">
        <v>0</v>
      </c>
      <c r="R95" s="558"/>
      <c r="S95" s="563">
        <v>0</v>
      </c>
      <c r="T95" s="562"/>
      <c r="U95" s="564">
        <v>0</v>
      </c>
    </row>
    <row r="96" spans="1:21" ht="14.4" customHeight="1" x14ac:dyDescent="0.3">
      <c r="A96" s="557">
        <v>19</v>
      </c>
      <c r="B96" s="558" t="s">
        <v>444</v>
      </c>
      <c r="C96" s="558" t="s">
        <v>609</v>
      </c>
      <c r="D96" s="559" t="s">
        <v>904</v>
      </c>
      <c r="E96" s="560" t="s">
        <v>618</v>
      </c>
      <c r="F96" s="558" t="s">
        <v>608</v>
      </c>
      <c r="G96" s="558" t="s">
        <v>664</v>
      </c>
      <c r="H96" s="558" t="s">
        <v>445</v>
      </c>
      <c r="I96" s="558" t="s">
        <v>665</v>
      </c>
      <c r="J96" s="558" t="s">
        <v>666</v>
      </c>
      <c r="K96" s="558" t="s">
        <v>667</v>
      </c>
      <c r="L96" s="561">
        <v>0</v>
      </c>
      <c r="M96" s="561">
        <v>0</v>
      </c>
      <c r="N96" s="558">
        <v>16</v>
      </c>
      <c r="O96" s="562">
        <v>8</v>
      </c>
      <c r="P96" s="561">
        <v>0</v>
      </c>
      <c r="Q96" s="563"/>
      <c r="R96" s="558">
        <v>14</v>
      </c>
      <c r="S96" s="563">
        <v>0.875</v>
      </c>
      <c r="T96" s="562">
        <v>7</v>
      </c>
      <c r="U96" s="564">
        <v>0.875</v>
      </c>
    </row>
    <row r="97" spans="1:21" ht="14.4" customHeight="1" x14ac:dyDescent="0.3">
      <c r="A97" s="557">
        <v>19</v>
      </c>
      <c r="B97" s="558" t="s">
        <v>444</v>
      </c>
      <c r="C97" s="558" t="s">
        <v>609</v>
      </c>
      <c r="D97" s="559" t="s">
        <v>904</v>
      </c>
      <c r="E97" s="560" t="s">
        <v>618</v>
      </c>
      <c r="F97" s="558" t="s">
        <v>608</v>
      </c>
      <c r="G97" s="558" t="s">
        <v>664</v>
      </c>
      <c r="H97" s="558" t="s">
        <v>445</v>
      </c>
      <c r="I97" s="558" t="s">
        <v>668</v>
      </c>
      <c r="J97" s="558" t="s">
        <v>666</v>
      </c>
      <c r="K97" s="558" t="s">
        <v>667</v>
      </c>
      <c r="L97" s="561">
        <v>0</v>
      </c>
      <c r="M97" s="561">
        <v>0</v>
      </c>
      <c r="N97" s="558">
        <v>2</v>
      </c>
      <c r="O97" s="562">
        <v>1</v>
      </c>
      <c r="P97" s="561">
        <v>0</v>
      </c>
      <c r="Q97" s="563"/>
      <c r="R97" s="558">
        <v>2</v>
      </c>
      <c r="S97" s="563">
        <v>1</v>
      </c>
      <c r="T97" s="562">
        <v>1</v>
      </c>
      <c r="U97" s="564">
        <v>1</v>
      </c>
    </row>
    <row r="98" spans="1:21" ht="14.4" customHeight="1" x14ac:dyDescent="0.3">
      <c r="A98" s="557">
        <v>19</v>
      </c>
      <c r="B98" s="558" t="s">
        <v>444</v>
      </c>
      <c r="C98" s="558" t="s">
        <v>609</v>
      </c>
      <c r="D98" s="559" t="s">
        <v>904</v>
      </c>
      <c r="E98" s="560" t="s">
        <v>618</v>
      </c>
      <c r="F98" s="558" t="s">
        <v>608</v>
      </c>
      <c r="G98" s="558" t="s">
        <v>686</v>
      </c>
      <c r="H98" s="558" t="s">
        <v>519</v>
      </c>
      <c r="I98" s="558" t="s">
        <v>687</v>
      </c>
      <c r="J98" s="558" t="s">
        <v>688</v>
      </c>
      <c r="K98" s="558" t="s">
        <v>689</v>
      </c>
      <c r="L98" s="561">
        <v>40.25</v>
      </c>
      <c r="M98" s="561">
        <v>120.75</v>
      </c>
      <c r="N98" s="558">
        <v>3</v>
      </c>
      <c r="O98" s="562">
        <v>1</v>
      </c>
      <c r="P98" s="561">
        <v>120.75</v>
      </c>
      <c r="Q98" s="563">
        <v>1</v>
      </c>
      <c r="R98" s="558">
        <v>3</v>
      </c>
      <c r="S98" s="563">
        <v>1</v>
      </c>
      <c r="T98" s="562">
        <v>1</v>
      </c>
      <c r="U98" s="564">
        <v>1</v>
      </c>
    </row>
    <row r="99" spans="1:21" ht="14.4" customHeight="1" x14ac:dyDescent="0.3">
      <c r="A99" s="557">
        <v>19</v>
      </c>
      <c r="B99" s="558" t="s">
        <v>444</v>
      </c>
      <c r="C99" s="558" t="s">
        <v>609</v>
      </c>
      <c r="D99" s="559" t="s">
        <v>904</v>
      </c>
      <c r="E99" s="560" t="s">
        <v>618</v>
      </c>
      <c r="F99" s="558" t="s">
        <v>608</v>
      </c>
      <c r="G99" s="558" t="s">
        <v>877</v>
      </c>
      <c r="H99" s="558" t="s">
        <v>445</v>
      </c>
      <c r="I99" s="558" t="s">
        <v>878</v>
      </c>
      <c r="J99" s="558" t="s">
        <v>879</v>
      </c>
      <c r="K99" s="558" t="s">
        <v>880</v>
      </c>
      <c r="L99" s="561">
        <v>0</v>
      </c>
      <c r="M99" s="561">
        <v>0</v>
      </c>
      <c r="N99" s="558">
        <v>1</v>
      </c>
      <c r="O99" s="562">
        <v>0.5</v>
      </c>
      <c r="P99" s="561"/>
      <c r="Q99" s="563"/>
      <c r="R99" s="558"/>
      <c r="S99" s="563">
        <v>0</v>
      </c>
      <c r="T99" s="562"/>
      <c r="U99" s="564">
        <v>0</v>
      </c>
    </row>
    <row r="100" spans="1:21" ht="14.4" customHeight="1" x14ac:dyDescent="0.3">
      <c r="A100" s="557">
        <v>19</v>
      </c>
      <c r="B100" s="558" t="s">
        <v>444</v>
      </c>
      <c r="C100" s="558" t="s">
        <v>609</v>
      </c>
      <c r="D100" s="559" t="s">
        <v>904</v>
      </c>
      <c r="E100" s="560" t="s">
        <v>618</v>
      </c>
      <c r="F100" s="558" t="s">
        <v>608</v>
      </c>
      <c r="G100" s="558" t="s">
        <v>877</v>
      </c>
      <c r="H100" s="558" t="s">
        <v>445</v>
      </c>
      <c r="I100" s="558" t="s">
        <v>881</v>
      </c>
      <c r="J100" s="558" t="s">
        <v>879</v>
      </c>
      <c r="K100" s="558" t="s">
        <v>852</v>
      </c>
      <c r="L100" s="561">
        <v>124.3</v>
      </c>
      <c r="M100" s="561">
        <v>372.9</v>
      </c>
      <c r="N100" s="558">
        <v>3</v>
      </c>
      <c r="O100" s="562">
        <v>0.5</v>
      </c>
      <c r="P100" s="561"/>
      <c r="Q100" s="563">
        <v>0</v>
      </c>
      <c r="R100" s="558"/>
      <c r="S100" s="563">
        <v>0</v>
      </c>
      <c r="T100" s="562"/>
      <c r="U100" s="564">
        <v>0</v>
      </c>
    </row>
    <row r="101" spans="1:21" ht="14.4" customHeight="1" x14ac:dyDescent="0.3">
      <c r="A101" s="557">
        <v>19</v>
      </c>
      <c r="B101" s="558" t="s">
        <v>444</v>
      </c>
      <c r="C101" s="558" t="s">
        <v>609</v>
      </c>
      <c r="D101" s="559" t="s">
        <v>904</v>
      </c>
      <c r="E101" s="560" t="s">
        <v>618</v>
      </c>
      <c r="F101" s="558" t="s">
        <v>608</v>
      </c>
      <c r="G101" s="558" t="s">
        <v>877</v>
      </c>
      <c r="H101" s="558" t="s">
        <v>445</v>
      </c>
      <c r="I101" s="558" t="s">
        <v>881</v>
      </c>
      <c r="J101" s="558" t="s">
        <v>879</v>
      </c>
      <c r="K101" s="558" t="s">
        <v>852</v>
      </c>
      <c r="L101" s="561">
        <v>149.69</v>
      </c>
      <c r="M101" s="561">
        <v>449.07</v>
      </c>
      <c r="N101" s="558">
        <v>3</v>
      </c>
      <c r="O101" s="562">
        <v>0.5</v>
      </c>
      <c r="P101" s="561"/>
      <c r="Q101" s="563">
        <v>0</v>
      </c>
      <c r="R101" s="558"/>
      <c r="S101" s="563">
        <v>0</v>
      </c>
      <c r="T101" s="562"/>
      <c r="U101" s="564">
        <v>0</v>
      </c>
    </row>
    <row r="102" spans="1:21" ht="14.4" customHeight="1" x14ac:dyDescent="0.3">
      <c r="A102" s="557">
        <v>19</v>
      </c>
      <c r="B102" s="558" t="s">
        <v>444</v>
      </c>
      <c r="C102" s="558" t="s">
        <v>609</v>
      </c>
      <c r="D102" s="559" t="s">
        <v>904</v>
      </c>
      <c r="E102" s="560" t="s">
        <v>619</v>
      </c>
      <c r="F102" s="558" t="s">
        <v>608</v>
      </c>
      <c r="G102" s="558" t="s">
        <v>882</v>
      </c>
      <c r="H102" s="558" t="s">
        <v>445</v>
      </c>
      <c r="I102" s="558" t="s">
        <v>883</v>
      </c>
      <c r="J102" s="558" t="s">
        <v>884</v>
      </c>
      <c r="K102" s="558" t="s">
        <v>885</v>
      </c>
      <c r="L102" s="561">
        <v>340.97</v>
      </c>
      <c r="M102" s="561">
        <v>340.97</v>
      </c>
      <c r="N102" s="558">
        <v>1</v>
      </c>
      <c r="O102" s="562">
        <v>1</v>
      </c>
      <c r="P102" s="561"/>
      <c r="Q102" s="563">
        <v>0</v>
      </c>
      <c r="R102" s="558"/>
      <c r="S102" s="563">
        <v>0</v>
      </c>
      <c r="T102" s="562"/>
      <c r="U102" s="564">
        <v>0</v>
      </c>
    </row>
    <row r="103" spans="1:21" ht="14.4" customHeight="1" x14ac:dyDescent="0.3">
      <c r="A103" s="557">
        <v>19</v>
      </c>
      <c r="B103" s="558" t="s">
        <v>444</v>
      </c>
      <c r="C103" s="558" t="s">
        <v>609</v>
      </c>
      <c r="D103" s="559" t="s">
        <v>904</v>
      </c>
      <c r="E103" s="560" t="s">
        <v>619</v>
      </c>
      <c r="F103" s="558" t="s">
        <v>608</v>
      </c>
      <c r="G103" s="558" t="s">
        <v>886</v>
      </c>
      <c r="H103" s="558" t="s">
        <v>445</v>
      </c>
      <c r="I103" s="558" t="s">
        <v>887</v>
      </c>
      <c r="J103" s="558" t="s">
        <v>888</v>
      </c>
      <c r="K103" s="558" t="s">
        <v>889</v>
      </c>
      <c r="L103" s="561">
        <v>123.3</v>
      </c>
      <c r="M103" s="561">
        <v>123.3</v>
      </c>
      <c r="N103" s="558">
        <v>1</v>
      </c>
      <c r="O103" s="562">
        <v>0.5</v>
      </c>
      <c r="P103" s="561">
        <v>123.3</v>
      </c>
      <c r="Q103" s="563">
        <v>1</v>
      </c>
      <c r="R103" s="558">
        <v>1</v>
      </c>
      <c r="S103" s="563">
        <v>1</v>
      </c>
      <c r="T103" s="562">
        <v>0.5</v>
      </c>
      <c r="U103" s="564">
        <v>1</v>
      </c>
    </row>
    <row r="104" spans="1:21" ht="14.4" customHeight="1" x14ac:dyDescent="0.3">
      <c r="A104" s="557">
        <v>19</v>
      </c>
      <c r="B104" s="558" t="s">
        <v>444</v>
      </c>
      <c r="C104" s="558" t="s">
        <v>609</v>
      </c>
      <c r="D104" s="559" t="s">
        <v>904</v>
      </c>
      <c r="E104" s="560" t="s">
        <v>619</v>
      </c>
      <c r="F104" s="558" t="s">
        <v>608</v>
      </c>
      <c r="G104" s="558" t="s">
        <v>640</v>
      </c>
      <c r="H104" s="558" t="s">
        <v>445</v>
      </c>
      <c r="I104" s="558" t="s">
        <v>641</v>
      </c>
      <c r="J104" s="558" t="s">
        <v>642</v>
      </c>
      <c r="K104" s="558" t="s">
        <v>643</v>
      </c>
      <c r="L104" s="561">
        <v>111.72</v>
      </c>
      <c r="M104" s="561">
        <v>223.44</v>
      </c>
      <c r="N104" s="558">
        <v>2</v>
      </c>
      <c r="O104" s="562">
        <v>1</v>
      </c>
      <c r="P104" s="561">
        <v>111.72</v>
      </c>
      <c r="Q104" s="563">
        <v>0.5</v>
      </c>
      <c r="R104" s="558">
        <v>1</v>
      </c>
      <c r="S104" s="563">
        <v>0.5</v>
      </c>
      <c r="T104" s="562">
        <v>0.5</v>
      </c>
      <c r="U104" s="564">
        <v>0.5</v>
      </c>
    </row>
    <row r="105" spans="1:21" ht="14.4" customHeight="1" x14ac:dyDescent="0.3">
      <c r="A105" s="557">
        <v>19</v>
      </c>
      <c r="B105" s="558" t="s">
        <v>444</v>
      </c>
      <c r="C105" s="558" t="s">
        <v>609</v>
      </c>
      <c r="D105" s="559" t="s">
        <v>904</v>
      </c>
      <c r="E105" s="560" t="s">
        <v>619</v>
      </c>
      <c r="F105" s="558" t="s">
        <v>608</v>
      </c>
      <c r="G105" s="558" t="s">
        <v>644</v>
      </c>
      <c r="H105" s="558" t="s">
        <v>445</v>
      </c>
      <c r="I105" s="558" t="s">
        <v>645</v>
      </c>
      <c r="J105" s="558" t="s">
        <v>646</v>
      </c>
      <c r="K105" s="558" t="s">
        <v>647</v>
      </c>
      <c r="L105" s="561">
        <v>40.01</v>
      </c>
      <c r="M105" s="561">
        <v>80.02</v>
      </c>
      <c r="N105" s="558">
        <v>2</v>
      </c>
      <c r="O105" s="562">
        <v>1</v>
      </c>
      <c r="P105" s="561">
        <v>80.02</v>
      </c>
      <c r="Q105" s="563">
        <v>1</v>
      </c>
      <c r="R105" s="558">
        <v>2</v>
      </c>
      <c r="S105" s="563">
        <v>1</v>
      </c>
      <c r="T105" s="562">
        <v>1</v>
      </c>
      <c r="U105" s="564">
        <v>1</v>
      </c>
    </row>
    <row r="106" spans="1:21" ht="14.4" customHeight="1" x14ac:dyDescent="0.3">
      <c r="A106" s="557">
        <v>19</v>
      </c>
      <c r="B106" s="558" t="s">
        <v>444</v>
      </c>
      <c r="C106" s="558" t="s">
        <v>609</v>
      </c>
      <c r="D106" s="559" t="s">
        <v>904</v>
      </c>
      <c r="E106" s="560" t="s">
        <v>619</v>
      </c>
      <c r="F106" s="558" t="s">
        <v>608</v>
      </c>
      <c r="G106" s="558" t="s">
        <v>644</v>
      </c>
      <c r="H106" s="558" t="s">
        <v>445</v>
      </c>
      <c r="I106" s="558" t="s">
        <v>645</v>
      </c>
      <c r="J106" s="558" t="s">
        <v>646</v>
      </c>
      <c r="K106" s="558" t="s">
        <v>647</v>
      </c>
      <c r="L106" s="561">
        <v>44.59</v>
      </c>
      <c r="M106" s="561">
        <v>1783.6000000000004</v>
      </c>
      <c r="N106" s="558">
        <v>40</v>
      </c>
      <c r="O106" s="562">
        <v>19.5</v>
      </c>
      <c r="P106" s="561">
        <v>1605.2400000000005</v>
      </c>
      <c r="Q106" s="563">
        <v>0.9</v>
      </c>
      <c r="R106" s="558">
        <v>36</v>
      </c>
      <c r="S106" s="563">
        <v>0.9</v>
      </c>
      <c r="T106" s="562">
        <v>17.5</v>
      </c>
      <c r="U106" s="564">
        <v>0.89743589743589747</v>
      </c>
    </row>
    <row r="107" spans="1:21" ht="14.4" customHeight="1" x14ac:dyDescent="0.3">
      <c r="A107" s="557">
        <v>19</v>
      </c>
      <c r="B107" s="558" t="s">
        <v>444</v>
      </c>
      <c r="C107" s="558" t="s">
        <v>609</v>
      </c>
      <c r="D107" s="559" t="s">
        <v>904</v>
      </c>
      <c r="E107" s="560" t="s">
        <v>619</v>
      </c>
      <c r="F107" s="558" t="s">
        <v>608</v>
      </c>
      <c r="G107" s="558" t="s">
        <v>890</v>
      </c>
      <c r="H107" s="558" t="s">
        <v>445</v>
      </c>
      <c r="I107" s="558" t="s">
        <v>891</v>
      </c>
      <c r="J107" s="558" t="s">
        <v>892</v>
      </c>
      <c r="K107" s="558" t="s">
        <v>893</v>
      </c>
      <c r="L107" s="561">
        <v>38.56</v>
      </c>
      <c r="M107" s="561">
        <v>38.56</v>
      </c>
      <c r="N107" s="558">
        <v>1</v>
      </c>
      <c r="O107" s="562">
        <v>0.5</v>
      </c>
      <c r="P107" s="561"/>
      <c r="Q107" s="563">
        <v>0</v>
      </c>
      <c r="R107" s="558"/>
      <c r="S107" s="563">
        <v>0</v>
      </c>
      <c r="T107" s="562"/>
      <c r="U107" s="564">
        <v>0</v>
      </c>
    </row>
    <row r="108" spans="1:21" ht="14.4" customHeight="1" x14ac:dyDescent="0.3">
      <c r="A108" s="557">
        <v>19</v>
      </c>
      <c r="B108" s="558" t="s">
        <v>444</v>
      </c>
      <c r="C108" s="558" t="s">
        <v>609</v>
      </c>
      <c r="D108" s="559" t="s">
        <v>904</v>
      </c>
      <c r="E108" s="560" t="s">
        <v>619</v>
      </c>
      <c r="F108" s="558" t="s">
        <v>608</v>
      </c>
      <c r="G108" s="558" t="s">
        <v>652</v>
      </c>
      <c r="H108" s="558" t="s">
        <v>445</v>
      </c>
      <c r="I108" s="558" t="s">
        <v>894</v>
      </c>
      <c r="J108" s="558" t="s">
        <v>654</v>
      </c>
      <c r="K108" s="558" t="s">
        <v>655</v>
      </c>
      <c r="L108" s="561">
        <v>0</v>
      </c>
      <c r="M108" s="561">
        <v>0</v>
      </c>
      <c r="N108" s="558">
        <v>1</v>
      </c>
      <c r="O108" s="562">
        <v>1</v>
      </c>
      <c r="P108" s="561">
        <v>0</v>
      </c>
      <c r="Q108" s="563"/>
      <c r="R108" s="558">
        <v>1</v>
      </c>
      <c r="S108" s="563">
        <v>1</v>
      </c>
      <c r="T108" s="562">
        <v>1</v>
      </c>
      <c r="U108" s="564">
        <v>1</v>
      </c>
    </row>
    <row r="109" spans="1:21" ht="14.4" customHeight="1" x14ac:dyDescent="0.3">
      <c r="A109" s="557">
        <v>19</v>
      </c>
      <c r="B109" s="558" t="s">
        <v>444</v>
      </c>
      <c r="C109" s="558" t="s">
        <v>609</v>
      </c>
      <c r="D109" s="559" t="s">
        <v>904</v>
      </c>
      <c r="E109" s="560" t="s">
        <v>619</v>
      </c>
      <c r="F109" s="558" t="s">
        <v>608</v>
      </c>
      <c r="G109" s="558" t="s">
        <v>652</v>
      </c>
      <c r="H109" s="558" t="s">
        <v>445</v>
      </c>
      <c r="I109" s="558" t="s">
        <v>653</v>
      </c>
      <c r="J109" s="558" t="s">
        <v>654</v>
      </c>
      <c r="K109" s="558" t="s">
        <v>655</v>
      </c>
      <c r="L109" s="561">
        <v>0</v>
      </c>
      <c r="M109" s="561">
        <v>0</v>
      </c>
      <c r="N109" s="558">
        <v>6</v>
      </c>
      <c r="O109" s="562">
        <v>2</v>
      </c>
      <c r="P109" s="561">
        <v>0</v>
      </c>
      <c r="Q109" s="563"/>
      <c r="R109" s="558">
        <v>2</v>
      </c>
      <c r="S109" s="563">
        <v>0.33333333333333331</v>
      </c>
      <c r="T109" s="562">
        <v>0.5</v>
      </c>
      <c r="U109" s="564">
        <v>0.25</v>
      </c>
    </row>
    <row r="110" spans="1:21" ht="14.4" customHeight="1" x14ac:dyDescent="0.3">
      <c r="A110" s="557">
        <v>19</v>
      </c>
      <c r="B110" s="558" t="s">
        <v>444</v>
      </c>
      <c r="C110" s="558" t="s">
        <v>609</v>
      </c>
      <c r="D110" s="559" t="s">
        <v>904</v>
      </c>
      <c r="E110" s="560" t="s">
        <v>619</v>
      </c>
      <c r="F110" s="558" t="s">
        <v>608</v>
      </c>
      <c r="G110" s="558" t="s">
        <v>664</v>
      </c>
      <c r="H110" s="558" t="s">
        <v>445</v>
      </c>
      <c r="I110" s="558" t="s">
        <v>665</v>
      </c>
      <c r="J110" s="558" t="s">
        <v>666</v>
      </c>
      <c r="K110" s="558" t="s">
        <v>667</v>
      </c>
      <c r="L110" s="561">
        <v>0</v>
      </c>
      <c r="M110" s="561">
        <v>0</v>
      </c>
      <c r="N110" s="558">
        <v>5</v>
      </c>
      <c r="O110" s="562">
        <v>1.5</v>
      </c>
      <c r="P110" s="561">
        <v>0</v>
      </c>
      <c r="Q110" s="563"/>
      <c r="R110" s="558">
        <v>5</v>
      </c>
      <c r="S110" s="563">
        <v>1</v>
      </c>
      <c r="T110" s="562">
        <v>1.5</v>
      </c>
      <c r="U110" s="564">
        <v>1</v>
      </c>
    </row>
    <row r="111" spans="1:21" ht="14.4" customHeight="1" x14ac:dyDescent="0.3">
      <c r="A111" s="557">
        <v>19</v>
      </c>
      <c r="B111" s="558" t="s">
        <v>444</v>
      </c>
      <c r="C111" s="558" t="s">
        <v>609</v>
      </c>
      <c r="D111" s="559" t="s">
        <v>904</v>
      </c>
      <c r="E111" s="560" t="s">
        <v>619</v>
      </c>
      <c r="F111" s="558" t="s">
        <v>608</v>
      </c>
      <c r="G111" s="558" t="s">
        <v>895</v>
      </c>
      <c r="H111" s="558" t="s">
        <v>519</v>
      </c>
      <c r="I111" s="558" t="s">
        <v>896</v>
      </c>
      <c r="J111" s="558" t="s">
        <v>897</v>
      </c>
      <c r="K111" s="558" t="s">
        <v>762</v>
      </c>
      <c r="L111" s="561">
        <v>96.53</v>
      </c>
      <c r="M111" s="561">
        <v>482.65000000000003</v>
      </c>
      <c r="N111" s="558">
        <v>5</v>
      </c>
      <c r="O111" s="562">
        <v>2</v>
      </c>
      <c r="P111" s="561">
        <v>289.59000000000003</v>
      </c>
      <c r="Q111" s="563">
        <v>0.6</v>
      </c>
      <c r="R111" s="558">
        <v>3</v>
      </c>
      <c r="S111" s="563">
        <v>0.6</v>
      </c>
      <c r="T111" s="562">
        <v>1</v>
      </c>
      <c r="U111" s="564">
        <v>0.5</v>
      </c>
    </row>
    <row r="112" spans="1:21" ht="14.4" customHeight="1" x14ac:dyDescent="0.3">
      <c r="A112" s="557">
        <v>19</v>
      </c>
      <c r="B112" s="558" t="s">
        <v>444</v>
      </c>
      <c r="C112" s="558" t="s">
        <v>609</v>
      </c>
      <c r="D112" s="559" t="s">
        <v>904</v>
      </c>
      <c r="E112" s="560" t="s">
        <v>619</v>
      </c>
      <c r="F112" s="558" t="s">
        <v>608</v>
      </c>
      <c r="G112" s="558" t="s">
        <v>670</v>
      </c>
      <c r="H112" s="558" t="s">
        <v>445</v>
      </c>
      <c r="I112" s="558" t="s">
        <v>671</v>
      </c>
      <c r="J112" s="558" t="s">
        <v>672</v>
      </c>
      <c r="K112" s="558" t="s">
        <v>673</v>
      </c>
      <c r="L112" s="561">
        <v>0</v>
      </c>
      <c r="M112" s="561">
        <v>0</v>
      </c>
      <c r="N112" s="558">
        <v>7</v>
      </c>
      <c r="O112" s="562">
        <v>4</v>
      </c>
      <c r="P112" s="561">
        <v>0</v>
      </c>
      <c r="Q112" s="563"/>
      <c r="R112" s="558">
        <v>4</v>
      </c>
      <c r="S112" s="563">
        <v>0.5714285714285714</v>
      </c>
      <c r="T112" s="562">
        <v>3.5</v>
      </c>
      <c r="U112" s="564">
        <v>0.875</v>
      </c>
    </row>
    <row r="113" spans="1:21" ht="14.4" customHeight="1" x14ac:dyDescent="0.3">
      <c r="A113" s="557">
        <v>19</v>
      </c>
      <c r="B113" s="558" t="s">
        <v>444</v>
      </c>
      <c r="C113" s="558" t="s">
        <v>609</v>
      </c>
      <c r="D113" s="559" t="s">
        <v>904</v>
      </c>
      <c r="E113" s="560" t="s">
        <v>619</v>
      </c>
      <c r="F113" s="558" t="s">
        <v>608</v>
      </c>
      <c r="G113" s="558" t="s">
        <v>898</v>
      </c>
      <c r="H113" s="558" t="s">
        <v>445</v>
      </c>
      <c r="I113" s="558" t="s">
        <v>899</v>
      </c>
      <c r="J113" s="558" t="s">
        <v>900</v>
      </c>
      <c r="K113" s="558" t="s">
        <v>901</v>
      </c>
      <c r="L113" s="561">
        <v>0</v>
      </c>
      <c r="M113" s="561">
        <v>0</v>
      </c>
      <c r="N113" s="558">
        <v>1</v>
      </c>
      <c r="O113" s="562">
        <v>0.5</v>
      </c>
      <c r="P113" s="561"/>
      <c r="Q113" s="563"/>
      <c r="R113" s="558"/>
      <c r="S113" s="563">
        <v>0</v>
      </c>
      <c r="T113" s="562"/>
      <c r="U113" s="564">
        <v>0</v>
      </c>
    </row>
    <row r="114" spans="1:21" ht="14.4" customHeight="1" thickBot="1" x14ac:dyDescent="0.35">
      <c r="A114" s="565">
        <v>19</v>
      </c>
      <c r="B114" s="566" t="s">
        <v>444</v>
      </c>
      <c r="C114" s="566" t="s">
        <v>609</v>
      </c>
      <c r="D114" s="567" t="s">
        <v>904</v>
      </c>
      <c r="E114" s="568" t="s">
        <v>619</v>
      </c>
      <c r="F114" s="566" t="s">
        <v>608</v>
      </c>
      <c r="G114" s="566" t="s">
        <v>857</v>
      </c>
      <c r="H114" s="566" t="s">
        <v>445</v>
      </c>
      <c r="I114" s="566" t="s">
        <v>902</v>
      </c>
      <c r="J114" s="566" t="s">
        <v>903</v>
      </c>
      <c r="K114" s="566" t="s">
        <v>860</v>
      </c>
      <c r="L114" s="569">
        <v>0</v>
      </c>
      <c r="M114" s="569">
        <v>0</v>
      </c>
      <c r="N114" s="566">
        <v>1</v>
      </c>
      <c r="O114" s="570">
        <v>0.5</v>
      </c>
      <c r="P114" s="569"/>
      <c r="Q114" s="571"/>
      <c r="R114" s="566"/>
      <c r="S114" s="571">
        <v>0</v>
      </c>
      <c r="T114" s="570"/>
      <c r="U114" s="57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67" t="s">
        <v>906</v>
      </c>
      <c r="B1" s="368"/>
      <c r="C1" s="368"/>
      <c r="D1" s="368"/>
      <c r="E1" s="368"/>
      <c r="F1" s="368"/>
    </row>
    <row r="2" spans="1:6" ht="14.4" customHeight="1" thickBot="1" x14ac:dyDescent="0.35">
      <c r="A2" s="239" t="s">
        <v>286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69" t="s">
        <v>134</v>
      </c>
      <c r="C3" s="370"/>
      <c r="D3" s="371" t="s">
        <v>133</v>
      </c>
      <c r="E3" s="370"/>
      <c r="F3" s="80" t="s">
        <v>3</v>
      </c>
    </row>
    <row r="4" spans="1:6" ht="14.4" customHeight="1" thickBot="1" x14ac:dyDescent="0.35">
      <c r="A4" s="573" t="s">
        <v>171</v>
      </c>
      <c r="B4" s="484" t="s">
        <v>14</v>
      </c>
      <c r="C4" s="485" t="s">
        <v>2</v>
      </c>
      <c r="D4" s="484" t="s">
        <v>14</v>
      </c>
      <c r="E4" s="485" t="s">
        <v>2</v>
      </c>
      <c r="F4" s="486" t="s">
        <v>14</v>
      </c>
    </row>
    <row r="5" spans="1:6" ht="14.4" customHeight="1" x14ac:dyDescent="0.3">
      <c r="A5" s="582" t="s">
        <v>617</v>
      </c>
      <c r="B5" s="119">
        <v>1084.82</v>
      </c>
      <c r="C5" s="556">
        <v>0.65156702343627992</v>
      </c>
      <c r="D5" s="119">
        <v>580.12</v>
      </c>
      <c r="E5" s="556">
        <v>0.34843297656372002</v>
      </c>
      <c r="F5" s="574">
        <v>1664.94</v>
      </c>
    </row>
    <row r="6" spans="1:6" ht="14.4" customHeight="1" x14ac:dyDescent="0.3">
      <c r="A6" s="583" t="s">
        <v>616</v>
      </c>
      <c r="B6" s="575">
        <v>503.02</v>
      </c>
      <c r="C6" s="563">
        <v>0.40181488493214146</v>
      </c>
      <c r="D6" s="575">
        <v>748.85000000000014</v>
      </c>
      <c r="E6" s="563">
        <v>0.59818511506785854</v>
      </c>
      <c r="F6" s="576">
        <v>1251.8700000000001</v>
      </c>
    </row>
    <row r="7" spans="1:6" ht="14.4" customHeight="1" x14ac:dyDescent="0.3">
      <c r="A7" s="583" t="s">
        <v>618</v>
      </c>
      <c r="B7" s="575">
        <v>406.72</v>
      </c>
      <c r="C7" s="563">
        <v>0.32309366634096737</v>
      </c>
      <c r="D7" s="575">
        <v>852.11000000000013</v>
      </c>
      <c r="E7" s="563">
        <v>0.67690633365903263</v>
      </c>
      <c r="F7" s="576">
        <v>1258.8300000000002</v>
      </c>
    </row>
    <row r="8" spans="1:6" ht="14.4" customHeight="1" x14ac:dyDescent="0.3">
      <c r="A8" s="583" t="s">
        <v>614</v>
      </c>
      <c r="B8" s="575">
        <v>189.43</v>
      </c>
      <c r="C8" s="563">
        <v>0.35895929659668008</v>
      </c>
      <c r="D8" s="575">
        <v>338.28999999999996</v>
      </c>
      <c r="E8" s="563">
        <v>0.64104070340331987</v>
      </c>
      <c r="F8" s="576">
        <v>527.72</v>
      </c>
    </row>
    <row r="9" spans="1:6" ht="14.4" customHeight="1" x14ac:dyDescent="0.3">
      <c r="A9" s="583" t="s">
        <v>615</v>
      </c>
      <c r="B9" s="575"/>
      <c r="C9" s="563">
        <v>0</v>
      </c>
      <c r="D9" s="575">
        <v>715.71</v>
      </c>
      <c r="E9" s="563">
        <v>1</v>
      </c>
      <c r="F9" s="576">
        <v>715.71</v>
      </c>
    </row>
    <row r="10" spans="1:6" ht="14.4" customHeight="1" thickBot="1" x14ac:dyDescent="0.35">
      <c r="A10" s="584" t="s">
        <v>619</v>
      </c>
      <c r="B10" s="579"/>
      <c r="C10" s="580">
        <v>0</v>
      </c>
      <c r="D10" s="579">
        <v>594.37</v>
      </c>
      <c r="E10" s="580">
        <v>1</v>
      </c>
      <c r="F10" s="581">
        <v>594.37</v>
      </c>
    </row>
    <row r="11" spans="1:6" ht="14.4" customHeight="1" thickBot="1" x14ac:dyDescent="0.35">
      <c r="A11" s="493" t="s">
        <v>3</v>
      </c>
      <c r="B11" s="494">
        <v>2183.9899999999998</v>
      </c>
      <c r="C11" s="495">
        <v>0.36318479938271597</v>
      </c>
      <c r="D11" s="494">
        <v>3829.4500000000003</v>
      </c>
      <c r="E11" s="495">
        <v>0.63681520061728392</v>
      </c>
      <c r="F11" s="496">
        <v>6013.4400000000005</v>
      </c>
    </row>
    <row r="12" spans="1:6" ht="14.4" customHeight="1" thickBot="1" x14ac:dyDescent="0.35"/>
    <row r="13" spans="1:6" ht="14.4" customHeight="1" x14ac:dyDescent="0.3">
      <c r="A13" s="582" t="s">
        <v>907</v>
      </c>
      <c r="B13" s="119">
        <v>600.66</v>
      </c>
      <c r="C13" s="556">
        <v>0.76271380137899503</v>
      </c>
      <c r="D13" s="119">
        <v>186.87</v>
      </c>
      <c r="E13" s="556">
        <v>0.23728619862100492</v>
      </c>
      <c r="F13" s="574">
        <v>787.53</v>
      </c>
    </row>
    <row r="14" spans="1:6" ht="14.4" customHeight="1" x14ac:dyDescent="0.3">
      <c r="A14" s="583" t="s">
        <v>908</v>
      </c>
      <c r="B14" s="575">
        <v>503.02</v>
      </c>
      <c r="C14" s="563">
        <v>1</v>
      </c>
      <c r="D14" s="575"/>
      <c r="E14" s="563">
        <v>0</v>
      </c>
      <c r="F14" s="576">
        <v>503.02</v>
      </c>
    </row>
    <row r="15" spans="1:6" ht="14.4" customHeight="1" x14ac:dyDescent="0.3">
      <c r="A15" s="583" t="s">
        <v>909</v>
      </c>
      <c r="B15" s="575">
        <v>484.16</v>
      </c>
      <c r="C15" s="563">
        <v>1</v>
      </c>
      <c r="D15" s="575"/>
      <c r="E15" s="563">
        <v>0</v>
      </c>
      <c r="F15" s="576">
        <v>484.16</v>
      </c>
    </row>
    <row r="16" spans="1:6" ht="14.4" customHeight="1" x14ac:dyDescent="0.3">
      <c r="A16" s="583" t="s">
        <v>910</v>
      </c>
      <c r="B16" s="575">
        <v>406.72</v>
      </c>
      <c r="C16" s="563">
        <v>0.4</v>
      </c>
      <c r="D16" s="575">
        <v>610.08000000000004</v>
      </c>
      <c r="E16" s="563">
        <v>0.6</v>
      </c>
      <c r="F16" s="576">
        <v>1016.8000000000001</v>
      </c>
    </row>
    <row r="17" spans="1:6" ht="14.4" customHeight="1" x14ac:dyDescent="0.3">
      <c r="A17" s="583" t="s">
        <v>911</v>
      </c>
      <c r="B17" s="575">
        <v>189.43</v>
      </c>
      <c r="C17" s="563">
        <v>0.35714555052790342</v>
      </c>
      <c r="D17" s="575">
        <v>340.97</v>
      </c>
      <c r="E17" s="563">
        <v>0.64285444947209647</v>
      </c>
      <c r="F17" s="576">
        <v>530.40000000000009</v>
      </c>
    </row>
    <row r="18" spans="1:6" ht="14.4" customHeight="1" x14ac:dyDescent="0.3">
      <c r="A18" s="583" t="s">
        <v>912</v>
      </c>
      <c r="B18" s="575"/>
      <c r="C18" s="563">
        <v>0</v>
      </c>
      <c r="D18" s="575">
        <v>94.44</v>
      </c>
      <c r="E18" s="563">
        <v>1</v>
      </c>
      <c r="F18" s="576">
        <v>94.44</v>
      </c>
    </row>
    <row r="19" spans="1:6" ht="14.4" customHeight="1" x14ac:dyDescent="0.3">
      <c r="A19" s="583" t="s">
        <v>913</v>
      </c>
      <c r="B19" s="575"/>
      <c r="C19" s="563">
        <v>0</v>
      </c>
      <c r="D19" s="575">
        <v>4.7</v>
      </c>
      <c r="E19" s="563">
        <v>1</v>
      </c>
      <c r="F19" s="576">
        <v>4.7</v>
      </c>
    </row>
    <row r="20" spans="1:6" ht="14.4" customHeight="1" x14ac:dyDescent="0.3">
      <c r="A20" s="583" t="s">
        <v>914</v>
      </c>
      <c r="B20" s="575"/>
      <c r="C20" s="563">
        <v>0</v>
      </c>
      <c r="D20" s="575">
        <v>482.65000000000003</v>
      </c>
      <c r="E20" s="563">
        <v>1</v>
      </c>
      <c r="F20" s="576">
        <v>482.65000000000003</v>
      </c>
    </row>
    <row r="21" spans="1:6" ht="14.4" customHeight="1" x14ac:dyDescent="0.3">
      <c r="A21" s="583" t="s">
        <v>915</v>
      </c>
      <c r="B21" s="575"/>
      <c r="C21" s="563">
        <v>0</v>
      </c>
      <c r="D21" s="575">
        <v>223.44</v>
      </c>
      <c r="E21" s="563">
        <v>1</v>
      </c>
      <c r="F21" s="576">
        <v>223.44</v>
      </c>
    </row>
    <row r="22" spans="1:6" ht="14.4" customHeight="1" x14ac:dyDescent="0.3">
      <c r="A22" s="583" t="s">
        <v>600</v>
      </c>
      <c r="B22" s="575"/>
      <c r="C22" s="563">
        <v>0</v>
      </c>
      <c r="D22" s="575">
        <v>300.68</v>
      </c>
      <c r="E22" s="563">
        <v>1</v>
      </c>
      <c r="F22" s="576">
        <v>300.68</v>
      </c>
    </row>
    <row r="23" spans="1:6" ht="14.4" customHeight="1" x14ac:dyDescent="0.3">
      <c r="A23" s="583" t="s">
        <v>916</v>
      </c>
      <c r="B23" s="575"/>
      <c r="C23" s="563">
        <v>0</v>
      </c>
      <c r="D23" s="575">
        <v>48.42</v>
      </c>
      <c r="E23" s="563">
        <v>1</v>
      </c>
      <c r="F23" s="576">
        <v>48.42</v>
      </c>
    </row>
    <row r="24" spans="1:6" ht="14.4" customHeight="1" x14ac:dyDescent="0.3">
      <c r="A24" s="583" t="s">
        <v>917</v>
      </c>
      <c r="B24" s="575"/>
      <c r="C24" s="563"/>
      <c r="D24" s="575">
        <v>0</v>
      </c>
      <c r="E24" s="563"/>
      <c r="F24" s="576">
        <v>0</v>
      </c>
    </row>
    <row r="25" spans="1:6" ht="14.4" customHeight="1" x14ac:dyDescent="0.3">
      <c r="A25" s="583" t="s">
        <v>918</v>
      </c>
      <c r="B25" s="575"/>
      <c r="C25" s="563">
        <v>0</v>
      </c>
      <c r="D25" s="575">
        <v>362.25</v>
      </c>
      <c r="E25" s="563">
        <v>1</v>
      </c>
      <c r="F25" s="576">
        <v>362.25</v>
      </c>
    </row>
    <row r="26" spans="1:6" ht="14.4" customHeight="1" x14ac:dyDescent="0.3">
      <c r="A26" s="583" t="s">
        <v>919</v>
      </c>
      <c r="B26" s="575"/>
      <c r="C26" s="563">
        <v>0</v>
      </c>
      <c r="D26" s="575">
        <v>77.790000000000006</v>
      </c>
      <c r="E26" s="563">
        <v>1</v>
      </c>
      <c r="F26" s="576">
        <v>77.790000000000006</v>
      </c>
    </row>
    <row r="27" spans="1:6" ht="14.4" customHeight="1" x14ac:dyDescent="0.3">
      <c r="A27" s="583" t="s">
        <v>920</v>
      </c>
      <c r="B27" s="575"/>
      <c r="C27" s="563">
        <v>0</v>
      </c>
      <c r="D27" s="575">
        <v>264</v>
      </c>
      <c r="E27" s="563">
        <v>1</v>
      </c>
      <c r="F27" s="576">
        <v>264</v>
      </c>
    </row>
    <row r="28" spans="1:6" ht="14.4" customHeight="1" x14ac:dyDescent="0.3">
      <c r="A28" s="583" t="s">
        <v>921</v>
      </c>
      <c r="B28" s="575"/>
      <c r="C28" s="563">
        <v>0</v>
      </c>
      <c r="D28" s="575">
        <v>235.46</v>
      </c>
      <c r="E28" s="563">
        <v>1</v>
      </c>
      <c r="F28" s="576">
        <v>235.46</v>
      </c>
    </row>
    <row r="29" spans="1:6" ht="14.4" customHeight="1" x14ac:dyDescent="0.3">
      <c r="A29" s="583" t="s">
        <v>922</v>
      </c>
      <c r="B29" s="575"/>
      <c r="C29" s="563"/>
      <c r="D29" s="575">
        <v>0</v>
      </c>
      <c r="E29" s="563"/>
      <c r="F29" s="576">
        <v>0</v>
      </c>
    </row>
    <row r="30" spans="1:6" ht="14.4" customHeight="1" x14ac:dyDescent="0.3">
      <c r="A30" s="583" t="s">
        <v>923</v>
      </c>
      <c r="B30" s="575"/>
      <c r="C30" s="563">
        <v>0</v>
      </c>
      <c r="D30" s="575">
        <v>374.74</v>
      </c>
      <c r="E30" s="563">
        <v>1</v>
      </c>
      <c r="F30" s="576">
        <v>374.74</v>
      </c>
    </row>
    <row r="31" spans="1:6" ht="14.4" customHeight="1" thickBot="1" x14ac:dyDescent="0.35">
      <c r="A31" s="584" t="s">
        <v>924</v>
      </c>
      <c r="B31" s="579"/>
      <c r="C31" s="580">
        <v>0</v>
      </c>
      <c r="D31" s="579">
        <v>222.95999999999998</v>
      </c>
      <c r="E31" s="580">
        <v>1</v>
      </c>
      <c r="F31" s="581">
        <v>222.95999999999998</v>
      </c>
    </row>
    <row r="32" spans="1:6" ht="14.4" customHeight="1" thickBot="1" x14ac:dyDescent="0.35">
      <c r="A32" s="493" t="s">
        <v>3</v>
      </c>
      <c r="B32" s="494">
        <v>2183.9900000000002</v>
      </c>
      <c r="C32" s="495">
        <v>0.36318479938271619</v>
      </c>
      <c r="D32" s="494">
        <v>3829.45</v>
      </c>
      <c r="E32" s="495">
        <v>0.63681520061728403</v>
      </c>
      <c r="F32" s="496">
        <v>6013.4399999999987</v>
      </c>
    </row>
  </sheetData>
  <mergeCells count="3">
    <mergeCell ref="A1:F1"/>
    <mergeCell ref="B3:C3"/>
    <mergeCell ref="D3:E3"/>
  </mergeCells>
  <conditionalFormatting sqref="C5:C1048576">
    <cfRule type="cellIs" dxfId="22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{2D68DF9B-DF72-4438-8104-58F13492F1B8}</x14:id>
        </ext>
      </extLst>
    </cfRule>
  </conditionalFormatting>
  <conditionalFormatting sqref="F13:F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{E864BB8E-E7C7-4CE6-969B-1F8916CAB6C0}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68DF9B-DF72-4438-8104-58F13492F1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E864BB8E-E7C7-4CE6-969B-1F8916CAB6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68" t="s">
        <v>943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30"/>
      <c r="M1" s="330"/>
    </row>
    <row r="2" spans="1:13" ht="14.4" customHeight="1" thickBot="1" x14ac:dyDescent="0.35">
      <c r="A2" s="239" t="s">
        <v>286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15</v>
      </c>
      <c r="G3" s="43">
        <f>SUBTOTAL(9,G6:G1048576)</f>
        <v>2183.9900000000002</v>
      </c>
      <c r="H3" s="44">
        <f>IF(M3=0,0,G3/M3)</f>
        <v>0.36318479938271614</v>
      </c>
      <c r="I3" s="43">
        <f>SUBTOTAL(9,I6:I1048576)</f>
        <v>46</v>
      </c>
      <c r="J3" s="43">
        <f>SUBTOTAL(9,J6:J1048576)</f>
        <v>3829.4500000000003</v>
      </c>
      <c r="K3" s="44">
        <f>IF(M3=0,0,J3/M3)</f>
        <v>0.63681520061728403</v>
      </c>
      <c r="L3" s="43">
        <f>SUBTOTAL(9,L6:L1048576)</f>
        <v>61</v>
      </c>
      <c r="M3" s="45">
        <f>SUBTOTAL(9,M6:M1048576)</f>
        <v>6013.44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134</v>
      </c>
      <c r="G4" s="373"/>
      <c r="H4" s="374"/>
      <c r="I4" s="375" t="s">
        <v>133</v>
      </c>
      <c r="J4" s="373"/>
      <c r="K4" s="374"/>
      <c r="L4" s="376" t="s">
        <v>3</v>
      </c>
      <c r="M4" s="377"/>
    </row>
    <row r="5" spans="1:13" ht="14.4" customHeight="1" thickBot="1" x14ac:dyDescent="0.35">
      <c r="A5" s="573" t="s">
        <v>140</v>
      </c>
      <c r="B5" s="585" t="s">
        <v>136</v>
      </c>
      <c r="C5" s="585" t="s">
        <v>71</v>
      </c>
      <c r="D5" s="585" t="s">
        <v>137</v>
      </c>
      <c r="E5" s="585" t="s">
        <v>138</v>
      </c>
      <c r="F5" s="506" t="s">
        <v>28</v>
      </c>
      <c r="G5" s="506" t="s">
        <v>14</v>
      </c>
      <c r="H5" s="485" t="s">
        <v>139</v>
      </c>
      <c r="I5" s="484" t="s">
        <v>28</v>
      </c>
      <c r="J5" s="506" t="s">
        <v>14</v>
      </c>
      <c r="K5" s="485" t="s">
        <v>139</v>
      </c>
      <c r="L5" s="484" t="s">
        <v>28</v>
      </c>
      <c r="M5" s="507" t="s">
        <v>14</v>
      </c>
    </row>
    <row r="6" spans="1:13" ht="14.4" customHeight="1" x14ac:dyDescent="0.3">
      <c r="A6" s="550" t="s">
        <v>614</v>
      </c>
      <c r="B6" s="551" t="s">
        <v>925</v>
      </c>
      <c r="C6" s="551" t="s">
        <v>649</v>
      </c>
      <c r="D6" s="551" t="s">
        <v>650</v>
      </c>
      <c r="E6" s="551" t="s">
        <v>651</v>
      </c>
      <c r="F6" s="119"/>
      <c r="G6" s="119"/>
      <c r="H6" s="556">
        <v>0</v>
      </c>
      <c r="I6" s="119">
        <v>1</v>
      </c>
      <c r="J6" s="119">
        <v>48.37</v>
      </c>
      <c r="K6" s="556">
        <v>1</v>
      </c>
      <c r="L6" s="119">
        <v>1</v>
      </c>
      <c r="M6" s="574">
        <v>48.37</v>
      </c>
    </row>
    <row r="7" spans="1:13" ht="14.4" customHeight="1" x14ac:dyDescent="0.3">
      <c r="A7" s="557" t="s">
        <v>614</v>
      </c>
      <c r="B7" s="558" t="s">
        <v>926</v>
      </c>
      <c r="C7" s="558" t="s">
        <v>657</v>
      </c>
      <c r="D7" s="558" t="s">
        <v>658</v>
      </c>
      <c r="E7" s="558" t="s">
        <v>659</v>
      </c>
      <c r="F7" s="575"/>
      <c r="G7" s="575"/>
      <c r="H7" s="563">
        <v>0</v>
      </c>
      <c r="I7" s="575">
        <v>1</v>
      </c>
      <c r="J7" s="575">
        <v>48.42</v>
      </c>
      <c r="K7" s="563">
        <v>1</v>
      </c>
      <c r="L7" s="575">
        <v>1</v>
      </c>
      <c r="M7" s="576">
        <v>48.42</v>
      </c>
    </row>
    <row r="8" spans="1:13" ht="14.4" customHeight="1" x14ac:dyDescent="0.3">
      <c r="A8" s="557" t="s">
        <v>614</v>
      </c>
      <c r="B8" s="558" t="s">
        <v>927</v>
      </c>
      <c r="C8" s="558" t="s">
        <v>687</v>
      </c>
      <c r="D8" s="558" t="s">
        <v>688</v>
      </c>
      <c r="E8" s="558" t="s">
        <v>689</v>
      </c>
      <c r="F8" s="575"/>
      <c r="G8" s="575"/>
      <c r="H8" s="563">
        <v>0</v>
      </c>
      <c r="I8" s="575">
        <v>6</v>
      </c>
      <c r="J8" s="575">
        <v>241.5</v>
      </c>
      <c r="K8" s="563">
        <v>1</v>
      </c>
      <c r="L8" s="575">
        <v>6</v>
      </c>
      <c r="M8" s="576">
        <v>241.5</v>
      </c>
    </row>
    <row r="9" spans="1:13" ht="14.4" customHeight="1" x14ac:dyDescent="0.3">
      <c r="A9" s="557" t="s">
        <v>614</v>
      </c>
      <c r="B9" s="558" t="s">
        <v>928</v>
      </c>
      <c r="C9" s="558" t="s">
        <v>629</v>
      </c>
      <c r="D9" s="558" t="s">
        <v>630</v>
      </c>
      <c r="E9" s="558" t="s">
        <v>631</v>
      </c>
      <c r="F9" s="575">
        <v>1</v>
      </c>
      <c r="G9" s="575">
        <v>189.43</v>
      </c>
      <c r="H9" s="563">
        <v>1</v>
      </c>
      <c r="I9" s="575"/>
      <c r="J9" s="575"/>
      <c r="K9" s="563">
        <v>0</v>
      </c>
      <c r="L9" s="575">
        <v>1</v>
      </c>
      <c r="M9" s="576">
        <v>189.43</v>
      </c>
    </row>
    <row r="10" spans="1:13" ht="14.4" customHeight="1" x14ac:dyDescent="0.3">
      <c r="A10" s="557" t="s">
        <v>615</v>
      </c>
      <c r="B10" s="558" t="s">
        <v>929</v>
      </c>
      <c r="C10" s="558" t="s">
        <v>712</v>
      </c>
      <c r="D10" s="558" t="s">
        <v>713</v>
      </c>
      <c r="E10" s="558" t="s">
        <v>714</v>
      </c>
      <c r="F10" s="575"/>
      <c r="G10" s="575"/>
      <c r="H10" s="563"/>
      <c r="I10" s="575">
        <v>2</v>
      </c>
      <c r="J10" s="575">
        <v>0</v>
      </c>
      <c r="K10" s="563"/>
      <c r="L10" s="575">
        <v>2</v>
      </c>
      <c r="M10" s="576">
        <v>0</v>
      </c>
    </row>
    <row r="11" spans="1:13" ht="14.4" customHeight="1" x14ac:dyDescent="0.3">
      <c r="A11" s="557" t="s">
        <v>615</v>
      </c>
      <c r="B11" s="558" t="s">
        <v>930</v>
      </c>
      <c r="C11" s="558" t="s">
        <v>716</v>
      </c>
      <c r="D11" s="558" t="s">
        <v>717</v>
      </c>
      <c r="E11" s="558" t="s">
        <v>692</v>
      </c>
      <c r="F11" s="575"/>
      <c r="G11" s="575"/>
      <c r="H11" s="563">
        <v>0</v>
      </c>
      <c r="I11" s="575">
        <v>1</v>
      </c>
      <c r="J11" s="575">
        <v>374.74</v>
      </c>
      <c r="K11" s="563">
        <v>1</v>
      </c>
      <c r="L11" s="575">
        <v>1</v>
      </c>
      <c r="M11" s="576">
        <v>374.74</v>
      </c>
    </row>
    <row r="12" spans="1:13" ht="14.4" customHeight="1" x14ac:dyDescent="0.3">
      <c r="A12" s="557" t="s">
        <v>615</v>
      </c>
      <c r="B12" s="558" t="s">
        <v>928</v>
      </c>
      <c r="C12" s="558" t="s">
        <v>690</v>
      </c>
      <c r="D12" s="558" t="s">
        <v>691</v>
      </c>
      <c r="E12" s="558" t="s">
        <v>692</v>
      </c>
      <c r="F12" s="575"/>
      <c r="G12" s="575"/>
      <c r="H12" s="563">
        <v>0</v>
      </c>
      <c r="I12" s="575">
        <v>1</v>
      </c>
      <c r="J12" s="575">
        <v>340.97</v>
      </c>
      <c r="K12" s="563">
        <v>1</v>
      </c>
      <c r="L12" s="575">
        <v>1</v>
      </c>
      <c r="M12" s="576">
        <v>340.97</v>
      </c>
    </row>
    <row r="13" spans="1:13" ht="14.4" customHeight="1" x14ac:dyDescent="0.3">
      <c r="A13" s="557" t="s">
        <v>616</v>
      </c>
      <c r="B13" s="558" t="s">
        <v>931</v>
      </c>
      <c r="C13" s="558" t="s">
        <v>793</v>
      </c>
      <c r="D13" s="558" t="s">
        <v>794</v>
      </c>
      <c r="E13" s="558" t="s">
        <v>795</v>
      </c>
      <c r="F13" s="575"/>
      <c r="G13" s="575"/>
      <c r="H13" s="563">
        <v>0</v>
      </c>
      <c r="I13" s="575">
        <v>1</v>
      </c>
      <c r="J13" s="575">
        <v>101.68</v>
      </c>
      <c r="K13" s="563">
        <v>1</v>
      </c>
      <c r="L13" s="575">
        <v>1</v>
      </c>
      <c r="M13" s="576">
        <v>101.68</v>
      </c>
    </row>
    <row r="14" spans="1:13" ht="14.4" customHeight="1" x14ac:dyDescent="0.3">
      <c r="A14" s="557" t="s">
        <v>616</v>
      </c>
      <c r="B14" s="558" t="s">
        <v>932</v>
      </c>
      <c r="C14" s="558" t="s">
        <v>819</v>
      </c>
      <c r="D14" s="558" t="s">
        <v>820</v>
      </c>
      <c r="E14" s="558" t="s">
        <v>821</v>
      </c>
      <c r="F14" s="575">
        <v>1</v>
      </c>
      <c r="G14" s="575">
        <v>503.02</v>
      </c>
      <c r="H14" s="563">
        <v>1</v>
      </c>
      <c r="I14" s="575"/>
      <c r="J14" s="575"/>
      <c r="K14" s="563">
        <v>0</v>
      </c>
      <c r="L14" s="575">
        <v>1</v>
      </c>
      <c r="M14" s="576">
        <v>503.02</v>
      </c>
    </row>
    <row r="15" spans="1:13" ht="14.4" customHeight="1" x14ac:dyDescent="0.3">
      <c r="A15" s="557" t="s">
        <v>616</v>
      </c>
      <c r="B15" s="558" t="s">
        <v>929</v>
      </c>
      <c r="C15" s="558" t="s">
        <v>781</v>
      </c>
      <c r="D15" s="558" t="s">
        <v>782</v>
      </c>
      <c r="E15" s="558" t="s">
        <v>783</v>
      </c>
      <c r="F15" s="575"/>
      <c r="G15" s="575"/>
      <c r="H15" s="563"/>
      <c r="I15" s="575">
        <v>1</v>
      </c>
      <c r="J15" s="575">
        <v>0</v>
      </c>
      <c r="K15" s="563"/>
      <c r="L15" s="575">
        <v>1</v>
      </c>
      <c r="M15" s="576">
        <v>0</v>
      </c>
    </row>
    <row r="16" spans="1:13" ht="14.4" customHeight="1" x14ac:dyDescent="0.3">
      <c r="A16" s="557" t="s">
        <v>616</v>
      </c>
      <c r="B16" s="558" t="s">
        <v>933</v>
      </c>
      <c r="C16" s="558" t="s">
        <v>785</v>
      </c>
      <c r="D16" s="558" t="s">
        <v>786</v>
      </c>
      <c r="E16" s="558" t="s">
        <v>787</v>
      </c>
      <c r="F16" s="575"/>
      <c r="G16" s="575"/>
      <c r="H16" s="563">
        <v>0</v>
      </c>
      <c r="I16" s="575">
        <v>1</v>
      </c>
      <c r="J16" s="575">
        <v>77.790000000000006</v>
      </c>
      <c r="K16" s="563">
        <v>1</v>
      </c>
      <c r="L16" s="575">
        <v>1</v>
      </c>
      <c r="M16" s="576">
        <v>77.790000000000006</v>
      </c>
    </row>
    <row r="17" spans="1:13" ht="14.4" customHeight="1" x14ac:dyDescent="0.3">
      <c r="A17" s="557" t="s">
        <v>616</v>
      </c>
      <c r="B17" s="558" t="s">
        <v>601</v>
      </c>
      <c r="C17" s="558" t="s">
        <v>815</v>
      </c>
      <c r="D17" s="558" t="s">
        <v>816</v>
      </c>
      <c r="E17" s="558" t="s">
        <v>817</v>
      </c>
      <c r="F17" s="575"/>
      <c r="G17" s="575"/>
      <c r="H17" s="563">
        <v>0</v>
      </c>
      <c r="I17" s="575">
        <v>1</v>
      </c>
      <c r="J17" s="575">
        <v>300.68</v>
      </c>
      <c r="K17" s="563">
        <v>1</v>
      </c>
      <c r="L17" s="575">
        <v>1</v>
      </c>
      <c r="M17" s="576">
        <v>300.68</v>
      </c>
    </row>
    <row r="18" spans="1:13" ht="14.4" customHeight="1" x14ac:dyDescent="0.3">
      <c r="A18" s="557" t="s">
        <v>616</v>
      </c>
      <c r="B18" s="558" t="s">
        <v>934</v>
      </c>
      <c r="C18" s="558" t="s">
        <v>731</v>
      </c>
      <c r="D18" s="558" t="s">
        <v>732</v>
      </c>
      <c r="E18" s="558" t="s">
        <v>733</v>
      </c>
      <c r="F18" s="575"/>
      <c r="G18" s="575"/>
      <c r="H18" s="563">
        <v>0</v>
      </c>
      <c r="I18" s="575">
        <v>1</v>
      </c>
      <c r="J18" s="575">
        <v>4.7</v>
      </c>
      <c r="K18" s="563">
        <v>1</v>
      </c>
      <c r="L18" s="575">
        <v>1</v>
      </c>
      <c r="M18" s="576">
        <v>4.7</v>
      </c>
    </row>
    <row r="19" spans="1:13" ht="14.4" customHeight="1" x14ac:dyDescent="0.3">
      <c r="A19" s="557" t="s">
        <v>616</v>
      </c>
      <c r="B19" s="558" t="s">
        <v>935</v>
      </c>
      <c r="C19" s="558" t="s">
        <v>735</v>
      </c>
      <c r="D19" s="558" t="s">
        <v>736</v>
      </c>
      <c r="E19" s="558" t="s">
        <v>737</v>
      </c>
      <c r="F19" s="575"/>
      <c r="G19" s="575"/>
      <c r="H19" s="563">
        <v>0</v>
      </c>
      <c r="I19" s="575">
        <v>2</v>
      </c>
      <c r="J19" s="575">
        <v>264</v>
      </c>
      <c r="K19" s="563">
        <v>1</v>
      </c>
      <c r="L19" s="575">
        <v>2</v>
      </c>
      <c r="M19" s="576">
        <v>264</v>
      </c>
    </row>
    <row r="20" spans="1:13" ht="14.4" customHeight="1" x14ac:dyDescent="0.3">
      <c r="A20" s="557" t="s">
        <v>616</v>
      </c>
      <c r="B20" s="558" t="s">
        <v>936</v>
      </c>
      <c r="C20" s="558" t="s">
        <v>776</v>
      </c>
      <c r="D20" s="558" t="s">
        <v>777</v>
      </c>
      <c r="E20" s="558" t="s">
        <v>778</v>
      </c>
      <c r="F20" s="575"/>
      <c r="G20" s="575"/>
      <c r="H20" s="563"/>
      <c r="I20" s="575">
        <v>1</v>
      </c>
      <c r="J20" s="575">
        <v>0</v>
      </c>
      <c r="K20" s="563"/>
      <c r="L20" s="575">
        <v>1</v>
      </c>
      <c r="M20" s="576">
        <v>0</v>
      </c>
    </row>
    <row r="21" spans="1:13" ht="14.4" customHeight="1" x14ac:dyDescent="0.3">
      <c r="A21" s="557" t="s">
        <v>616</v>
      </c>
      <c r="B21" s="558" t="s">
        <v>936</v>
      </c>
      <c r="C21" s="558" t="s">
        <v>779</v>
      </c>
      <c r="D21" s="558" t="s">
        <v>777</v>
      </c>
      <c r="E21" s="558" t="s">
        <v>780</v>
      </c>
      <c r="F21" s="575"/>
      <c r="G21" s="575"/>
      <c r="H21" s="563"/>
      <c r="I21" s="575">
        <v>1</v>
      </c>
      <c r="J21" s="575">
        <v>0</v>
      </c>
      <c r="K21" s="563"/>
      <c r="L21" s="575">
        <v>1</v>
      </c>
      <c r="M21" s="576">
        <v>0</v>
      </c>
    </row>
    <row r="22" spans="1:13" ht="14.4" customHeight="1" x14ac:dyDescent="0.3">
      <c r="A22" s="557" t="s">
        <v>617</v>
      </c>
      <c r="B22" s="558" t="s">
        <v>937</v>
      </c>
      <c r="C22" s="558" t="s">
        <v>839</v>
      </c>
      <c r="D22" s="558" t="s">
        <v>840</v>
      </c>
      <c r="E22" s="558" t="s">
        <v>841</v>
      </c>
      <c r="F22" s="575">
        <v>2</v>
      </c>
      <c r="G22" s="575">
        <v>600.66</v>
      </c>
      <c r="H22" s="563">
        <v>1</v>
      </c>
      <c r="I22" s="575"/>
      <c r="J22" s="575"/>
      <c r="K22" s="563">
        <v>0</v>
      </c>
      <c r="L22" s="575">
        <v>2</v>
      </c>
      <c r="M22" s="576">
        <v>600.66</v>
      </c>
    </row>
    <row r="23" spans="1:13" ht="14.4" customHeight="1" x14ac:dyDescent="0.3">
      <c r="A23" s="557" t="s">
        <v>617</v>
      </c>
      <c r="B23" s="558" t="s">
        <v>937</v>
      </c>
      <c r="C23" s="558" t="s">
        <v>842</v>
      </c>
      <c r="D23" s="558" t="s">
        <v>843</v>
      </c>
      <c r="E23" s="558" t="s">
        <v>844</v>
      </c>
      <c r="F23" s="575"/>
      <c r="G23" s="575"/>
      <c r="H23" s="563">
        <v>0</v>
      </c>
      <c r="I23" s="575">
        <v>1</v>
      </c>
      <c r="J23" s="575">
        <v>186.87</v>
      </c>
      <c r="K23" s="563">
        <v>1</v>
      </c>
      <c r="L23" s="575">
        <v>1</v>
      </c>
      <c r="M23" s="576">
        <v>186.87</v>
      </c>
    </row>
    <row r="24" spans="1:13" ht="14.4" customHeight="1" x14ac:dyDescent="0.3">
      <c r="A24" s="557" t="s">
        <v>617</v>
      </c>
      <c r="B24" s="558" t="s">
        <v>938</v>
      </c>
      <c r="C24" s="558" t="s">
        <v>850</v>
      </c>
      <c r="D24" s="558" t="s">
        <v>851</v>
      </c>
      <c r="E24" s="558" t="s">
        <v>852</v>
      </c>
      <c r="F24" s="575">
        <v>4</v>
      </c>
      <c r="G24" s="575">
        <v>484.16</v>
      </c>
      <c r="H24" s="563">
        <v>1</v>
      </c>
      <c r="I24" s="575"/>
      <c r="J24" s="575"/>
      <c r="K24" s="563">
        <v>0</v>
      </c>
      <c r="L24" s="575">
        <v>4</v>
      </c>
      <c r="M24" s="576">
        <v>484.16</v>
      </c>
    </row>
    <row r="25" spans="1:13" ht="14.4" customHeight="1" x14ac:dyDescent="0.3">
      <c r="A25" s="557" t="s">
        <v>617</v>
      </c>
      <c r="B25" s="558" t="s">
        <v>939</v>
      </c>
      <c r="C25" s="558" t="s">
        <v>828</v>
      </c>
      <c r="D25" s="558" t="s">
        <v>829</v>
      </c>
      <c r="E25" s="558" t="s">
        <v>737</v>
      </c>
      <c r="F25" s="575"/>
      <c r="G25" s="575"/>
      <c r="H25" s="563">
        <v>0</v>
      </c>
      <c r="I25" s="575">
        <v>2</v>
      </c>
      <c r="J25" s="575">
        <v>235.46</v>
      </c>
      <c r="K25" s="563">
        <v>1</v>
      </c>
      <c r="L25" s="575">
        <v>2</v>
      </c>
      <c r="M25" s="576">
        <v>235.46</v>
      </c>
    </row>
    <row r="26" spans="1:13" ht="14.4" customHeight="1" x14ac:dyDescent="0.3">
      <c r="A26" s="557" t="s">
        <v>617</v>
      </c>
      <c r="B26" s="558" t="s">
        <v>925</v>
      </c>
      <c r="C26" s="558" t="s">
        <v>649</v>
      </c>
      <c r="D26" s="558" t="s">
        <v>650</v>
      </c>
      <c r="E26" s="558" t="s">
        <v>651</v>
      </c>
      <c r="F26" s="575"/>
      <c r="G26" s="575"/>
      <c r="H26" s="563">
        <v>0</v>
      </c>
      <c r="I26" s="575">
        <v>1</v>
      </c>
      <c r="J26" s="575">
        <v>46.07</v>
      </c>
      <c r="K26" s="563">
        <v>1</v>
      </c>
      <c r="L26" s="575">
        <v>1</v>
      </c>
      <c r="M26" s="576">
        <v>46.07</v>
      </c>
    </row>
    <row r="27" spans="1:13" ht="14.4" customHeight="1" x14ac:dyDescent="0.3">
      <c r="A27" s="557" t="s">
        <v>617</v>
      </c>
      <c r="B27" s="558" t="s">
        <v>940</v>
      </c>
      <c r="C27" s="558" t="s">
        <v>641</v>
      </c>
      <c r="D27" s="558" t="s">
        <v>642</v>
      </c>
      <c r="E27" s="558" t="s">
        <v>643</v>
      </c>
      <c r="F27" s="575"/>
      <c r="G27" s="575"/>
      <c r="H27" s="563">
        <v>0</v>
      </c>
      <c r="I27" s="575">
        <v>1</v>
      </c>
      <c r="J27" s="575">
        <v>111.72</v>
      </c>
      <c r="K27" s="563">
        <v>1</v>
      </c>
      <c r="L27" s="575">
        <v>1</v>
      </c>
      <c r="M27" s="576">
        <v>111.72</v>
      </c>
    </row>
    <row r="28" spans="1:13" ht="14.4" customHeight="1" x14ac:dyDescent="0.3">
      <c r="A28" s="557" t="s">
        <v>618</v>
      </c>
      <c r="B28" s="558" t="s">
        <v>931</v>
      </c>
      <c r="C28" s="558" t="s">
        <v>866</v>
      </c>
      <c r="D28" s="558" t="s">
        <v>867</v>
      </c>
      <c r="E28" s="558" t="s">
        <v>795</v>
      </c>
      <c r="F28" s="575">
        <v>4</v>
      </c>
      <c r="G28" s="575">
        <v>406.72</v>
      </c>
      <c r="H28" s="563">
        <v>1</v>
      </c>
      <c r="I28" s="575"/>
      <c r="J28" s="575"/>
      <c r="K28" s="563">
        <v>0</v>
      </c>
      <c r="L28" s="575">
        <v>4</v>
      </c>
      <c r="M28" s="576">
        <v>406.72</v>
      </c>
    </row>
    <row r="29" spans="1:13" ht="14.4" customHeight="1" x14ac:dyDescent="0.3">
      <c r="A29" s="557" t="s">
        <v>618</v>
      </c>
      <c r="B29" s="558" t="s">
        <v>931</v>
      </c>
      <c r="C29" s="558" t="s">
        <v>868</v>
      </c>
      <c r="D29" s="558" t="s">
        <v>869</v>
      </c>
      <c r="E29" s="558" t="s">
        <v>795</v>
      </c>
      <c r="F29" s="575"/>
      <c r="G29" s="575"/>
      <c r="H29" s="563">
        <v>0</v>
      </c>
      <c r="I29" s="575">
        <v>5</v>
      </c>
      <c r="J29" s="575">
        <v>508.40000000000003</v>
      </c>
      <c r="K29" s="563">
        <v>1</v>
      </c>
      <c r="L29" s="575">
        <v>5</v>
      </c>
      <c r="M29" s="576">
        <v>508.40000000000003</v>
      </c>
    </row>
    <row r="30" spans="1:13" ht="14.4" customHeight="1" x14ac:dyDescent="0.3">
      <c r="A30" s="557" t="s">
        <v>618</v>
      </c>
      <c r="B30" s="558" t="s">
        <v>931</v>
      </c>
      <c r="C30" s="558" t="s">
        <v>870</v>
      </c>
      <c r="D30" s="558" t="s">
        <v>871</v>
      </c>
      <c r="E30" s="558" t="s">
        <v>872</v>
      </c>
      <c r="F30" s="575">
        <v>3</v>
      </c>
      <c r="G30" s="575">
        <v>0</v>
      </c>
      <c r="H30" s="563"/>
      <c r="I30" s="575"/>
      <c r="J30" s="575"/>
      <c r="K30" s="563"/>
      <c r="L30" s="575">
        <v>3</v>
      </c>
      <c r="M30" s="576">
        <v>0</v>
      </c>
    </row>
    <row r="31" spans="1:13" ht="14.4" customHeight="1" x14ac:dyDescent="0.3">
      <c r="A31" s="557" t="s">
        <v>618</v>
      </c>
      <c r="B31" s="558" t="s">
        <v>941</v>
      </c>
      <c r="C31" s="558" t="s">
        <v>874</v>
      </c>
      <c r="D31" s="558" t="s">
        <v>875</v>
      </c>
      <c r="E31" s="558" t="s">
        <v>876</v>
      </c>
      <c r="F31" s="575"/>
      <c r="G31" s="575"/>
      <c r="H31" s="563">
        <v>0</v>
      </c>
      <c r="I31" s="575">
        <v>6</v>
      </c>
      <c r="J31" s="575">
        <v>222.95999999999998</v>
      </c>
      <c r="K31" s="563">
        <v>1</v>
      </c>
      <c r="L31" s="575">
        <v>6</v>
      </c>
      <c r="M31" s="576">
        <v>222.95999999999998</v>
      </c>
    </row>
    <row r="32" spans="1:13" ht="14.4" customHeight="1" x14ac:dyDescent="0.3">
      <c r="A32" s="557" t="s">
        <v>618</v>
      </c>
      <c r="B32" s="558" t="s">
        <v>927</v>
      </c>
      <c r="C32" s="558" t="s">
        <v>687</v>
      </c>
      <c r="D32" s="558" t="s">
        <v>688</v>
      </c>
      <c r="E32" s="558" t="s">
        <v>689</v>
      </c>
      <c r="F32" s="575"/>
      <c r="G32" s="575"/>
      <c r="H32" s="563">
        <v>0</v>
      </c>
      <c r="I32" s="575">
        <v>3</v>
      </c>
      <c r="J32" s="575">
        <v>120.75</v>
      </c>
      <c r="K32" s="563">
        <v>1</v>
      </c>
      <c r="L32" s="575">
        <v>3</v>
      </c>
      <c r="M32" s="576">
        <v>120.75</v>
      </c>
    </row>
    <row r="33" spans="1:13" ht="14.4" customHeight="1" x14ac:dyDescent="0.3">
      <c r="A33" s="557" t="s">
        <v>619</v>
      </c>
      <c r="B33" s="558" t="s">
        <v>942</v>
      </c>
      <c r="C33" s="558" t="s">
        <v>896</v>
      </c>
      <c r="D33" s="558" t="s">
        <v>897</v>
      </c>
      <c r="E33" s="558" t="s">
        <v>762</v>
      </c>
      <c r="F33" s="575"/>
      <c r="G33" s="575"/>
      <c r="H33" s="563">
        <v>0</v>
      </c>
      <c r="I33" s="575">
        <v>5</v>
      </c>
      <c r="J33" s="575">
        <v>482.65000000000003</v>
      </c>
      <c r="K33" s="563">
        <v>1</v>
      </c>
      <c r="L33" s="575">
        <v>5</v>
      </c>
      <c r="M33" s="576">
        <v>482.65000000000003</v>
      </c>
    </row>
    <row r="34" spans="1:13" ht="14.4" customHeight="1" thickBot="1" x14ac:dyDescent="0.35">
      <c r="A34" s="565" t="s">
        <v>619</v>
      </c>
      <c r="B34" s="566" t="s">
        <v>940</v>
      </c>
      <c r="C34" s="566" t="s">
        <v>641</v>
      </c>
      <c r="D34" s="566" t="s">
        <v>642</v>
      </c>
      <c r="E34" s="566" t="s">
        <v>643</v>
      </c>
      <c r="F34" s="577"/>
      <c r="G34" s="577"/>
      <c r="H34" s="571">
        <v>0</v>
      </c>
      <c r="I34" s="577">
        <v>1</v>
      </c>
      <c r="J34" s="577">
        <v>111.72</v>
      </c>
      <c r="K34" s="571">
        <v>1</v>
      </c>
      <c r="L34" s="577">
        <v>1</v>
      </c>
      <c r="M34" s="578">
        <v>111.72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59" t="s">
        <v>144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9" t="s">
        <v>286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97">
        <v>2013</v>
      </c>
      <c r="D3" s="298">
        <v>2014</v>
      </c>
      <c r="E3" s="7"/>
      <c r="F3" s="354">
        <v>2015</v>
      </c>
      <c r="G3" s="355"/>
      <c r="H3" s="355"/>
      <c r="I3" s="356"/>
    </row>
    <row r="4" spans="1:10" ht="14.4" customHeight="1" thickBot="1" x14ac:dyDescent="0.35">
      <c r="A4" s="302" t="s">
        <v>0</v>
      </c>
      <c r="B4" s="303" t="s">
        <v>248</v>
      </c>
      <c r="C4" s="357" t="s">
        <v>73</v>
      </c>
      <c r="D4" s="358"/>
      <c r="E4" s="304"/>
      <c r="F4" s="299" t="s">
        <v>73</v>
      </c>
      <c r="G4" s="300" t="s">
        <v>74</v>
      </c>
      <c r="H4" s="300" t="s">
        <v>68</v>
      </c>
      <c r="I4" s="301" t="s">
        <v>75</v>
      </c>
    </row>
    <row r="5" spans="1:10" ht="14.4" customHeight="1" x14ac:dyDescent="0.3">
      <c r="A5" s="453" t="s">
        <v>443</v>
      </c>
      <c r="B5" s="454" t="s">
        <v>444</v>
      </c>
      <c r="C5" s="455" t="s">
        <v>445</v>
      </c>
      <c r="D5" s="455" t="s">
        <v>445</v>
      </c>
      <c r="E5" s="455"/>
      <c r="F5" s="455" t="s">
        <v>445</v>
      </c>
      <c r="G5" s="455" t="s">
        <v>445</v>
      </c>
      <c r="H5" s="455" t="s">
        <v>445</v>
      </c>
      <c r="I5" s="456" t="s">
        <v>445</v>
      </c>
      <c r="J5" s="457" t="s">
        <v>69</v>
      </c>
    </row>
    <row r="6" spans="1:10" ht="14.4" customHeight="1" x14ac:dyDescent="0.3">
      <c r="A6" s="453" t="s">
        <v>443</v>
      </c>
      <c r="B6" s="454" t="s">
        <v>299</v>
      </c>
      <c r="C6" s="455">
        <v>7.5671299999989996</v>
      </c>
      <c r="D6" s="455">
        <v>11.554269999999999</v>
      </c>
      <c r="E6" s="455"/>
      <c r="F6" s="455">
        <v>13.11788</v>
      </c>
      <c r="G6" s="455">
        <v>13.427354577070501</v>
      </c>
      <c r="H6" s="455">
        <v>-0.30947457707050141</v>
      </c>
      <c r="I6" s="456">
        <v>0.9769519323188961</v>
      </c>
      <c r="J6" s="457" t="s">
        <v>1</v>
      </c>
    </row>
    <row r="7" spans="1:10" ht="14.4" customHeight="1" x14ac:dyDescent="0.3">
      <c r="A7" s="453" t="s">
        <v>443</v>
      </c>
      <c r="B7" s="454" t="s">
        <v>300</v>
      </c>
      <c r="C7" s="455">
        <v>1.0364900000000001</v>
      </c>
      <c r="D7" s="455">
        <v>1.1281099999999999</v>
      </c>
      <c r="E7" s="455"/>
      <c r="F7" s="455">
        <v>1.46174</v>
      </c>
      <c r="G7" s="455">
        <v>1.4999999527529999</v>
      </c>
      <c r="H7" s="455">
        <v>-3.8259952752999871E-2</v>
      </c>
      <c r="I7" s="456">
        <v>0.97449336402792541</v>
      </c>
      <c r="J7" s="457" t="s">
        <v>1</v>
      </c>
    </row>
    <row r="8" spans="1:10" ht="14.4" customHeight="1" x14ac:dyDescent="0.3">
      <c r="A8" s="453" t="s">
        <v>443</v>
      </c>
      <c r="B8" s="454" t="s">
        <v>301</v>
      </c>
      <c r="C8" s="455">
        <v>15.864289999999</v>
      </c>
      <c r="D8" s="455">
        <v>13.93355</v>
      </c>
      <c r="E8" s="455"/>
      <c r="F8" s="455">
        <v>15.432030000000001</v>
      </c>
      <c r="G8" s="455">
        <v>18.749999409419249</v>
      </c>
      <c r="H8" s="455">
        <v>-3.3179694094192484</v>
      </c>
      <c r="I8" s="456">
        <v>0.82304162592386887</v>
      </c>
      <c r="J8" s="457" t="s">
        <v>1</v>
      </c>
    </row>
    <row r="9" spans="1:10" ht="14.4" customHeight="1" x14ac:dyDescent="0.3">
      <c r="A9" s="453" t="s">
        <v>443</v>
      </c>
      <c r="B9" s="454" t="s">
        <v>302</v>
      </c>
      <c r="C9" s="455">
        <v>19.323</v>
      </c>
      <c r="D9" s="455">
        <v>12.25</v>
      </c>
      <c r="E9" s="455"/>
      <c r="F9" s="455">
        <v>15.517000000000001</v>
      </c>
      <c r="G9" s="455">
        <v>23.999999244057751</v>
      </c>
      <c r="H9" s="455">
        <v>-8.4829992440577495</v>
      </c>
      <c r="I9" s="456">
        <v>0.64654168703117409</v>
      </c>
      <c r="J9" s="457" t="s">
        <v>1</v>
      </c>
    </row>
    <row r="10" spans="1:10" ht="14.4" customHeight="1" x14ac:dyDescent="0.3">
      <c r="A10" s="453" t="s">
        <v>443</v>
      </c>
      <c r="B10" s="454" t="s">
        <v>303</v>
      </c>
      <c r="C10" s="455">
        <v>0.67399999999900007</v>
      </c>
      <c r="D10" s="455">
        <v>2.649</v>
      </c>
      <c r="E10" s="455"/>
      <c r="F10" s="455">
        <v>3.8479999999999999</v>
      </c>
      <c r="G10" s="455">
        <v>2.5829999186414998</v>
      </c>
      <c r="H10" s="455">
        <v>1.2650000813585001</v>
      </c>
      <c r="I10" s="456">
        <v>1.4897406586152016</v>
      </c>
      <c r="J10" s="457" t="s">
        <v>1</v>
      </c>
    </row>
    <row r="11" spans="1:10" ht="14.4" customHeight="1" x14ac:dyDescent="0.3">
      <c r="A11" s="453" t="s">
        <v>443</v>
      </c>
      <c r="B11" s="454" t="s">
        <v>304</v>
      </c>
      <c r="C11" s="455">
        <v>1.692999999999</v>
      </c>
      <c r="D11" s="455">
        <v>1.173</v>
      </c>
      <c r="E11" s="455"/>
      <c r="F11" s="455">
        <v>1.5619999999999998</v>
      </c>
      <c r="G11" s="455">
        <v>2.2499999291295003</v>
      </c>
      <c r="H11" s="455">
        <v>-0.68799992912950048</v>
      </c>
      <c r="I11" s="456">
        <v>0.69422224408883426</v>
      </c>
      <c r="J11" s="457" t="s">
        <v>1</v>
      </c>
    </row>
    <row r="12" spans="1:10" ht="14.4" customHeight="1" x14ac:dyDescent="0.3">
      <c r="A12" s="453" t="s">
        <v>443</v>
      </c>
      <c r="B12" s="454" t="s">
        <v>447</v>
      </c>
      <c r="C12" s="455">
        <v>46.157909999996001</v>
      </c>
      <c r="D12" s="455">
        <v>42.687930000000001</v>
      </c>
      <c r="E12" s="455"/>
      <c r="F12" s="455">
        <v>50.938650000000003</v>
      </c>
      <c r="G12" s="455">
        <v>62.510353031071496</v>
      </c>
      <c r="H12" s="455">
        <v>-11.571703031071493</v>
      </c>
      <c r="I12" s="456">
        <v>0.81488341578682744</v>
      </c>
      <c r="J12" s="457" t="s">
        <v>448</v>
      </c>
    </row>
    <row r="14" spans="1:10" ht="14.4" customHeight="1" x14ac:dyDescent="0.3">
      <c r="A14" s="453" t="s">
        <v>443</v>
      </c>
      <c r="B14" s="454" t="s">
        <v>444</v>
      </c>
      <c r="C14" s="455" t="s">
        <v>445</v>
      </c>
      <c r="D14" s="455" t="s">
        <v>445</v>
      </c>
      <c r="E14" s="455"/>
      <c r="F14" s="455" t="s">
        <v>445</v>
      </c>
      <c r="G14" s="455" t="s">
        <v>445</v>
      </c>
      <c r="H14" s="455" t="s">
        <v>445</v>
      </c>
      <c r="I14" s="456" t="s">
        <v>445</v>
      </c>
      <c r="J14" s="457" t="s">
        <v>69</v>
      </c>
    </row>
    <row r="15" spans="1:10" ht="14.4" customHeight="1" x14ac:dyDescent="0.3">
      <c r="A15" s="453" t="s">
        <v>449</v>
      </c>
      <c r="B15" s="454" t="s">
        <v>450</v>
      </c>
      <c r="C15" s="455" t="s">
        <v>445</v>
      </c>
      <c r="D15" s="455" t="s">
        <v>445</v>
      </c>
      <c r="E15" s="455"/>
      <c r="F15" s="455" t="s">
        <v>445</v>
      </c>
      <c r="G15" s="455" t="s">
        <v>445</v>
      </c>
      <c r="H15" s="455" t="s">
        <v>445</v>
      </c>
      <c r="I15" s="456" t="s">
        <v>445</v>
      </c>
      <c r="J15" s="457" t="s">
        <v>0</v>
      </c>
    </row>
    <row r="16" spans="1:10" ht="14.4" customHeight="1" x14ac:dyDescent="0.3">
      <c r="A16" s="453" t="s">
        <v>449</v>
      </c>
      <c r="B16" s="454" t="s">
        <v>299</v>
      </c>
      <c r="C16" s="455">
        <v>6.8120899999989994</v>
      </c>
      <c r="D16" s="455">
        <v>11.554269999999999</v>
      </c>
      <c r="E16" s="455"/>
      <c r="F16" s="455">
        <v>13.11788</v>
      </c>
      <c r="G16" s="455">
        <v>13.427354577070501</v>
      </c>
      <c r="H16" s="455">
        <v>-0.30947457707050141</v>
      </c>
      <c r="I16" s="456">
        <v>0.9769519323188961</v>
      </c>
      <c r="J16" s="457" t="s">
        <v>1</v>
      </c>
    </row>
    <row r="17" spans="1:10" ht="14.4" customHeight="1" x14ac:dyDescent="0.3">
      <c r="A17" s="453" t="s">
        <v>449</v>
      </c>
      <c r="B17" s="454" t="s">
        <v>300</v>
      </c>
      <c r="C17" s="455">
        <v>0.56459999999999999</v>
      </c>
      <c r="D17" s="455">
        <v>0.59148000000000001</v>
      </c>
      <c r="E17" s="455"/>
      <c r="F17" s="455">
        <v>0.80634000000000006</v>
      </c>
      <c r="G17" s="455">
        <v>0.87568734492900002</v>
      </c>
      <c r="H17" s="455">
        <v>-6.9347344928999965E-2</v>
      </c>
      <c r="I17" s="456">
        <v>0.9208080996824014</v>
      </c>
      <c r="J17" s="457" t="s">
        <v>1</v>
      </c>
    </row>
    <row r="18" spans="1:10" ht="14.4" customHeight="1" x14ac:dyDescent="0.3">
      <c r="A18" s="453" t="s">
        <v>449</v>
      </c>
      <c r="B18" s="454" t="s">
        <v>301</v>
      </c>
      <c r="C18" s="455">
        <v>8.6843400000000006</v>
      </c>
      <c r="D18" s="455">
        <v>6.8060499999999999</v>
      </c>
      <c r="E18" s="455"/>
      <c r="F18" s="455">
        <v>9.5857799999999997</v>
      </c>
      <c r="G18" s="455">
        <v>12.44117030969625</v>
      </c>
      <c r="H18" s="455">
        <v>-2.8553903096962507</v>
      </c>
      <c r="I18" s="456">
        <v>0.77048860849763867</v>
      </c>
      <c r="J18" s="457" t="s">
        <v>1</v>
      </c>
    </row>
    <row r="19" spans="1:10" ht="14.4" customHeight="1" x14ac:dyDescent="0.3">
      <c r="A19" s="453" t="s">
        <v>449</v>
      </c>
      <c r="B19" s="454" t="s">
        <v>302</v>
      </c>
      <c r="C19" s="455">
        <v>19.323</v>
      </c>
      <c r="D19" s="455">
        <v>12.25</v>
      </c>
      <c r="E19" s="455"/>
      <c r="F19" s="455">
        <v>15.517000000000001</v>
      </c>
      <c r="G19" s="455">
        <v>23.999999244057751</v>
      </c>
      <c r="H19" s="455">
        <v>-8.4829992440577495</v>
      </c>
      <c r="I19" s="456">
        <v>0.64654168703117409</v>
      </c>
      <c r="J19" s="457" t="s">
        <v>1</v>
      </c>
    </row>
    <row r="20" spans="1:10" ht="14.4" customHeight="1" x14ac:dyDescent="0.3">
      <c r="A20" s="453" t="s">
        <v>449</v>
      </c>
      <c r="B20" s="454" t="s">
        <v>303</v>
      </c>
      <c r="C20" s="455">
        <v>0.46699999999900005</v>
      </c>
      <c r="D20" s="455">
        <v>1.7610000000000001</v>
      </c>
      <c r="E20" s="455"/>
      <c r="F20" s="455">
        <v>3.0919999999999996</v>
      </c>
      <c r="G20" s="455">
        <v>1.9169999396189998</v>
      </c>
      <c r="H20" s="455">
        <v>1.1750000603809998</v>
      </c>
      <c r="I20" s="456">
        <v>1.6129369313462414</v>
      </c>
      <c r="J20" s="457" t="s">
        <v>1</v>
      </c>
    </row>
    <row r="21" spans="1:10" ht="14.4" customHeight="1" x14ac:dyDescent="0.3">
      <c r="A21" s="453" t="s">
        <v>449</v>
      </c>
      <c r="B21" s="454" t="s">
        <v>304</v>
      </c>
      <c r="C21" s="455">
        <v>0.92199999999999993</v>
      </c>
      <c r="D21" s="455">
        <v>0.81099999999999994</v>
      </c>
      <c r="E21" s="455"/>
      <c r="F21" s="455">
        <v>0.99399999999999999</v>
      </c>
      <c r="G21" s="455">
        <v>1.5556265494665003</v>
      </c>
      <c r="H21" s="455">
        <v>-0.56162654946650026</v>
      </c>
      <c r="I21" s="456">
        <v>0.63897083804650334</v>
      </c>
      <c r="J21" s="457" t="s">
        <v>1</v>
      </c>
    </row>
    <row r="22" spans="1:10" ht="14.4" customHeight="1" x14ac:dyDescent="0.3">
      <c r="A22" s="453" t="s">
        <v>449</v>
      </c>
      <c r="B22" s="454" t="s">
        <v>451</v>
      </c>
      <c r="C22" s="455">
        <v>36.773029999997995</v>
      </c>
      <c r="D22" s="455">
        <v>33.773800000000001</v>
      </c>
      <c r="E22" s="455"/>
      <c r="F22" s="455">
        <v>43.113</v>
      </c>
      <c r="G22" s="455">
        <v>54.216837964839002</v>
      </c>
      <c r="H22" s="455">
        <v>-11.103837964839002</v>
      </c>
      <c r="I22" s="456">
        <v>0.79519576608211417</v>
      </c>
      <c r="J22" s="457" t="s">
        <v>452</v>
      </c>
    </row>
    <row r="23" spans="1:10" ht="14.4" customHeight="1" x14ac:dyDescent="0.3">
      <c r="A23" s="453" t="s">
        <v>445</v>
      </c>
      <c r="B23" s="454" t="s">
        <v>445</v>
      </c>
      <c r="C23" s="455" t="s">
        <v>445</v>
      </c>
      <c r="D23" s="455" t="s">
        <v>445</v>
      </c>
      <c r="E23" s="455"/>
      <c r="F23" s="455" t="s">
        <v>445</v>
      </c>
      <c r="G23" s="455" t="s">
        <v>445</v>
      </c>
      <c r="H23" s="455" t="s">
        <v>445</v>
      </c>
      <c r="I23" s="456" t="s">
        <v>445</v>
      </c>
      <c r="J23" s="457" t="s">
        <v>453</v>
      </c>
    </row>
    <row r="24" spans="1:10" ht="14.4" customHeight="1" x14ac:dyDescent="0.3">
      <c r="A24" s="453" t="s">
        <v>944</v>
      </c>
      <c r="B24" s="454" t="s">
        <v>945</v>
      </c>
      <c r="C24" s="455" t="s">
        <v>445</v>
      </c>
      <c r="D24" s="455" t="s">
        <v>445</v>
      </c>
      <c r="E24" s="455"/>
      <c r="F24" s="455" t="s">
        <v>445</v>
      </c>
      <c r="G24" s="455" t="s">
        <v>445</v>
      </c>
      <c r="H24" s="455" t="s">
        <v>445</v>
      </c>
      <c r="I24" s="456" t="s">
        <v>445</v>
      </c>
      <c r="J24" s="457" t="s">
        <v>0</v>
      </c>
    </row>
    <row r="25" spans="1:10" ht="14.4" customHeight="1" x14ac:dyDescent="0.3">
      <c r="A25" s="453" t="s">
        <v>944</v>
      </c>
      <c r="B25" s="454" t="s">
        <v>299</v>
      </c>
      <c r="C25" s="455">
        <v>0.75504000000000004</v>
      </c>
      <c r="D25" s="455">
        <v>0</v>
      </c>
      <c r="E25" s="455"/>
      <c r="F25" s="455" t="s">
        <v>445</v>
      </c>
      <c r="G25" s="455" t="s">
        <v>445</v>
      </c>
      <c r="H25" s="455" t="s">
        <v>445</v>
      </c>
      <c r="I25" s="456" t="s">
        <v>445</v>
      </c>
      <c r="J25" s="457" t="s">
        <v>1</v>
      </c>
    </row>
    <row r="26" spans="1:10" ht="14.4" customHeight="1" x14ac:dyDescent="0.3">
      <c r="A26" s="453" t="s">
        <v>944</v>
      </c>
      <c r="B26" s="454" t="s">
        <v>300</v>
      </c>
      <c r="C26" s="455">
        <v>0.47189000000000003</v>
      </c>
      <c r="D26" s="455">
        <v>0.53662999999999994</v>
      </c>
      <c r="E26" s="455"/>
      <c r="F26" s="455">
        <v>0.65539999999999998</v>
      </c>
      <c r="G26" s="455">
        <v>0.624312607824</v>
      </c>
      <c r="H26" s="455">
        <v>3.1087392175999984E-2</v>
      </c>
      <c r="I26" s="456">
        <v>1.0497945929433541</v>
      </c>
      <c r="J26" s="457" t="s">
        <v>1</v>
      </c>
    </row>
    <row r="27" spans="1:10" ht="14.4" customHeight="1" x14ac:dyDescent="0.3">
      <c r="A27" s="453" t="s">
        <v>944</v>
      </c>
      <c r="B27" s="454" t="s">
        <v>301</v>
      </c>
      <c r="C27" s="455">
        <v>7.1799499999989997</v>
      </c>
      <c r="D27" s="455">
        <v>7.1274999999999995</v>
      </c>
      <c r="E27" s="455"/>
      <c r="F27" s="455">
        <v>5.8462500000000004</v>
      </c>
      <c r="G27" s="455">
        <v>6.3088290997229999</v>
      </c>
      <c r="H27" s="455">
        <v>-0.46257909972299949</v>
      </c>
      <c r="I27" s="456">
        <v>0.92667750347789424</v>
      </c>
      <c r="J27" s="457" t="s">
        <v>1</v>
      </c>
    </row>
    <row r="28" spans="1:10" ht="14.4" customHeight="1" x14ac:dyDescent="0.3">
      <c r="A28" s="453" t="s">
        <v>944</v>
      </c>
      <c r="B28" s="454" t="s">
        <v>303</v>
      </c>
      <c r="C28" s="455">
        <v>0.20699999999999999</v>
      </c>
      <c r="D28" s="455">
        <v>0.8879999999999999</v>
      </c>
      <c r="E28" s="455"/>
      <c r="F28" s="455">
        <v>0.75600000000000001</v>
      </c>
      <c r="G28" s="455">
        <v>0.66599997902249997</v>
      </c>
      <c r="H28" s="455">
        <v>9.0000020977500039E-2</v>
      </c>
      <c r="I28" s="456">
        <v>1.1351351708893365</v>
      </c>
      <c r="J28" s="457" t="s">
        <v>1</v>
      </c>
    </row>
    <row r="29" spans="1:10" ht="14.4" customHeight="1" x14ac:dyDescent="0.3">
      <c r="A29" s="453" t="s">
        <v>944</v>
      </c>
      <c r="B29" s="454" t="s">
        <v>304</v>
      </c>
      <c r="C29" s="455">
        <v>0.77099999999899993</v>
      </c>
      <c r="D29" s="455">
        <v>0.36199999999999999</v>
      </c>
      <c r="E29" s="455"/>
      <c r="F29" s="455">
        <v>0.56799999999999995</v>
      </c>
      <c r="G29" s="455">
        <v>0.69437337966299995</v>
      </c>
      <c r="H29" s="455">
        <v>-0.126373379663</v>
      </c>
      <c r="I29" s="456">
        <v>0.81800370900691388</v>
      </c>
      <c r="J29" s="457" t="s">
        <v>1</v>
      </c>
    </row>
    <row r="30" spans="1:10" ht="14.4" customHeight="1" x14ac:dyDescent="0.3">
      <c r="A30" s="453" t="s">
        <v>944</v>
      </c>
      <c r="B30" s="454" t="s">
        <v>946</v>
      </c>
      <c r="C30" s="455">
        <v>9.3848799999980006</v>
      </c>
      <c r="D30" s="455">
        <v>8.9141299999999983</v>
      </c>
      <c r="E30" s="455"/>
      <c r="F30" s="455">
        <v>7.8256500000000004</v>
      </c>
      <c r="G30" s="455">
        <v>8.2935150662324997</v>
      </c>
      <c r="H30" s="455">
        <v>-0.46786506623249924</v>
      </c>
      <c r="I30" s="456">
        <v>0.94358663817499566</v>
      </c>
      <c r="J30" s="457" t="s">
        <v>452</v>
      </c>
    </row>
    <row r="31" spans="1:10" ht="14.4" customHeight="1" x14ac:dyDescent="0.3">
      <c r="A31" s="453" t="s">
        <v>445</v>
      </c>
      <c r="B31" s="454" t="s">
        <v>445</v>
      </c>
      <c r="C31" s="455" t="s">
        <v>445</v>
      </c>
      <c r="D31" s="455" t="s">
        <v>445</v>
      </c>
      <c r="E31" s="455"/>
      <c r="F31" s="455" t="s">
        <v>445</v>
      </c>
      <c r="G31" s="455" t="s">
        <v>445</v>
      </c>
      <c r="H31" s="455" t="s">
        <v>445</v>
      </c>
      <c r="I31" s="456" t="s">
        <v>445</v>
      </c>
      <c r="J31" s="457" t="s">
        <v>453</v>
      </c>
    </row>
    <row r="32" spans="1:10" ht="14.4" customHeight="1" x14ac:dyDescent="0.3">
      <c r="A32" s="453" t="s">
        <v>454</v>
      </c>
      <c r="B32" s="454" t="s">
        <v>455</v>
      </c>
      <c r="C32" s="455" t="s">
        <v>445</v>
      </c>
      <c r="D32" s="455" t="s">
        <v>445</v>
      </c>
      <c r="E32" s="455"/>
      <c r="F32" s="455" t="s">
        <v>445</v>
      </c>
      <c r="G32" s="455" t="s">
        <v>445</v>
      </c>
      <c r="H32" s="455" t="s">
        <v>445</v>
      </c>
      <c r="I32" s="456" t="s">
        <v>445</v>
      </c>
      <c r="J32" s="457" t="s">
        <v>0</v>
      </c>
    </row>
    <row r="33" spans="1:10" ht="14.4" customHeight="1" x14ac:dyDescent="0.3">
      <c r="A33" s="453" t="s">
        <v>454</v>
      </c>
      <c r="B33" s="454" t="s">
        <v>301</v>
      </c>
      <c r="C33" s="455">
        <v>0</v>
      </c>
      <c r="D33" s="455" t="s">
        <v>445</v>
      </c>
      <c r="E33" s="455"/>
      <c r="F33" s="455" t="s">
        <v>445</v>
      </c>
      <c r="G33" s="455" t="s">
        <v>445</v>
      </c>
      <c r="H33" s="455" t="s">
        <v>445</v>
      </c>
      <c r="I33" s="456" t="s">
        <v>445</v>
      </c>
      <c r="J33" s="457" t="s">
        <v>1</v>
      </c>
    </row>
    <row r="34" spans="1:10" ht="14.4" customHeight="1" x14ac:dyDescent="0.3">
      <c r="A34" s="453" t="s">
        <v>454</v>
      </c>
      <c r="B34" s="454" t="s">
        <v>303</v>
      </c>
      <c r="C34" s="455">
        <v>0</v>
      </c>
      <c r="D34" s="455" t="s">
        <v>445</v>
      </c>
      <c r="E34" s="455"/>
      <c r="F34" s="455" t="s">
        <v>445</v>
      </c>
      <c r="G34" s="455" t="s">
        <v>445</v>
      </c>
      <c r="H34" s="455" t="s">
        <v>445</v>
      </c>
      <c r="I34" s="456" t="s">
        <v>445</v>
      </c>
      <c r="J34" s="457" t="s">
        <v>1</v>
      </c>
    </row>
    <row r="35" spans="1:10" ht="14.4" customHeight="1" x14ac:dyDescent="0.3">
      <c r="A35" s="453" t="s">
        <v>454</v>
      </c>
      <c r="B35" s="454" t="s">
        <v>456</v>
      </c>
      <c r="C35" s="455">
        <v>0</v>
      </c>
      <c r="D35" s="455" t="s">
        <v>445</v>
      </c>
      <c r="E35" s="455"/>
      <c r="F35" s="455" t="s">
        <v>445</v>
      </c>
      <c r="G35" s="455" t="s">
        <v>445</v>
      </c>
      <c r="H35" s="455" t="s">
        <v>445</v>
      </c>
      <c r="I35" s="456" t="s">
        <v>445</v>
      </c>
      <c r="J35" s="457" t="s">
        <v>452</v>
      </c>
    </row>
    <row r="36" spans="1:10" ht="14.4" customHeight="1" x14ac:dyDescent="0.3">
      <c r="A36" s="453" t="s">
        <v>445</v>
      </c>
      <c r="B36" s="454" t="s">
        <v>445</v>
      </c>
      <c r="C36" s="455" t="s">
        <v>445</v>
      </c>
      <c r="D36" s="455" t="s">
        <v>445</v>
      </c>
      <c r="E36" s="455"/>
      <c r="F36" s="455" t="s">
        <v>445</v>
      </c>
      <c r="G36" s="455" t="s">
        <v>445</v>
      </c>
      <c r="H36" s="455" t="s">
        <v>445</v>
      </c>
      <c r="I36" s="456" t="s">
        <v>445</v>
      </c>
      <c r="J36" s="457" t="s">
        <v>453</v>
      </c>
    </row>
    <row r="37" spans="1:10" ht="14.4" customHeight="1" x14ac:dyDescent="0.3">
      <c r="A37" s="453" t="s">
        <v>443</v>
      </c>
      <c r="B37" s="454" t="s">
        <v>447</v>
      </c>
      <c r="C37" s="455">
        <v>46.157909999995994</v>
      </c>
      <c r="D37" s="455">
        <v>42.687930000000001</v>
      </c>
      <c r="E37" s="455"/>
      <c r="F37" s="455">
        <v>50.938649999999996</v>
      </c>
      <c r="G37" s="455">
        <v>62.510353031071503</v>
      </c>
      <c r="H37" s="455">
        <v>-11.571703031071507</v>
      </c>
      <c r="I37" s="456">
        <v>0.81488341578682721</v>
      </c>
      <c r="J37" s="457" t="s">
        <v>448</v>
      </c>
    </row>
  </sheetData>
  <mergeCells count="3">
    <mergeCell ref="A1:I1"/>
    <mergeCell ref="F3:I3"/>
    <mergeCell ref="C4:D4"/>
  </mergeCells>
  <conditionalFormatting sqref="F13 F38:F65537">
    <cfRule type="cellIs" dxfId="21" priority="18" stopIfTrue="1" operator="greaterThan">
      <formula>1</formula>
    </cfRule>
  </conditionalFormatting>
  <conditionalFormatting sqref="H5:H12">
    <cfRule type="expression" dxfId="20" priority="14">
      <formula>$H5&gt;0</formula>
    </cfRule>
  </conditionalFormatting>
  <conditionalFormatting sqref="I5:I12">
    <cfRule type="expression" dxfId="19" priority="15">
      <formula>$I5&gt;1</formula>
    </cfRule>
  </conditionalFormatting>
  <conditionalFormatting sqref="B5:B12">
    <cfRule type="expression" dxfId="18" priority="11">
      <formula>OR($J5="NS",$J5="SumaNS",$J5="Účet")</formula>
    </cfRule>
  </conditionalFormatting>
  <conditionalFormatting sqref="F5:I12 B5:D12">
    <cfRule type="expression" dxfId="17" priority="17">
      <formula>AND($J5&lt;&gt;"",$J5&lt;&gt;"mezeraKL")</formula>
    </cfRule>
  </conditionalFormatting>
  <conditionalFormatting sqref="B5:D12 F5:I12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5" priority="13">
      <formula>OR($J5="SumaNS",$J5="NS")</formula>
    </cfRule>
  </conditionalFormatting>
  <conditionalFormatting sqref="A5:A12">
    <cfRule type="expression" dxfId="14" priority="9">
      <formula>AND($J5&lt;&gt;"mezeraKL",$J5&lt;&gt;"")</formula>
    </cfRule>
  </conditionalFormatting>
  <conditionalFormatting sqref="A5:A12">
    <cfRule type="expression" dxfId="13" priority="10">
      <formula>AND($J5&lt;&gt;"",$J5&lt;&gt;"mezeraKL")</formula>
    </cfRule>
  </conditionalFormatting>
  <conditionalFormatting sqref="H14:H37">
    <cfRule type="expression" dxfId="12" priority="5">
      <formula>$H14&gt;0</formula>
    </cfRule>
  </conditionalFormatting>
  <conditionalFormatting sqref="A14:A37">
    <cfRule type="expression" dxfId="11" priority="2">
      <formula>AND($J14&lt;&gt;"mezeraKL",$J14&lt;&gt;"")</formula>
    </cfRule>
  </conditionalFormatting>
  <conditionalFormatting sqref="I14:I37">
    <cfRule type="expression" dxfId="10" priority="6">
      <formula>$I14&gt;1</formula>
    </cfRule>
  </conditionalFormatting>
  <conditionalFormatting sqref="B14:B37">
    <cfRule type="expression" dxfId="9" priority="1">
      <formula>OR($J14="NS",$J14="SumaNS",$J14="Účet")</formula>
    </cfRule>
  </conditionalFormatting>
  <conditionalFormatting sqref="A14:D37 F14:I37">
    <cfRule type="expression" dxfId="8" priority="8">
      <formula>AND($J14&lt;&gt;"",$J14&lt;&gt;"mezeraKL")</formula>
    </cfRule>
  </conditionalFormatting>
  <conditionalFormatting sqref="B14:D37 F14:I37">
    <cfRule type="expression" dxfId="7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6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66" t="s">
        <v>1056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9" t="s">
        <v>286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5" t="s">
        <v>132</v>
      </c>
      <c r="I3" s="99">
        <f>IF(J3&lt;&gt;0,K3/J3,0)</f>
        <v>2.8664704742957099</v>
      </c>
      <c r="J3" s="99">
        <f>SUBTOTAL(9,J5:J1048576)</f>
        <v>17780</v>
      </c>
      <c r="K3" s="100">
        <f>SUBTOTAL(9,K5:K1048576)</f>
        <v>50965.845032977719</v>
      </c>
    </row>
    <row r="4" spans="1:11" s="212" customFormat="1" ht="14.4" customHeight="1" thickBot="1" x14ac:dyDescent="0.35">
      <c r="A4" s="586" t="s">
        <v>4</v>
      </c>
      <c r="B4" s="587" t="s">
        <v>5</v>
      </c>
      <c r="C4" s="587" t="s">
        <v>0</v>
      </c>
      <c r="D4" s="587" t="s">
        <v>6</v>
      </c>
      <c r="E4" s="587" t="s">
        <v>7</v>
      </c>
      <c r="F4" s="587" t="s">
        <v>1</v>
      </c>
      <c r="G4" s="587" t="s">
        <v>71</v>
      </c>
      <c r="H4" s="460" t="s">
        <v>11</v>
      </c>
      <c r="I4" s="461" t="s">
        <v>147</v>
      </c>
      <c r="J4" s="461" t="s">
        <v>13</v>
      </c>
      <c r="K4" s="462" t="s">
        <v>164</v>
      </c>
    </row>
    <row r="5" spans="1:11" ht="14.4" customHeight="1" x14ac:dyDescent="0.3">
      <c r="A5" s="550" t="s">
        <v>443</v>
      </c>
      <c r="B5" s="551" t="s">
        <v>444</v>
      </c>
      <c r="C5" s="554" t="s">
        <v>449</v>
      </c>
      <c r="D5" s="588" t="s">
        <v>595</v>
      </c>
      <c r="E5" s="554" t="s">
        <v>1043</v>
      </c>
      <c r="F5" s="588" t="s">
        <v>1044</v>
      </c>
      <c r="G5" s="554" t="s">
        <v>947</v>
      </c>
      <c r="H5" s="554" t="s">
        <v>948</v>
      </c>
      <c r="I5" s="119">
        <v>4.3033333333333337</v>
      </c>
      <c r="J5" s="119">
        <v>27</v>
      </c>
      <c r="K5" s="574">
        <v>116.21</v>
      </c>
    </row>
    <row r="6" spans="1:11" ht="14.4" customHeight="1" x14ac:dyDescent="0.3">
      <c r="A6" s="557" t="s">
        <v>443</v>
      </c>
      <c r="B6" s="558" t="s">
        <v>444</v>
      </c>
      <c r="C6" s="561" t="s">
        <v>449</v>
      </c>
      <c r="D6" s="589" t="s">
        <v>595</v>
      </c>
      <c r="E6" s="561" t="s">
        <v>1043</v>
      </c>
      <c r="F6" s="589" t="s">
        <v>1044</v>
      </c>
      <c r="G6" s="561" t="s">
        <v>949</v>
      </c>
      <c r="H6" s="561" t="s">
        <v>950</v>
      </c>
      <c r="I6" s="575">
        <v>11.41</v>
      </c>
      <c r="J6" s="575">
        <v>1</v>
      </c>
      <c r="K6" s="576">
        <v>11.41</v>
      </c>
    </row>
    <row r="7" spans="1:11" ht="14.4" customHeight="1" x14ac:dyDescent="0.3">
      <c r="A7" s="557" t="s">
        <v>443</v>
      </c>
      <c r="B7" s="558" t="s">
        <v>444</v>
      </c>
      <c r="C7" s="561" t="s">
        <v>449</v>
      </c>
      <c r="D7" s="589" t="s">
        <v>595</v>
      </c>
      <c r="E7" s="561" t="s">
        <v>1043</v>
      </c>
      <c r="F7" s="589" t="s">
        <v>1044</v>
      </c>
      <c r="G7" s="561" t="s">
        <v>951</v>
      </c>
      <c r="H7" s="561" t="s">
        <v>952</v>
      </c>
      <c r="I7" s="575">
        <v>28.276666666666667</v>
      </c>
      <c r="J7" s="575">
        <v>9</v>
      </c>
      <c r="K7" s="576">
        <v>254.49</v>
      </c>
    </row>
    <row r="8" spans="1:11" ht="14.4" customHeight="1" x14ac:dyDescent="0.3">
      <c r="A8" s="557" t="s">
        <v>443</v>
      </c>
      <c r="B8" s="558" t="s">
        <v>444</v>
      </c>
      <c r="C8" s="561" t="s">
        <v>449</v>
      </c>
      <c r="D8" s="589" t="s">
        <v>595</v>
      </c>
      <c r="E8" s="561" t="s">
        <v>1043</v>
      </c>
      <c r="F8" s="589" t="s">
        <v>1044</v>
      </c>
      <c r="G8" s="561" t="s">
        <v>953</v>
      </c>
      <c r="H8" s="561" t="s">
        <v>954</v>
      </c>
      <c r="I8" s="575">
        <v>1.38</v>
      </c>
      <c r="J8" s="575">
        <v>2</v>
      </c>
      <c r="K8" s="576">
        <v>2.76</v>
      </c>
    </row>
    <row r="9" spans="1:11" ht="14.4" customHeight="1" x14ac:dyDescent="0.3">
      <c r="A9" s="557" t="s">
        <v>443</v>
      </c>
      <c r="B9" s="558" t="s">
        <v>444</v>
      </c>
      <c r="C9" s="561" t="s">
        <v>449</v>
      </c>
      <c r="D9" s="589" t="s">
        <v>595</v>
      </c>
      <c r="E9" s="561" t="s">
        <v>1043</v>
      </c>
      <c r="F9" s="589" t="s">
        <v>1044</v>
      </c>
      <c r="G9" s="561" t="s">
        <v>955</v>
      </c>
      <c r="H9" s="561" t="s">
        <v>956</v>
      </c>
      <c r="I9" s="575">
        <v>0.6</v>
      </c>
      <c r="J9" s="575">
        <v>5</v>
      </c>
      <c r="K9" s="576">
        <v>3</v>
      </c>
    </row>
    <row r="10" spans="1:11" ht="14.4" customHeight="1" x14ac:dyDescent="0.3">
      <c r="A10" s="557" t="s">
        <v>443</v>
      </c>
      <c r="B10" s="558" t="s">
        <v>444</v>
      </c>
      <c r="C10" s="561" t="s">
        <v>449</v>
      </c>
      <c r="D10" s="589" t="s">
        <v>595</v>
      </c>
      <c r="E10" s="561" t="s">
        <v>1043</v>
      </c>
      <c r="F10" s="589" t="s">
        <v>1044</v>
      </c>
      <c r="G10" s="561" t="s">
        <v>957</v>
      </c>
      <c r="H10" s="561" t="s">
        <v>958</v>
      </c>
      <c r="I10" s="575">
        <v>13.02</v>
      </c>
      <c r="J10" s="575">
        <v>19</v>
      </c>
      <c r="K10" s="576">
        <v>247.38</v>
      </c>
    </row>
    <row r="11" spans="1:11" ht="14.4" customHeight="1" x14ac:dyDescent="0.3">
      <c r="A11" s="557" t="s">
        <v>443</v>
      </c>
      <c r="B11" s="558" t="s">
        <v>444</v>
      </c>
      <c r="C11" s="561" t="s">
        <v>449</v>
      </c>
      <c r="D11" s="589" t="s">
        <v>595</v>
      </c>
      <c r="E11" s="561" t="s">
        <v>1043</v>
      </c>
      <c r="F11" s="589" t="s">
        <v>1044</v>
      </c>
      <c r="G11" s="561" t="s">
        <v>959</v>
      </c>
      <c r="H11" s="561" t="s">
        <v>960</v>
      </c>
      <c r="I11" s="575">
        <v>28.634999999999998</v>
      </c>
      <c r="J11" s="575">
        <v>4</v>
      </c>
      <c r="K11" s="576">
        <v>114.53999999999999</v>
      </c>
    </row>
    <row r="12" spans="1:11" ht="14.4" customHeight="1" x14ac:dyDescent="0.3">
      <c r="A12" s="557" t="s">
        <v>443</v>
      </c>
      <c r="B12" s="558" t="s">
        <v>444</v>
      </c>
      <c r="C12" s="561" t="s">
        <v>449</v>
      </c>
      <c r="D12" s="589" t="s">
        <v>595</v>
      </c>
      <c r="E12" s="561" t="s">
        <v>1043</v>
      </c>
      <c r="F12" s="589" t="s">
        <v>1044</v>
      </c>
      <c r="G12" s="561" t="s">
        <v>961</v>
      </c>
      <c r="H12" s="561" t="s">
        <v>962</v>
      </c>
      <c r="I12" s="575">
        <v>0.31</v>
      </c>
      <c r="J12" s="575">
        <v>25</v>
      </c>
      <c r="K12" s="576">
        <v>7.75</v>
      </c>
    </row>
    <row r="13" spans="1:11" ht="14.4" customHeight="1" x14ac:dyDescent="0.3">
      <c r="A13" s="557" t="s">
        <v>443</v>
      </c>
      <c r="B13" s="558" t="s">
        <v>444</v>
      </c>
      <c r="C13" s="561" t="s">
        <v>449</v>
      </c>
      <c r="D13" s="589" t="s">
        <v>595</v>
      </c>
      <c r="E13" s="561" t="s">
        <v>1043</v>
      </c>
      <c r="F13" s="589" t="s">
        <v>1044</v>
      </c>
      <c r="G13" s="561" t="s">
        <v>963</v>
      </c>
      <c r="H13" s="561" t="s">
        <v>964</v>
      </c>
      <c r="I13" s="575">
        <v>11.74</v>
      </c>
      <c r="J13" s="575">
        <v>1</v>
      </c>
      <c r="K13" s="576">
        <v>11.74</v>
      </c>
    </row>
    <row r="14" spans="1:11" ht="14.4" customHeight="1" x14ac:dyDescent="0.3">
      <c r="A14" s="557" t="s">
        <v>443</v>
      </c>
      <c r="B14" s="558" t="s">
        <v>444</v>
      </c>
      <c r="C14" s="561" t="s">
        <v>449</v>
      </c>
      <c r="D14" s="589" t="s">
        <v>595</v>
      </c>
      <c r="E14" s="561" t="s">
        <v>1043</v>
      </c>
      <c r="F14" s="589" t="s">
        <v>1044</v>
      </c>
      <c r="G14" s="561" t="s">
        <v>965</v>
      </c>
      <c r="H14" s="561" t="s">
        <v>966</v>
      </c>
      <c r="I14" s="575">
        <v>8.2799999999999994</v>
      </c>
      <c r="J14" s="575">
        <v>1</v>
      </c>
      <c r="K14" s="576">
        <v>8.2799999999999994</v>
      </c>
    </row>
    <row r="15" spans="1:11" ht="14.4" customHeight="1" x14ac:dyDescent="0.3">
      <c r="A15" s="557" t="s">
        <v>443</v>
      </c>
      <c r="B15" s="558" t="s">
        <v>444</v>
      </c>
      <c r="C15" s="561" t="s">
        <v>449</v>
      </c>
      <c r="D15" s="589" t="s">
        <v>595</v>
      </c>
      <c r="E15" s="561" t="s">
        <v>1043</v>
      </c>
      <c r="F15" s="589" t="s">
        <v>1044</v>
      </c>
      <c r="G15" s="561" t="s">
        <v>967</v>
      </c>
      <c r="H15" s="561" t="s">
        <v>968</v>
      </c>
      <c r="I15" s="575">
        <v>5.92</v>
      </c>
      <c r="J15" s="575">
        <v>1</v>
      </c>
      <c r="K15" s="576">
        <v>5.92</v>
      </c>
    </row>
    <row r="16" spans="1:11" ht="14.4" customHeight="1" x14ac:dyDescent="0.3">
      <c r="A16" s="557" t="s">
        <v>443</v>
      </c>
      <c r="B16" s="558" t="s">
        <v>444</v>
      </c>
      <c r="C16" s="561" t="s">
        <v>449</v>
      </c>
      <c r="D16" s="589" t="s">
        <v>595</v>
      </c>
      <c r="E16" s="561" t="s">
        <v>1043</v>
      </c>
      <c r="F16" s="589" t="s">
        <v>1044</v>
      </c>
      <c r="G16" s="561" t="s">
        <v>969</v>
      </c>
      <c r="H16" s="561" t="s">
        <v>970</v>
      </c>
      <c r="I16" s="575">
        <v>2.54</v>
      </c>
      <c r="J16" s="575">
        <v>9</v>
      </c>
      <c r="K16" s="576">
        <v>22.86</v>
      </c>
    </row>
    <row r="17" spans="1:11" ht="14.4" customHeight="1" x14ac:dyDescent="0.3">
      <c r="A17" s="557" t="s">
        <v>443</v>
      </c>
      <c r="B17" s="558" t="s">
        <v>444</v>
      </c>
      <c r="C17" s="561" t="s">
        <v>449</v>
      </c>
      <c r="D17" s="589" t="s">
        <v>595</v>
      </c>
      <c r="E17" s="561" t="s">
        <v>1045</v>
      </c>
      <c r="F17" s="589" t="s">
        <v>1046</v>
      </c>
      <c r="G17" s="561" t="s">
        <v>971</v>
      </c>
      <c r="H17" s="561" t="s">
        <v>972</v>
      </c>
      <c r="I17" s="575">
        <v>0.25</v>
      </c>
      <c r="J17" s="575">
        <v>200</v>
      </c>
      <c r="K17" s="576">
        <v>50</v>
      </c>
    </row>
    <row r="18" spans="1:11" ht="14.4" customHeight="1" x14ac:dyDescent="0.3">
      <c r="A18" s="557" t="s">
        <v>443</v>
      </c>
      <c r="B18" s="558" t="s">
        <v>444</v>
      </c>
      <c r="C18" s="561" t="s">
        <v>449</v>
      </c>
      <c r="D18" s="589" t="s">
        <v>595</v>
      </c>
      <c r="E18" s="561" t="s">
        <v>1045</v>
      </c>
      <c r="F18" s="589" t="s">
        <v>1046</v>
      </c>
      <c r="G18" s="561" t="s">
        <v>971</v>
      </c>
      <c r="H18" s="561" t="s">
        <v>973</v>
      </c>
      <c r="I18" s="575">
        <v>0.26</v>
      </c>
      <c r="J18" s="575">
        <v>100</v>
      </c>
      <c r="K18" s="576">
        <v>26</v>
      </c>
    </row>
    <row r="19" spans="1:11" ht="14.4" customHeight="1" x14ac:dyDescent="0.3">
      <c r="A19" s="557" t="s">
        <v>443</v>
      </c>
      <c r="B19" s="558" t="s">
        <v>444</v>
      </c>
      <c r="C19" s="561" t="s">
        <v>449</v>
      </c>
      <c r="D19" s="589" t="s">
        <v>595</v>
      </c>
      <c r="E19" s="561" t="s">
        <v>1045</v>
      </c>
      <c r="F19" s="589" t="s">
        <v>1046</v>
      </c>
      <c r="G19" s="561" t="s">
        <v>974</v>
      </c>
      <c r="H19" s="561" t="s">
        <v>975</v>
      </c>
      <c r="I19" s="575">
        <v>1.68</v>
      </c>
      <c r="J19" s="575">
        <v>100</v>
      </c>
      <c r="K19" s="576">
        <v>168</v>
      </c>
    </row>
    <row r="20" spans="1:11" ht="14.4" customHeight="1" x14ac:dyDescent="0.3">
      <c r="A20" s="557" t="s">
        <v>443</v>
      </c>
      <c r="B20" s="558" t="s">
        <v>444</v>
      </c>
      <c r="C20" s="561" t="s">
        <v>449</v>
      </c>
      <c r="D20" s="589" t="s">
        <v>595</v>
      </c>
      <c r="E20" s="561" t="s">
        <v>1045</v>
      </c>
      <c r="F20" s="589" t="s">
        <v>1046</v>
      </c>
      <c r="G20" s="561" t="s">
        <v>976</v>
      </c>
      <c r="H20" s="561" t="s">
        <v>977</v>
      </c>
      <c r="I20" s="575">
        <v>15.29</v>
      </c>
      <c r="J20" s="575">
        <v>1</v>
      </c>
      <c r="K20" s="576">
        <v>15.29</v>
      </c>
    </row>
    <row r="21" spans="1:11" ht="14.4" customHeight="1" x14ac:dyDescent="0.3">
      <c r="A21" s="557" t="s">
        <v>443</v>
      </c>
      <c r="B21" s="558" t="s">
        <v>444</v>
      </c>
      <c r="C21" s="561" t="s">
        <v>449</v>
      </c>
      <c r="D21" s="589" t="s">
        <v>595</v>
      </c>
      <c r="E21" s="561" t="s">
        <v>1045</v>
      </c>
      <c r="F21" s="589" t="s">
        <v>1046</v>
      </c>
      <c r="G21" s="561" t="s">
        <v>978</v>
      </c>
      <c r="H21" s="561" t="s">
        <v>979</v>
      </c>
      <c r="I21" s="575">
        <v>1.8039999999999998</v>
      </c>
      <c r="J21" s="575">
        <v>500</v>
      </c>
      <c r="K21" s="576">
        <v>902</v>
      </c>
    </row>
    <row r="22" spans="1:11" ht="14.4" customHeight="1" x14ac:dyDescent="0.3">
      <c r="A22" s="557" t="s">
        <v>443</v>
      </c>
      <c r="B22" s="558" t="s">
        <v>444</v>
      </c>
      <c r="C22" s="561" t="s">
        <v>449</v>
      </c>
      <c r="D22" s="589" t="s">
        <v>595</v>
      </c>
      <c r="E22" s="561" t="s">
        <v>1045</v>
      </c>
      <c r="F22" s="589" t="s">
        <v>1046</v>
      </c>
      <c r="G22" s="561" t="s">
        <v>980</v>
      </c>
      <c r="H22" s="561" t="s">
        <v>981</v>
      </c>
      <c r="I22" s="575">
        <v>1.9</v>
      </c>
      <c r="J22" s="575">
        <v>400</v>
      </c>
      <c r="K22" s="576">
        <v>760</v>
      </c>
    </row>
    <row r="23" spans="1:11" ht="14.4" customHeight="1" x14ac:dyDescent="0.3">
      <c r="A23" s="557" t="s">
        <v>443</v>
      </c>
      <c r="B23" s="558" t="s">
        <v>444</v>
      </c>
      <c r="C23" s="561" t="s">
        <v>449</v>
      </c>
      <c r="D23" s="589" t="s">
        <v>595</v>
      </c>
      <c r="E23" s="561" t="s">
        <v>1045</v>
      </c>
      <c r="F23" s="589" t="s">
        <v>1046</v>
      </c>
      <c r="G23" s="561" t="s">
        <v>982</v>
      </c>
      <c r="H23" s="561" t="s">
        <v>983</v>
      </c>
      <c r="I23" s="575">
        <v>2.38</v>
      </c>
      <c r="J23" s="575">
        <v>15</v>
      </c>
      <c r="K23" s="576">
        <v>35.700000000000003</v>
      </c>
    </row>
    <row r="24" spans="1:11" ht="14.4" customHeight="1" x14ac:dyDescent="0.3">
      <c r="A24" s="557" t="s">
        <v>443</v>
      </c>
      <c r="B24" s="558" t="s">
        <v>444</v>
      </c>
      <c r="C24" s="561" t="s">
        <v>449</v>
      </c>
      <c r="D24" s="589" t="s">
        <v>595</v>
      </c>
      <c r="E24" s="561" t="s">
        <v>1045</v>
      </c>
      <c r="F24" s="589" t="s">
        <v>1046</v>
      </c>
      <c r="G24" s="561" t="s">
        <v>984</v>
      </c>
      <c r="H24" s="561" t="s">
        <v>985</v>
      </c>
      <c r="I24" s="575">
        <v>1.984</v>
      </c>
      <c r="J24" s="575">
        <v>650</v>
      </c>
      <c r="K24" s="576">
        <v>1289.5</v>
      </c>
    </row>
    <row r="25" spans="1:11" ht="14.4" customHeight="1" x14ac:dyDescent="0.3">
      <c r="A25" s="557" t="s">
        <v>443</v>
      </c>
      <c r="B25" s="558" t="s">
        <v>444</v>
      </c>
      <c r="C25" s="561" t="s">
        <v>449</v>
      </c>
      <c r="D25" s="589" t="s">
        <v>595</v>
      </c>
      <c r="E25" s="561" t="s">
        <v>1045</v>
      </c>
      <c r="F25" s="589" t="s">
        <v>1046</v>
      </c>
      <c r="G25" s="561" t="s">
        <v>986</v>
      </c>
      <c r="H25" s="561" t="s">
        <v>987</v>
      </c>
      <c r="I25" s="575">
        <v>1.875</v>
      </c>
      <c r="J25" s="575">
        <v>550</v>
      </c>
      <c r="K25" s="576">
        <v>1035.95</v>
      </c>
    </row>
    <row r="26" spans="1:11" ht="14.4" customHeight="1" x14ac:dyDescent="0.3">
      <c r="A26" s="557" t="s">
        <v>443</v>
      </c>
      <c r="B26" s="558" t="s">
        <v>444</v>
      </c>
      <c r="C26" s="561" t="s">
        <v>449</v>
      </c>
      <c r="D26" s="589" t="s">
        <v>595</v>
      </c>
      <c r="E26" s="561" t="s">
        <v>1045</v>
      </c>
      <c r="F26" s="589" t="s">
        <v>1046</v>
      </c>
      <c r="G26" s="561" t="s">
        <v>988</v>
      </c>
      <c r="H26" s="561" t="s">
        <v>989</v>
      </c>
      <c r="I26" s="575">
        <v>1.92</v>
      </c>
      <c r="J26" s="575">
        <v>150</v>
      </c>
      <c r="K26" s="576">
        <v>288</v>
      </c>
    </row>
    <row r="27" spans="1:11" ht="14.4" customHeight="1" x14ac:dyDescent="0.3">
      <c r="A27" s="557" t="s">
        <v>443</v>
      </c>
      <c r="B27" s="558" t="s">
        <v>444</v>
      </c>
      <c r="C27" s="561" t="s">
        <v>449</v>
      </c>
      <c r="D27" s="589" t="s">
        <v>595</v>
      </c>
      <c r="E27" s="561" t="s">
        <v>1045</v>
      </c>
      <c r="F27" s="589" t="s">
        <v>1046</v>
      </c>
      <c r="G27" s="561" t="s">
        <v>990</v>
      </c>
      <c r="H27" s="561" t="s">
        <v>991</v>
      </c>
      <c r="I27" s="575">
        <v>1.2E-2</v>
      </c>
      <c r="J27" s="575">
        <v>1000</v>
      </c>
      <c r="K27" s="576">
        <v>12</v>
      </c>
    </row>
    <row r="28" spans="1:11" ht="14.4" customHeight="1" x14ac:dyDescent="0.3">
      <c r="A28" s="557" t="s">
        <v>443</v>
      </c>
      <c r="B28" s="558" t="s">
        <v>444</v>
      </c>
      <c r="C28" s="561" t="s">
        <v>449</v>
      </c>
      <c r="D28" s="589" t="s">
        <v>595</v>
      </c>
      <c r="E28" s="561" t="s">
        <v>1045</v>
      </c>
      <c r="F28" s="589" t="s">
        <v>1046</v>
      </c>
      <c r="G28" s="561" t="s">
        <v>992</v>
      </c>
      <c r="H28" s="561" t="s">
        <v>993</v>
      </c>
      <c r="I28" s="575">
        <v>1.99</v>
      </c>
      <c r="J28" s="575">
        <v>10</v>
      </c>
      <c r="K28" s="576">
        <v>19.899999999999999</v>
      </c>
    </row>
    <row r="29" spans="1:11" ht="14.4" customHeight="1" x14ac:dyDescent="0.3">
      <c r="A29" s="557" t="s">
        <v>443</v>
      </c>
      <c r="B29" s="558" t="s">
        <v>444</v>
      </c>
      <c r="C29" s="561" t="s">
        <v>449</v>
      </c>
      <c r="D29" s="589" t="s">
        <v>595</v>
      </c>
      <c r="E29" s="561" t="s">
        <v>1045</v>
      </c>
      <c r="F29" s="589" t="s">
        <v>1046</v>
      </c>
      <c r="G29" s="561" t="s">
        <v>994</v>
      </c>
      <c r="H29" s="561" t="s">
        <v>995</v>
      </c>
      <c r="I29" s="575">
        <v>3.01</v>
      </c>
      <c r="J29" s="575">
        <v>50</v>
      </c>
      <c r="K29" s="576">
        <v>150.5</v>
      </c>
    </row>
    <row r="30" spans="1:11" ht="14.4" customHeight="1" x14ac:dyDescent="0.3">
      <c r="A30" s="557" t="s">
        <v>443</v>
      </c>
      <c r="B30" s="558" t="s">
        <v>444</v>
      </c>
      <c r="C30" s="561" t="s">
        <v>449</v>
      </c>
      <c r="D30" s="589" t="s">
        <v>595</v>
      </c>
      <c r="E30" s="561" t="s">
        <v>1045</v>
      </c>
      <c r="F30" s="589" t="s">
        <v>1046</v>
      </c>
      <c r="G30" s="561" t="s">
        <v>996</v>
      </c>
      <c r="H30" s="561" t="s">
        <v>997</v>
      </c>
      <c r="I30" s="575">
        <v>3.14</v>
      </c>
      <c r="J30" s="575">
        <v>5</v>
      </c>
      <c r="K30" s="576">
        <v>15.7</v>
      </c>
    </row>
    <row r="31" spans="1:11" ht="14.4" customHeight="1" x14ac:dyDescent="0.3">
      <c r="A31" s="557" t="s">
        <v>443</v>
      </c>
      <c r="B31" s="558" t="s">
        <v>444</v>
      </c>
      <c r="C31" s="561" t="s">
        <v>449</v>
      </c>
      <c r="D31" s="589" t="s">
        <v>595</v>
      </c>
      <c r="E31" s="561" t="s">
        <v>1045</v>
      </c>
      <c r="F31" s="589" t="s">
        <v>1046</v>
      </c>
      <c r="G31" s="561" t="s">
        <v>998</v>
      </c>
      <c r="H31" s="561" t="s">
        <v>999</v>
      </c>
      <c r="I31" s="575">
        <v>2.6100000000000003</v>
      </c>
      <c r="J31" s="575">
        <v>600</v>
      </c>
      <c r="K31" s="576">
        <v>1568.5</v>
      </c>
    </row>
    <row r="32" spans="1:11" ht="14.4" customHeight="1" x14ac:dyDescent="0.3">
      <c r="A32" s="557" t="s">
        <v>443</v>
      </c>
      <c r="B32" s="558" t="s">
        <v>444</v>
      </c>
      <c r="C32" s="561" t="s">
        <v>449</v>
      </c>
      <c r="D32" s="589" t="s">
        <v>595</v>
      </c>
      <c r="E32" s="561" t="s">
        <v>1045</v>
      </c>
      <c r="F32" s="589" t="s">
        <v>1046</v>
      </c>
      <c r="G32" s="561" t="s">
        <v>1000</v>
      </c>
      <c r="H32" s="561" t="s">
        <v>1001</v>
      </c>
      <c r="I32" s="575">
        <v>1.93</v>
      </c>
      <c r="J32" s="575">
        <v>20</v>
      </c>
      <c r="K32" s="576">
        <v>38.6</v>
      </c>
    </row>
    <row r="33" spans="1:11" ht="14.4" customHeight="1" x14ac:dyDescent="0.3">
      <c r="A33" s="557" t="s">
        <v>443</v>
      </c>
      <c r="B33" s="558" t="s">
        <v>444</v>
      </c>
      <c r="C33" s="561" t="s">
        <v>449</v>
      </c>
      <c r="D33" s="589" t="s">
        <v>595</v>
      </c>
      <c r="E33" s="561" t="s">
        <v>1045</v>
      </c>
      <c r="F33" s="589" t="s">
        <v>1046</v>
      </c>
      <c r="G33" s="561" t="s">
        <v>1002</v>
      </c>
      <c r="H33" s="561" t="s">
        <v>1003</v>
      </c>
      <c r="I33" s="575">
        <v>12.1</v>
      </c>
      <c r="J33" s="575">
        <v>20</v>
      </c>
      <c r="K33" s="576">
        <v>242</v>
      </c>
    </row>
    <row r="34" spans="1:11" ht="14.4" customHeight="1" x14ac:dyDescent="0.3">
      <c r="A34" s="557" t="s">
        <v>443</v>
      </c>
      <c r="B34" s="558" t="s">
        <v>444</v>
      </c>
      <c r="C34" s="561" t="s">
        <v>449</v>
      </c>
      <c r="D34" s="589" t="s">
        <v>595</v>
      </c>
      <c r="E34" s="561" t="s">
        <v>1045</v>
      </c>
      <c r="F34" s="589" t="s">
        <v>1046</v>
      </c>
      <c r="G34" s="561" t="s">
        <v>1004</v>
      </c>
      <c r="H34" s="561" t="s">
        <v>1005</v>
      </c>
      <c r="I34" s="575">
        <v>2.52</v>
      </c>
      <c r="J34" s="575">
        <v>150</v>
      </c>
      <c r="K34" s="576">
        <v>378</v>
      </c>
    </row>
    <row r="35" spans="1:11" ht="14.4" customHeight="1" x14ac:dyDescent="0.3">
      <c r="A35" s="557" t="s">
        <v>443</v>
      </c>
      <c r="B35" s="558" t="s">
        <v>444</v>
      </c>
      <c r="C35" s="561" t="s">
        <v>449</v>
      </c>
      <c r="D35" s="589" t="s">
        <v>595</v>
      </c>
      <c r="E35" s="561" t="s">
        <v>1045</v>
      </c>
      <c r="F35" s="589" t="s">
        <v>1046</v>
      </c>
      <c r="G35" s="561" t="s">
        <v>1006</v>
      </c>
      <c r="H35" s="561" t="s">
        <v>1007</v>
      </c>
      <c r="I35" s="575">
        <v>21.234999999999999</v>
      </c>
      <c r="J35" s="575">
        <v>70</v>
      </c>
      <c r="K35" s="576">
        <v>1486.7</v>
      </c>
    </row>
    <row r="36" spans="1:11" ht="14.4" customHeight="1" x14ac:dyDescent="0.3">
      <c r="A36" s="557" t="s">
        <v>443</v>
      </c>
      <c r="B36" s="558" t="s">
        <v>444</v>
      </c>
      <c r="C36" s="561" t="s">
        <v>449</v>
      </c>
      <c r="D36" s="589" t="s">
        <v>595</v>
      </c>
      <c r="E36" s="561" t="s">
        <v>1045</v>
      </c>
      <c r="F36" s="589" t="s">
        <v>1046</v>
      </c>
      <c r="G36" s="561" t="s">
        <v>1008</v>
      </c>
      <c r="H36" s="561" t="s">
        <v>1009</v>
      </c>
      <c r="I36" s="575">
        <v>21.24</v>
      </c>
      <c r="J36" s="575">
        <v>10</v>
      </c>
      <c r="K36" s="576">
        <v>212.4</v>
      </c>
    </row>
    <row r="37" spans="1:11" ht="14.4" customHeight="1" x14ac:dyDescent="0.3">
      <c r="A37" s="557" t="s">
        <v>443</v>
      </c>
      <c r="B37" s="558" t="s">
        <v>444</v>
      </c>
      <c r="C37" s="561" t="s">
        <v>449</v>
      </c>
      <c r="D37" s="589" t="s">
        <v>595</v>
      </c>
      <c r="E37" s="561" t="s">
        <v>1045</v>
      </c>
      <c r="F37" s="589" t="s">
        <v>1046</v>
      </c>
      <c r="G37" s="561" t="s">
        <v>1010</v>
      </c>
      <c r="H37" s="561" t="s">
        <v>1011</v>
      </c>
      <c r="I37" s="575">
        <v>3.1749999999999998</v>
      </c>
      <c r="J37" s="575">
        <v>300</v>
      </c>
      <c r="K37" s="576">
        <v>891.04</v>
      </c>
    </row>
    <row r="38" spans="1:11" ht="14.4" customHeight="1" x14ac:dyDescent="0.3">
      <c r="A38" s="557" t="s">
        <v>443</v>
      </c>
      <c r="B38" s="558" t="s">
        <v>444</v>
      </c>
      <c r="C38" s="561" t="s">
        <v>449</v>
      </c>
      <c r="D38" s="589" t="s">
        <v>595</v>
      </c>
      <c r="E38" s="561" t="s">
        <v>1047</v>
      </c>
      <c r="F38" s="589" t="s">
        <v>1048</v>
      </c>
      <c r="G38" s="561" t="s">
        <v>1012</v>
      </c>
      <c r="H38" s="561" t="s">
        <v>1013</v>
      </c>
      <c r="I38" s="575">
        <v>8.1675000000000004</v>
      </c>
      <c r="J38" s="575">
        <v>1900</v>
      </c>
      <c r="K38" s="576">
        <v>15517</v>
      </c>
    </row>
    <row r="39" spans="1:11" ht="14.4" customHeight="1" x14ac:dyDescent="0.3">
      <c r="A39" s="557" t="s">
        <v>443</v>
      </c>
      <c r="B39" s="558" t="s">
        <v>444</v>
      </c>
      <c r="C39" s="561" t="s">
        <v>449</v>
      </c>
      <c r="D39" s="589" t="s">
        <v>595</v>
      </c>
      <c r="E39" s="561" t="s">
        <v>1049</v>
      </c>
      <c r="F39" s="589" t="s">
        <v>1050</v>
      </c>
      <c r="G39" s="561" t="s">
        <v>1014</v>
      </c>
      <c r="H39" s="561" t="s">
        <v>1015</v>
      </c>
      <c r="I39" s="575">
        <v>0.3</v>
      </c>
      <c r="J39" s="575">
        <v>1800</v>
      </c>
      <c r="K39" s="576">
        <v>540</v>
      </c>
    </row>
    <row r="40" spans="1:11" ht="14.4" customHeight="1" x14ac:dyDescent="0.3">
      <c r="A40" s="557" t="s">
        <v>443</v>
      </c>
      <c r="B40" s="558" t="s">
        <v>444</v>
      </c>
      <c r="C40" s="561" t="s">
        <v>449</v>
      </c>
      <c r="D40" s="589" t="s">
        <v>595</v>
      </c>
      <c r="E40" s="561" t="s">
        <v>1049</v>
      </c>
      <c r="F40" s="589" t="s">
        <v>1050</v>
      </c>
      <c r="G40" s="561" t="s">
        <v>1016</v>
      </c>
      <c r="H40" s="561" t="s">
        <v>1017</v>
      </c>
      <c r="I40" s="575">
        <v>0.31</v>
      </c>
      <c r="J40" s="575">
        <v>100</v>
      </c>
      <c r="K40" s="576">
        <v>31</v>
      </c>
    </row>
    <row r="41" spans="1:11" ht="14.4" customHeight="1" x14ac:dyDescent="0.3">
      <c r="A41" s="557" t="s">
        <v>443</v>
      </c>
      <c r="B41" s="558" t="s">
        <v>444</v>
      </c>
      <c r="C41" s="561" t="s">
        <v>449</v>
      </c>
      <c r="D41" s="589" t="s">
        <v>595</v>
      </c>
      <c r="E41" s="561" t="s">
        <v>1049</v>
      </c>
      <c r="F41" s="589" t="s">
        <v>1050</v>
      </c>
      <c r="G41" s="561" t="s">
        <v>1018</v>
      </c>
      <c r="H41" s="561" t="s">
        <v>1019</v>
      </c>
      <c r="I41" s="575">
        <v>1.8012500000000002</v>
      </c>
      <c r="J41" s="575">
        <v>1400</v>
      </c>
      <c r="K41" s="576">
        <v>2521</v>
      </c>
    </row>
    <row r="42" spans="1:11" ht="14.4" customHeight="1" x14ac:dyDescent="0.3">
      <c r="A42" s="557" t="s">
        <v>443</v>
      </c>
      <c r="B42" s="558" t="s">
        <v>444</v>
      </c>
      <c r="C42" s="561" t="s">
        <v>449</v>
      </c>
      <c r="D42" s="589" t="s">
        <v>595</v>
      </c>
      <c r="E42" s="561" t="s">
        <v>1051</v>
      </c>
      <c r="F42" s="589" t="s">
        <v>1052</v>
      </c>
      <c r="G42" s="561" t="s">
        <v>1020</v>
      </c>
      <c r="H42" s="561" t="s">
        <v>1021</v>
      </c>
      <c r="I42" s="575">
        <v>0.71</v>
      </c>
      <c r="J42" s="575">
        <v>600</v>
      </c>
      <c r="K42" s="576">
        <v>426</v>
      </c>
    </row>
    <row r="43" spans="1:11" ht="14.4" customHeight="1" x14ac:dyDescent="0.3">
      <c r="A43" s="557" t="s">
        <v>443</v>
      </c>
      <c r="B43" s="558" t="s">
        <v>444</v>
      </c>
      <c r="C43" s="561" t="s">
        <v>449</v>
      </c>
      <c r="D43" s="589" t="s">
        <v>595</v>
      </c>
      <c r="E43" s="561" t="s">
        <v>1051</v>
      </c>
      <c r="F43" s="589" t="s">
        <v>1052</v>
      </c>
      <c r="G43" s="561" t="s">
        <v>1022</v>
      </c>
      <c r="H43" s="561" t="s">
        <v>1023</v>
      </c>
      <c r="I43" s="575">
        <v>0.71</v>
      </c>
      <c r="J43" s="575">
        <v>800</v>
      </c>
      <c r="K43" s="576">
        <v>568</v>
      </c>
    </row>
    <row r="44" spans="1:11" ht="14.4" customHeight="1" x14ac:dyDescent="0.3">
      <c r="A44" s="557" t="s">
        <v>443</v>
      </c>
      <c r="B44" s="558" t="s">
        <v>444</v>
      </c>
      <c r="C44" s="561" t="s">
        <v>449</v>
      </c>
      <c r="D44" s="589" t="s">
        <v>595</v>
      </c>
      <c r="E44" s="561" t="s">
        <v>1053</v>
      </c>
      <c r="F44" s="589" t="s">
        <v>1054</v>
      </c>
      <c r="G44" s="561" t="s">
        <v>1024</v>
      </c>
      <c r="H44" s="561" t="s">
        <v>1025</v>
      </c>
      <c r="I44" s="575">
        <v>192.38999999999993</v>
      </c>
      <c r="J44" s="575">
        <v>68</v>
      </c>
      <c r="K44" s="576">
        <v>13082.520000000004</v>
      </c>
    </row>
    <row r="45" spans="1:11" ht="14.4" customHeight="1" x14ac:dyDescent="0.3">
      <c r="A45" s="557" t="s">
        <v>443</v>
      </c>
      <c r="B45" s="558" t="s">
        <v>444</v>
      </c>
      <c r="C45" s="561" t="s">
        <v>449</v>
      </c>
      <c r="D45" s="589" t="s">
        <v>595</v>
      </c>
      <c r="E45" s="561" t="s">
        <v>1053</v>
      </c>
      <c r="F45" s="589" t="s">
        <v>1054</v>
      </c>
      <c r="G45" s="561" t="s">
        <v>1026</v>
      </c>
      <c r="H45" s="561" t="s">
        <v>1027</v>
      </c>
      <c r="I45" s="575">
        <v>62.555032977718255</v>
      </c>
      <c r="J45" s="575">
        <v>1</v>
      </c>
      <c r="K45" s="576">
        <v>62.555032977718255</v>
      </c>
    </row>
    <row r="46" spans="1:11" ht="14.4" customHeight="1" x14ac:dyDescent="0.3">
      <c r="A46" s="557" t="s">
        <v>443</v>
      </c>
      <c r="B46" s="558" t="s">
        <v>444</v>
      </c>
      <c r="C46" s="561" t="s">
        <v>944</v>
      </c>
      <c r="D46" s="589" t="s">
        <v>1055</v>
      </c>
      <c r="E46" s="561" t="s">
        <v>1043</v>
      </c>
      <c r="F46" s="589" t="s">
        <v>1044</v>
      </c>
      <c r="G46" s="561" t="s">
        <v>947</v>
      </c>
      <c r="H46" s="561" t="s">
        <v>948</v>
      </c>
      <c r="I46" s="575">
        <v>4.3</v>
      </c>
      <c r="J46" s="575">
        <v>10</v>
      </c>
      <c r="K46" s="576">
        <v>43</v>
      </c>
    </row>
    <row r="47" spans="1:11" ht="14.4" customHeight="1" x14ac:dyDescent="0.3">
      <c r="A47" s="557" t="s">
        <v>443</v>
      </c>
      <c r="B47" s="558" t="s">
        <v>444</v>
      </c>
      <c r="C47" s="561" t="s">
        <v>944</v>
      </c>
      <c r="D47" s="589" t="s">
        <v>1055</v>
      </c>
      <c r="E47" s="561" t="s">
        <v>1043</v>
      </c>
      <c r="F47" s="589" t="s">
        <v>1044</v>
      </c>
      <c r="G47" s="561" t="s">
        <v>951</v>
      </c>
      <c r="H47" s="561" t="s">
        <v>952</v>
      </c>
      <c r="I47" s="575">
        <v>28.73</v>
      </c>
      <c r="J47" s="575">
        <v>5</v>
      </c>
      <c r="K47" s="576">
        <v>143.65</v>
      </c>
    </row>
    <row r="48" spans="1:11" ht="14.4" customHeight="1" x14ac:dyDescent="0.3">
      <c r="A48" s="557" t="s">
        <v>443</v>
      </c>
      <c r="B48" s="558" t="s">
        <v>444</v>
      </c>
      <c r="C48" s="561" t="s">
        <v>944</v>
      </c>
      <c r="D48" s="589" t="s">
        <v>1055</v>
      </c>
      <c r="E48" s="561" t="s">
        <v>1043</v>
      </c>
      <c r="F48" s="589" t="s">
        <v>1044</v>
      </c>
      <c r="G48" s="561" t="s">
        <v>957</v>
      </c>
      <c r="H48" s="561" t="s">
        <v>958</v>
      </c>
      <c r="I48" s="575">
        <v>13.016666666666666</v>
      </c>
      <c r="J48" s="575">
        <v>16</v>
      </c>
      <c r="K48" s="576">
        <v>208.27</v>
      </c>
    </row>
    <row r="49" spans="1:11" ht="14.4" customHeight="1" x14ac:dyDescent="0.3">
      <c r="A49" s="557" t="s">
        <v>443</v>
      </c>
      <c r="B49" s="558" t="s">
        <v>444</v>
      </c>
      <c r="C49" s="561" t="s">
        <v>944</v>
      </c>
      <c r="D49" s="589" t="s">
        <v>1055</v>
      </c>
      <c r="E49" s="561" t="s">
        <v>1043</v>
      </c>
      <c r="F49" s="589" t="s">
        <v>1044</v>
      </c>
      <c r="G49" s="561" t="s">
        <v>959</v>
      </c>
      <c r="H49" s="561" t="s">
        <v>960</v>
      </c>
      <c r="I49" s="575">
        <v>29.33</v>
      </c>
      <c r="J49" s="575">
        <v>5</v>
      </c>
      <c r="K49" s="576">
        <v>146.64999999999998</v>
      </c>
    </row>
    <row r="50" spans="1:11" ht="14.4" customHeight="1" x14ac:dyDescent="0.3">
      <c r="A50" s="557" t="s">
        <v>443</v>
      </c>
      <c r="B50" s="558" t="s">
        <v>444</v>
      </c>
      <c r="C50" s="561" t="s">
        <v>944</v>
      </c>
      <c r="D50" s="589" t="s">
        <v>1055</v>
      </c>
      <c r="E50" s="561" t="s">
        <v>1043</v>
      </c>
      <c r="F50" s="589" t="s">
        <v>1044</v>
      </c>
      <c r="G50" s="561" t="s">
        <v>1028</v>
      </c>
      <c r="H50" s="561" t="s">
        <v>1029</v>
      </c>
      <c r="I50" s="575">
        <v>0.56999999999999995</v>
      </c>
      <c r="J50" s="575">
        <v>200</v>
      </c>
      <c r="K50" s="576">
        <v>113.83</v>
      </c>
    </row>
    <row r="51" spans="1:11" ht="14.4" customHeight="1" x14ac:dyDescent="0.3">
      <c r="A51" s="557" t="s">
        <v>443</v>
      </c>
      <c r="B51" s="558" t="s">
        <v>444</v>
      </c>
      <c r="C51" s="561" t="s">
        <v>944</v>
      </c>
      <c r="D51" s="589" t="s">
        <v>1055</v>
      </c>
      <c r="E51" s="561" t="s">
        <v>1045</v>
      </c>
      <c r="F51" s="589" t="s">
        <v>1046</v>
      </c>
      <c r="G51" s="561" t="s">
        <v>971</v>
      </c>
      <c r="H51" s="561" t="s">
        <v>972</v>
      </c>
      <c r="I51" s="575">
        <v>0.25</v>
      </c>
      <c r="J51" s="575">
        <v>200</v>
      </c>
      <c r="K51" s="576">
        <v>50</v>
      </c>
    </row>
    <row r="52" spans="1:11" ht="14.4" customHeight="1" x14ac:dyDescent="0.3">
      <c r="A52" s="557" t="s">
        <v>443</v>
      </c>
      <c r="B52" s="558" t="s">
        <v>444</v>
      </c>
      <c r="C52" s="561" t="s">
        <v>944</v>
      </c>
      <c r="D52" s="589" t="s">
        <v>1055</v>
      </c>
      <c r="E52" s="561" t="s">
        <v>1045</v>
      </c>
      <c r="F52" s="589" t="s">
        <v>1046</v>
      </c>
      <c r="G52" s="561" t="s">
        <v>971</v>
      </c>
      <c r="H52" s="561" t="s">
        <v>973</v>
      </c>
      <c r="I52" s="575">
        <v>0.26</v>
      </c>
      <c r="J52" s="575">
        <v>200</v>
      </c>
      <c r="K52" s="576">
        <v>52</v>
      </c>
    </row>
    <row r="53" spans="1:11" ht="14.4" customHeight="1" x14ac:dyDescent="0.3">
      <c r="A53" s="557" t="s">
        <v>443</v>
      </c>
      <c r="B53" s="558" t="s">
        <v>444</v>
      </c>
      <c r="C53" s="561" t="s">
        <v>944</v>
      </c>
      <c r="D53" s="589" t="s">
        <v>1055</v>
      </c>
      <c r="E53" s="561" t="s">
        <v>1045</v>
      </c>
      <c r="F53" s="589" t="s">
        <v>1046</v>
      </c>
      <c r="G53" s="561" t="s">
        <v>974</v>
      </c>
      <c r="H53" s="561" t="s">
        <v>975</v>
      </c>
      <c r="I53" s="575">
        <v>1.68</v>
      </c>
      <c r="J53" s="575">
        <v>100</v>
      </c>
      <c r="K53" s="576">
        <v>168</v>
      </c>
    </row>
    <row r="54" spans="1:11" ht="14.4" customHeight="1" x14ac:dyDescent="0.3">
      <c r="A54" s="557" t="s">
        <v>443</v>
      </c>
      <c r="B54" s="558" t="s">
        <v>444</v>
      </c>
      <c r="C54" s="561" t="s">
        <v>944</v>
      </c>
      <c r="D54" s="589" t="s">
        <v>1055</v>
      </c>
      <c r="E54" s="561" t="s">
        <v>1045</v>
      </c>
      <c r="F54" s="589" t="s">
        <v>1046</v>
      </c>
      <c r="G54" s="561" t="s">
        <v>1030</v>
      </c>
      <c r="H54" s="561" t="s">
        <v>1031</v>
      </c>
      <c r="I54" s="575">
        <v>0.47499999999999998</v>
      </c>
      <c r="J54" s="575">
        <v>200</v>
      </c>
      <c r="K54" s="576">
        <v>95</v>
      </c>
    </row>
    <row r="55" spans="1:11" ht="14.4" customHeight="1" x14ac:dyDescent="0.3">
      <c r="A55" s="557" t="s">
        <v>443</v>
      </c>
      <c r="B55" s="558" t="s">
        <v>444</v>
      </c>
      <c r="C55" s="561" t="s">
        <v>944</v>
      </c>
      <c r="D55" s="589" t="s">
        <v>1055</v>
      </c>
      <c r="E55" s="561" t="s">
        <v>1045</v>
      </c>
      <c r="F55" s="589" t="s">
        <v>1046</v>
      </c>
      <c r="G55" s="561" t="s">
        <v>978</v>
      </c>
      <c r="H55" s="561" t="s">
        <v>979</v>
      </c>
      <c r="I55" s="575">
        <v>1.8066666666666666</v>
      </c>
      <c r="J55" s="575">
        <v>350</v>
      </c>
      <c r="K55" s="576">
        <v>632.5</v>
      </c>
    </row>
    <row r="56" spans="1:11" ht="14.4" customHeight="1" x14ac:dyDescent="0.3">
      <c r="A56" s="557" t="s">
        <v>443</v>
      </c>
      <c r="B56" s="558" t="s">
        <v>444</v>
      </c>
      <c r="C56" s="561" t="s">
        <v>944</v>
      </c>
      <c r="D56" s="589" t="s">
        <v>1055</v>
      </c>
      <c r="E56" s="561" t="s">
        <v>1045</v>
      </c>
      <c r="F56" s="589" t="s">
        <v>1046</v>
      </c>
      <c r="G56" s="561" t="s">
        <v>980</v>
      </c>
      <c r="H56" s="561" t="s">
        <v>981</v>
      </c>
      <c r="I56" s="575">
        <v>1.8999999999999997</v>
      </c>
      <c r="J56" s="575">
        <v>350</v>
      </c>
      <c r="K56" s="576">
        <v>665</v>
      </c>
    </row>
    <row r="57" spans="1:11" ht="14.4" customHeight="1" x14ac:dyDescent="0.3">
      <c r="A57" s="557" t="s">
        <v>443</v>
      </c>
      <c r="B57" s="558" t="s">
        <v>444</v>
      </c>
      <c r="C57" s="561" t="s">
        <v>944</v>
      </c>
      <c r="D57" s="589" t="s">
        <v>1055</v>
      </c>
      <c r="E57" s="561" t="s">
        <v>1045</v>
      </c>
      <c r="F57" s="589" t="s">
        <v>1046</v>
      </c>
      <c r="G57" s="561" t="s">
        <v>984</v>
      </c>
      <c r="H57" s="561" t="s">
        <v>985</v>
      </c>
      <c r="I57" s="575">
        <v>1.9833333333333334</v>
      </c>
      <c r="J57" s="575">
        <v>350</v>
      </c>
      <c r="K57" s="576">
        <v>694</v>
      </c>
    </row>
    <row r="58" spans="1:11" ht="14.4" customHeight="1" x14ac:dyDescent="0.3">
      <c r="A58" s="557" t="s">
        <v>443</v>
      </c>
      <c r="B58" s="558" t="s">
        <v>444</v>
      </c>
      <c r="C58" s="561" t="s">
        <v>944</v>
      </c>
      <c r="D58" s="589" t="s">
        <v>1055</v>
      </c>
      <c r="E58" s="561" t="s">
        <v>1045</v>
      </c>
      <c r="F58" s="589" t="s">
        <v>1046</v>
      </c>
      <c r="G58" s="561" t="s">
        <v>986</v>
      </c>
      <c r="H58" s="561" t="s">
        <v>987</v>
      </c>
      <c r="I58" s="575">
        <v>1.86</v>
      </c>
      <c r="J58" s="575">
        <v>350</v>
      </c>
      <c r="K58" s="576">
        <v>654</v>
      </c>
    </row>
    <row r="59" spans="1:11" ht="14.4" customHeight="1" x14ac:dyDescent="0.3">
      <c r="A59" s="557" t="s">
        <v>443</v>
      </c>
      <c r="B59" s="558" t="s">
        <v>444</v>
      </c>
      <c r="C59" s="561" t="s">
        <v>944</v>
      </c>
      <c r="D59" s="589" t="s">
        <v>1055</v>
      </c>
      <c r="E59" s="561" t="s">
        <v>1045</v>
      </c>
      <c r="F59" s="589" t="s">
        <v>1046</v>
      </c>
      <c r="G59" s="561" t="s">
        <v>988</v>
      </c>
      <c r="H59" s="561" t="s">
        <v>989</v>
      </c>
      <c r="I59" s="575">
        <v>1.92</v>
      </c>
      <c r="J59" s="575">
        <v>150</v>
      </c>
      <c r="K59" s="576">
        <v>288</v>
      </c>
    </row>
    <row r="60" spans="1:11" ht="14.4" customHeight="1" x14ac:dyDescent="0.3">
      <c r="A60" s="557" t="s">
        <v>443</v>
      </c>
      <c r="B60" s="558" t="s">
        <v>444</v>
      </c>
      <c r="C60" s="561" t="s">
        <v>944</v>
      </c>
      <c r="D60" s="589" t="s">
        <v>1055</v>
      </c>
      <c r="E60" s="561" t="s">
        <v>1045</v>
      </c>
      <c r="F60" s="589" t="s">
        <v>1046</v>
      </c>
      <c r="G60" s="561" t="s">
        <v>990</v>
      </c>
      <c r="H60" s="561" t="s">
        <v>991</v>
      </c>
      <c r="I60" s="575">
        <v>0.01</v>
      </c>
      <c r="J60" s="575">
        <v>600</v>
      </c>
      <c r="K60" s="576">
        <v>6</v>
      </c>
    </row>
    <row r="61" spans="1:11" ht="14.4" customHeight="1" x14ac:dyDescent="0.3">
      <c r="A61" s="557" t="s">
        <v>443</v>
      </c>
      <c r="B61" s="558" t="s">
        <v>444</v>
      </c>
      <c r="C61" s="561" t="s">
        <v>944</v>
      </c>
      <c r="D61" s="589" t="s">
        <v>1055</v>
      </c>
      <c r="E61" s="561" t="s">
        <v>1045</v>
      </c>
      <c r="F61" s="589" t="s">
        <v>1046</v>
      </c>
      <c r="G61" s="561" t="s">
        <v>992</v>
      </c>
      <c r="H61" s="561" t="s">
        <v>993</v>
      </c>
      <c r="I61" s="575">
        <v>2</v>
      </c>
      <c r="J61" s="575">
        <v>20</v>
      </c>
      <c r="K61" s="576">
        <v>40</v>
      </c>
    </row>
    <row r="62" spans="1:11" ht="14.4" customHeight="1" x14ac:dyDescent="0.3">
      <c r="A62" s="557" t="s">
        <v>443</v>
      </c>
      <c r="B62" s="558" t="s">
        <v>444</v>
      </c>
      <c r="C62" s="561" t="s">
        <v>944</v>
      </c>
      <c r="D62" s="589" t="s">
        <v>1055</v>
      </c>
      <c r="E62" s="561" t="s">
        <v>1045</v>
      </c>
      <c r="F62" s="589" t="s">
        <v>1046</v>
      </c>
      <c r="G62" s="561" t="s">
        <v>994</v>
      </c>
      <c r="H62" s="561" t="s">
        <v>995</v>
      </c>
      <c r="I62" s="575">
        <v>3.01</v>
      </c>
      <c r="J62" s="575">
        <v>100</v>
      </c>
      <c r="K62" s="576">
        <v>301</v>
      </c>
    </row>
    <row r="63" spans="1:11" ht="14.4" customHeight="1" x14ac:dyDescent="0.3">
      <c r="A63" s="557" t="s">
        <v>443</v>
      </c>
      <c r="B63" s="558" t="s">
        <v>444</v>
      </c>
      <c r="C63" s="561" t="s">
        <v>944</v>
      </c>
      <c r="D63" s="589" t="s">
        <v>1055</v>
      </c>
      <c r="E63" s="561" t="s">
        <v>1045</v>
      </c>
      <c r="F63" s="589" t="s">
        <v>1046</v>
      </c>
      <c r="G63" s="561" t="s">
        <v>1032</v>
      </c>
      <c r="H63" s="561" t="s">
        <v>1033</v>
      </c>
      <c r="I63" s="575">
        <v>2.17</v>
      </c>
      <c r="J63" s="575">
        <v>10</v>
      </c>
      <c r="K63" s="576">
        <v>21.7</v>
      </c>
    </row>
    <row r="64" spans="1:11" ht="14.4" customHeight="1" x14ac:dyDescent="0.3">
      <c r="A64" s="557" t="s">
        <v>443</v>
      </c>
      <c r="B64" s="558" t="s">
        <v>444</v>
      </c>
      <c r="C64" s="561" t="s">
        <v>944</v>
      </c>
      <c r="D64" s="589" t="s">
        <v>1055</v>
      </c>
      <c r="E64" s="561" t="s">
        <v>1045</v>
      </c>
      <c r="F64" s="589" t="s">
        <v>1046</v>
      </c>
      <c r="G64" s="561" t="s">
        <v>1032</v>
      </c>
      <c r="H64" s="561" t="s">
        <v>1034</v>
      </c>
      <c r="I64" s="575">
        <v>2.17</v>
      </c>
      <c r="J64" s="575">
        <v>10</v>
      </c>
      <c r="K64" s="576">
        <v>21.7</v>
      </c>
    </row>
    <row r="65" spans="1:11" ht="14.4" customHeight="1" x14ac:dyDescent="0.3">
      <c r="A65" s="557" t="s">
        <v>443</v>
      </c>
      <c r="B65" s="558" t="s">
        <v>444</v>
      </c>
      <c r="C65" s="561" t="s">
        <v>944</v>
      </c>
      <c r="D65" s="589" t="s">
        <v>1055</v>
      </c>
      <c r="E65" s="561" t="s">
        <v>1045</v>
      </c>
      <c r="F65" s="589" t="s">
        <v>1046</v>
      </c>
      <c r="G65" s="561" t="s">
        <v>998</v>
      </c>
      <c r="H65" s="561" t="s">
        <v>999</v>
      </c>
      <c r="I65" s="575">
        <v>2.6266666666666669</v>
      </c>
      <c r="J65" s="575">
        <v>350</v>
      </c>
      <c r="K65" s="576">
        <v>920</v>
      </c>
    </row>
    <row r="66" spans="1:11" ht="14.4" customHeight="1" x14ac:dyDescent="0.3">
      <c r="A66" s="557" t="s">
        <v>443</v>
      </c>
      <c r="B66" s="558" t="s">
        <v>444</v>
      </c>
      <c r="C66" s="561" t="s">
        <v>944</v>
      </c>
      <c r="D66" s="589" t="s">
        <v>1055</v>
      </c>
      <c r="E66" s="561" t="s">
        <v>1045</v>
      </c>
      <c r="F66" s="589" t="s">
        <v>1046</v>
      </c>
      <c r="G66" s="561" t="s">
        <v>1035</v>
      </c>
      <c r="H66" s="561" t="s">
        <v>1036</v>
      </c>
      <c r="I66" s="575">
        <v>5.13</v>
      </c>
      <c r="J66" s="575">
        <v>5</v>
      </c>
      <c r="K66" s="576">
        <v>25.65</v>
      </c>
    </row>
    <row r="67" spans="1:11" ht="14.4" customHeight="1" x14ac:dyDescent="0.3">
      <c r="A67" s="557" t="s">
        <v>443</v>
      </c>
      <c r="B67" s="558" t="s">
        <v>444</v>
      </c>
      <c r="C67" s="561" t="s">
        <v>944</v>
      </c>
      <c r="D67" s="589" t="s">
        <v>1055</v>
      </c>
      <c r="E67" s="561" t="s">
        <v>1045</v>
      </c>
      <c r="F67" s="589" t="s">
        <v>1046</v>
      </c>
      <c r="G67" s="561" t="s">
        <v>1004</v>
      </c>
      <c r="H67" s="561" t="s">
        <v>1005</v>
      </c>
      <c r="I67" s="575">
        <v>2.5099999999999998</v>
      </c>
      <c r="J67" s="575">
        <v>100</v>
      </c>
      <c r="K67" s="576">
        <v>251</v>
      </c>
    </row>
    <row r="68" spans="1:11" ht="14.4" customHeight="1" x14ac:dyDescent="0.3">
      <c r="A68" s="557" t="s">
        <v>443</v>
      </c>
      <c r="B68" s="558" t="s">
        <v>444</v>
      </c>
      <c r="C68" s="561" t="s">
        <v>944</v>
      </c>
      <c r="D68" s="589" t="s">
        <v>1055</v>
      </c>
      <c r="E68" s="561" t="s">
        <v>1045</v>
      </c>
      <c r="F68" s="589" t="s">
        <v>1046</v>
      </c>
      <c r="G68" s="561" t="s">
        <v>1006</v>
      </c>
      <c r="H68" s="561" t="s">
        <v>1007</v>
      </c>
      <c r="I68" s="575">
        <v>21.23</v>
      </c>
      <c r="J68" s="575">
        <v>10</v>
      </c>
      <c r="K68" s="576">
        <v>212.3</v>
      </c>
    </row>
    <row r="69" spans="1:11" ht="14.4" customHeight="1" x14ac:dyDescent="0.3">
      <c r="A69" s="557" t="s">
        <v>443</v>
      </c>
      <c r="B69" s="558" t="s">
        <v>444</v>
      </c>
      <c r="C69" s="561" t="s">
        <v>944</v>
      </c>
      <c r="D69" s="589" t="s">
        <v>1055</v>
      </c>
      <c r="E69" s="561" t="s">
        <v>1045</v>
      </c>
      <c r="F69" s="589" t="s">
        <v>1046</v>
      </c>
      <c r="G69" s="561" t="s">
        <v>1037</v>
      </c>
      <c r="H69" s="561" t="s">
        <v>1038</v>
      </c>
      <c r="I69" s="575">
        <v>21.23</v>
      </c>
      <c r="J69" s="575">
        <v>10</v>
      </c>
      <c r="K69" s="576">
        <v>212.3</v>
      </c>
    </row>
    <row r="70" spans="1:11" ht="14.4" customHeight="1" x14ac:dyDescent="0.3">
      <c r="A70" s="557" t="s">
        <v>443</v>
      </c>
      <c r="B70" s="558" t="s">
        <v>444</v>
      </c>
      <c r="C70" s="561" t="s">
        <v>944</v>
      </c>
      <c r="D70" s="589" t="s">
        <v>1055</v>
      </c>
      <c r="E70" s="561" t="s">
        <v>1045</v>
      </c>
      <c r="F70" s="589" t="s">
        <v>1046</v>
      </c>
      <c r="G70" s="561" t="s">
        <v>1039</v>
      </c>
      <c r="H70" s="561" t="s">
        <v>1040</v>
      </c>
      <c r="I70" s="575">
        <v>4.62</v>
      </c>
      <c r="J70" s="575">
        <v>5</v>
      </c>
      <c r="K70" s="576">
        <v>23.1</v>
      </c>
    </row>
    <row r="71" spans="1:11" ht="14.4" customHeight="1" x14ac:dyDescent="0.3">
      <c r="A71" s="557" t="s">
        <v>443</v>
      </c>
      <c r="B71" s="558" t="s">
        <v>444</v>
      </c>
      <c r="C71" s="561" t="s">
        <v>944</v>
      </c>
      <c r="D71" s="589" t="s">
        <v>1055</v>
      </c>
      <c r="E71" s="561" t="s">
        <v>1045</v>
      </c>
      <c r="F71" s="589" t="s">
        <v>1046</v>
      </c>
      <c r="G71" s="561" t="s">
        <v>1010</v>
      </c>
      <c r="H71" s="561" t="s">
        <v>1011</v>
      </c>
      <c r="I71" s="575">
        <v>2.56</v>
      </c>
      <c r="J71" s="575">
        <v>200</v>
      </c>
      <c r="K71" s="576">
        <v>513</v>
      </c>
    </row>
    <row r="72" spans="1:11" ht="14.4" customHeight="1" x14ac:dyDescent="0.3">
      <c r="A72" s="557" t="s">
        <v>443</v>
      </c>
      <c r="B72" s="558" t="s">
        <v>444</v>
      </c>
      <c r="C72" s="561" t="s">
        <v>944</v>
      </c>
      <c r="D72" s="589" t="s">
        <v>1055</v>
      </c>
      <c r="E72" s="561" t="s">
        <v>1049</v>
      </c>
      <c r="F72" s="589" t="s">
        <v>1050</v>
      </c>
      <c r="G72" s="561" t="s">
        <v>1014</v>
      </c>
      <c r="H72" s="561" t="s">
        <v>1015</v>
      </c>
      <c r="I72" s="575">
        <v>0.3</v>
      </c>
      <c r="J72" s="575">
        <v>1000</v>
      </c>
      <c r="K72" s="576">
        <v>300</v>
      </c>
    </row>
    <row r="73" spans="1:11" ht="14.4" customHeight="1" x14ac:dyDescent="0.3">
      <c r="A73" s="557" t="s">
        <v>443</v>
      </c>
      <c r="B73" s="558" t="s">
        <v>444</v>
      </c>
      <c r="C73" s="561" t="s">
        <v>944</v>
      </c>
      <c r="D73" s="589" t="s">
        <v>1055</v>
      </c>
      <c r="E73" s="561" t="s">
        <v>1049</v>
      </c>
      <c r="F73" s="589" t="s">
        <v>1050</v>
      </c>
      <c r="G73" s="561" t="s">
        <v>1041</v>
      </c>
      <c r="H73" s="561" t="s">
        <v>1042</v>
      </c>
      <c r="I73" s="575">
        <v>0.48</v>
      </c>
      <c r="J73" s="575">
        <v>200</v>
      </c>
      <c r="K73" s="576">
        <v>96</v>
      </c>
    </row>
    <row r="74" spans="1:11" ht="14.4" customHeight="1" x14ac:dyDescent="0.3">
      <c r="A74" s="557" t="s">
        <v>443</v>
      </c>
      <c r="B74" s="558" t="s">
        <v>444</v>
      </c>
      <c r="C74" s="561" t="s">
        <v>944</v>
      </c>
      <c r="D74" s="589" t="s">
        <v>1055</v>
      </c>
      <c r="E74" s="561" t="s">
        <v>1049</v>
      </c>
      <c r="F74" s="589" t="s">
        <v>1050</v>
      </c>
      <c r="G74" s="561" t="s">
        <v>1018</v>
      </c>
      <c r="H74" s="561" t="s">
        <v>1019</v>
      </c>
      <c r="I74" s="575">
        <v>1.8</v>
      </c>
      <c r="J74" s="575">
        <v>200</v>
      </c>
      <c r="K74" s="576">
        <v>360</v>
      </c>
    </row>
    <row r="75" spans="1:11" ht="14.4" customHeight="1" thickBot="1" x14ac:dyDescent="0.35">
      <c r="A75" s="565" t="s">
        <v>443</v>
      </c>
      <c r="B75" s="566" t="s">
        <v>444</v>
      </c>
      <c r="C75" s="569" t="s">
        <v>944</v>
      </c>
      <c r="D75" s="590" t="s">
        <v>1055</v>
      </c>
      <c r="E75" s="569" t="s">
        <v>1051</v>
      </c>
      <c r="F75" s="590" t="s">
        <v>1052</v>
      </c>
      <c r="G75" s="569" t="s">
        <v>1022</v>
      </c>
      <c r="H75" s="569" t="s">
        <v>1023</v>
      </c>
      <c r="I75" s="577">
        <v>0.71</v>
      </c>
      <c r="J75" s="577">
        <v>800</v>
      </c>
      <c r="K75" s="578">
        <v>568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3" width="13.109375" hidden="1" customWidth="1"/>
    <col min="34" max="34" width="13.109375" customWidth="1"/>
  </cols>
  <sheetData>
    <row r="1" spans="1:35" ht="18.600000000000001" thickBot="1" x14ac:dyDescent="0.4">
      <c r="A1" s="399" t="s">
        <v>107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</row>
    <row r="2" spans="1:35" ht="15" thickBot="1" x14ac:dyDescent="0.35">
      <c r="A2" s="239" t="s">
        <v>286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</row>
    <row r="3" spans="1:35" x14ac:dyDescent="0.3">
      <c r="A3" s="258" t="s">
        <v>209</v>
      </c>
      <c r="B3" s="400" t="s">
        <v>190</v>
      </c>
      <c r="C3" s="241">
        <v>0</v>
      </c>
      <c r="D3" s="242">
        <v>101</v>
      </c>
      <c r="E3" s="242">
        <v>102</v>
      </c>
      <c r="F3" s="261">
        <v>305</v>
      </c>
      <c r="G3" s="261">
        <v>306</v>
      </c>
      <c r="H3" s="261">
        <v>407</v>
      </c>
      <c r="I3" s="261">
        <v>408</v>
      </c>
      <c r="J3" s="261">
        <v>409</v>
      </c>
      <c r="K3" s="261">
        <v>410</v>
      </c>
      <c r="L3" s="261">
        <v>415</v>
      </c>
      <c r="M3" s="261">
        <v>416</v>
      </c>
      <c r="N3" s="261">
        <v>418</v>
      </c>
      <c r="O3" s="261">
        <v>419</v>
      </c>
      <c r="P3" s="261">
        <v>420</v>
      </c>
      <c r="Q3" s="261">
        <v>421</v>
      </c>
      <c r="R3" s="261">
        <v>522</v>
      </c>
      <c r="S3" s="261">
        <v>523</v>
      </c>
      <c r="T3" s="261">
        <v>524</v>
      </c>
      <c r="U3" s="261">
        <v>525</v>
      </c>
      <c r="V3" s="261">
        <v>526</v>
      </c>
      <c r="W3" s="261">
        <v>527</v>
      </c>
      <c r="X3" s="261">
        <v>528</v>
      </c>
      <c r="Y3" s="261">
        <v>629</v>
      </c>
      <c r="Z3" s="261">
        <v>630</v>
      </c>
      <c r="AA3" s="261">
        <v>636</v>
      </c>
      <c r="AB3" s="261">
        <v>637</v>
      </c>
      <c r="AC3" s="261">
        <v>640</v>
      </c>
      <c r="AD3" s="261">
        <v>642</v>
      </c>
      <c r="AE3" s="261">
        <v>743</v>
      </c>
      <c r="AF3" s="242">
        <v>745</v>
      </c>
      <c r="AG3" s="242">
        <v>746</v>
      </c>
      <c r="AH3" s="600">
        <v>930</v>
      </c>
      <c r="AI3" s="616"/>
    </row>
    <row r="4" spans="1:35" ht="36.6" outlineLevel="1" thickBot="1" x14ac:dyDescent="0.35">
      <c r="A4" s="259">
        <v>2015</v>
      </c>
      <c r="B4" s="401"/>
      <c r="C4" s="243" t="s">
        <v>191</v>
      </c>
      <c r="D4" s="244" t="s">
        <v>192</v>
      </c>
      <c r="E4" s="244" t="s">
        <v>193</v>
      </c>
      <c r="F4" s="262" t="s">
        <v>221</v>
      </c>
      <c r="G4" s="262" t="s">
        <v>222</v>
      </c>
      <c r="H4" s="262" t="s">
        <v>284</v>
      </c>
      <c r="I4" s="262" t="s">
        <v>223</v>
      </c>
      <c r="J4" s="262" t="s">
        <v>224</v>
      </c>
      <c r="K4" s="262" t="s">
        <v>225</v>
      </c>
      <c r="L4" s="262" t="s">
        <v>226</v>
      </c>
      <c r="M4" s="262" t="s">
        <v>227</v>
      </c>
      <c r="N4" s="262" t="s">
        <v>228</v>
      </c>
      <c r="O4" s="262" t="s">
        <v>229</v>
      </c>
      <c r="P4" s="262" t="s">
        <v>230</v>
      </c>
      <c r="Q4" s="262" t="s">
        <v>231</v>
      </c>
      <c r="R4" s="262" t="s">
        <v>232</v>
      </c>
      <c r="S4" s="262" t="s">
        <v>233</v>
      </c>
      <c r="T4" s="262" t="s">
        <v>234</v>
      </c>
      <c r="U4" s="262" t="s">
        <v>235</v>
      </c>
      <c r="V4" s="262" t="s">
        <v>236</v>
      </c>
      <c r="W4" s="262" t="s">
        <v>237</v>
      </c>
      <c r="X4" s="262" t="s">
        <v>246</v>
      </c>
      <c r="Y4" s="262" t="s">
        <v>238</v>
      </c>
      <c r="Z4" s="262" t="s">
        <v>247</v>
      </c>
      <c r="AA4" s="262" t="s">
        <v>239</v>
      </c>
      <c r="AB4" s="262" t="s">
        <v>240</v>
      </c>
      <c r="AC4" s="262" t="s">
        <v>241</v>
      </c>
      <c r="AD4" s="262" t="s">
        <v>242</v>
      </c>
      <c r="AE4" s="262" t="s">
        <v>243</v>
      </c>
      <c r="AF4" s="244" t="s">
        <v>244</v>
      </c>
      <c r="AG4" s="244" t="s">
        <v>245</v>
      </c>
      <c r="AH4" s="601" t="s">
        <v>211</v>
      </c>
      <c r="AI4" s="616"/>
    </row>
    <row r="5" spans="1:35" x14ac:dyDescent="0.3">
      <c r="A5" s="245" t="s">
        <v>194</v>
      </c>
      <c r="B5" s="281"/>
      <c r="C5" s="282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602"/>
      <c r="AI5" s="616"/>
    </row>
    <row r="6" spans="1:35" ht="15" collapsed="1" thickBot="1" x14ac:dyDescent="0.35">
      <c r="A6" s="246" t="s">
        <v>73</v>
      </c>
      <c r="B6" s="284">
        <f xml:space="preserve">
TRUNC(IF($A$4&lt;=12,SUMIFS('ON Data'!F:F,'ON Data'!$D:$D,$A$4,'ON Data'!$E:$E,1),SUMIFS('ON Data'!F:F,'ON Data'!$E:$E,1)/'ON Data'!$D$3),1)</f>
        <v>11.5</v>
      </c>
      <c r="C6" s="285">
        <f xml:space="preserve">
TRUNC(IF($A$4&lt;=12,SUMIFS('ON Data'!G:G,'ON Data'!$D:$D,$A$4,'ON Data'!$E:$E,1),SUMIFS('ON Data'!G:G,'ON Data'!$E:$E,1)/'ON Data'!$D$3),1)</f>
        <v>0</v>
      </c>
      <c r="D6" s="286">
        <f xml:space="preserve">
TRUNC(IF($A$4&lt;=12,SUMIFS('ON Data'!H:H,'ON Data'!$D:$D,$A$4,'ON Data'!$E:$E,1),SUMIFS('ON Data'!H:H,'ON Data'!$E:$E,1)/'ON Data'!$D$3),1)</f>
        <v>4.3</v>
      </c>
      <c r="E6" s="286">
        <f xml:space="preserve">
TRUNC(IF($A$4&lt;=12,SUMIFS('ON Data'!I:I,'ON Data'!$D:$D,$A$4,'ON Data'!$E:$E,1),SUMIFS('ON Data'!I:I,'ON Data'!$E:$E,1)/'ON Data'!$D$3),1)</f>
        <v>0</v>
      </c>
      <c r="F6" s="286">
        <f xml:space="preserve">
TRUNC(IF($A$4&lt;=12,SUMIFS('ON Data'!K:K,'ON Data'!$D:$D,$A$4,'ON Data'!$E:$E,1),SUMIFS('ON Data'!K:K,'ON Data'!$E:$E,1)/'ON Data'!$D$3),1)</f>
        <v>5.0999999999999996</v>
      </c>
      <c r="G6" s="286">
        <f xml:space="preserve">
TRUNC(IF($A$4&lt;=12,SUMIFS('ON Data'!L:L,'ON Data'!$D:$D,$A$4,'ON Data'!$E:$E,1),SUMIFS('ON Data'!L:L,'ON Data'!$E:$E,1)/'ON Data'!$D$3),1)</f>
        <v>0</v>
      </c>
      <c r="H6" s="286">
        <f xml:space="preserve">
TRUNC(IF($A$4&lt;=12,SUMIFS('ON Data'!M:M,'ON Data'!$D:$D,$A$4,'ON Data'!$E:$E,1),SUMIFS('ON Data'!M:M,'ON Data'!$E:$E,1)/'ON Data'!$D$3),1)</f>
        <v>0</v>
      </c>
      <c r="I6" s="286">
        <f xml:space="preserve">
TRUNC(IF($A$4&lt;=12,SUMIFS('ON Data'!N:N,'ON Data'!$D:$D,$A$4,'ON Data'!$E:$E,1),SUMIFS('ON Data'!N:N,'ON Data'!$E:$E,1)/'ON Data'!$D$3),1)</f>
        <v>0</v>
      </c>
      <c r="J6" s="286">
        <f xml:space="preserve">
TRUNC(IF($A$4&lt;=12,SUMIFS('ON Data'!O:O,'ON Data'!$D:$D,$A$4,'ON Data'!$E:$E,1),SUMIFS('ON Data'!O:O,'ON Data'!$E:$E,1)/'ON Data'!$D$3),1)</f>
        <v>0</v>
      </c>
      <c r="K6" s="286">
        <f xml:space="preserve">
TRUNC(IF($A$4&lt;=12,SUMIFS('ON Data'!P:P,'ON Data'!$D:$D,$A$4,'ON Data'!$E:$E,1),SUMIFS('ON Data'!P:P,'ON Data'!$E:$E,1)/'ON Data'!$D$3),1)</f>
        <v>0</v>
      </c>
      <c r="L6" s="286">
        <f xml:space="preserve">
TRUNC(IF($A$4&lt;=12,SUMIFS('ON Data'!Q:Q,'ON Data'!$D:$D,$A$4,'ON Data'!$E:$E,1),SUMIFS('ON Data'!Q:Q,'ON Data'!$E:$E,1)/'ON Data'!$D$3),1)</f>
        <v>0</v>
      </c>
      <c r="M6" s="286">
        <f xml:space="preserve">
TRUNC(IF($A$4&lt;=12,SUMIFS('ON Data'!R:R,'ON Data'!$D:$D,$A$4,'ON Data'!$E:$E,1),SUMIFS('ON Data'!R:R,'ON Data'!$E:$E,1)/'ON Data'!$D$3),1)</f>
        <v>0</v>
      </c>
      <c r="N6" s="286">
        <f xml:space="preserve">
TRUNC(IF($A$4&lt;=12,SUMIFS('ON Data'!S:S,'ON Data'!$D:$D,$A$4,'ON Data'!$E:$E,1),SUMIFS('ON Data'!S:S,'ON Data'!$E:$E,1)/'ON Data'!$D$3),1)</f>
        <v>0</v>
      </c>
      <c r="O6" s="286">
        <f xml:space="preserve">
TRUNC(IF($A$4&lt;=12,SUMIFS('ON Data'!T:T,'ON Data'!$D:$D,$A$4,'ON Data'!$E:$E,1),SUMIFS('ON Data'!T:T,'ON Data'!$E:$E,1)/'ON Data'!$D$3),1)</f>
        <v>0</v>
      </c>
      <c r="P6" s="286">
        <f xml:space="preserve">
TRUNC(IF($A$4&lt;=12,SUMIFS('ON Data'!U:U,'ON Data'!$D:$D,$A$4,'ON Data'!$E:$E,1),SUMIFS('ON Data'!U:U,'ON Data'!$E:$E,1)/'ON Data'!$D$3),1)</f>
        <v>0</v>
      </c>
      <c r="Q6" s="286">
        <f xml:space="preserve">
TRUNC(IF($A$4&lt;=12,SUMIFS('ON Data'!V:V,'ON Data'!$D:$D,$A$4,'ON Data'!$E:$E,1),SUMIFS('ON Data'!V:V,'ON Data'!$E:$E,1)/'ON Data'!$D$3),1)</f>
        <v>0</v>
      </c>
      <c r="R6" s="286">
        <f xml:space="preserve">
TRUNC(IF($A$4&lt;=12,SUMIFS('ON Data'!W:W,'ON Data'!$D:$D,$A$4,'ON Data'!$E:$E,1),SUMIFS('ON Data'!W:W,'ON Data'!$E:$E,1)/'ON Data'!$D$3),1)</f>
        <v>0</v>
      </c>
      <c r="S6" s="286">
        <f xml:space="preserve">
TRUNC(IF($A$4&lt;=12,SUMIFS('ON Data'!X:X,'ON Data'!$D:$D,$A$4,'ON Data'!$E:$E,1),SUMIFS('ON Data'!X:X,'ON Data'!$E:$E,1)/'ON Data'!$D$3),1)</f>
        <v>0</v>
      </c>
      <c r="T6" s="286">
        <f xml:space="preserve">
TRUNC(IF($A$4&lt;=12,SUMIFS('ON Data'!Y:Y,'ON Data'!$D:$D,$A$4,'ON Data'!$E:$E,1),SUMIFS('ON Data'!Y:Y,'ON Data'!$E:$E,1)/'ON Data'!$D$3),1)</f>
        <v>0</v>
      </c>
      <c r="U6" s="286">
        <f xml:space="preserve">
TRUNC(IF($A$4&lt;=12,SUMIFS('ON Data'!Z:Z,'ON Data'!$D:$D,$A$4,'ON Data'!$E:$E,1),SUMIFS('ON Data'!Z:Z,'ON Data'!$E:$E,1)/'ON Data'!$D$3),1)</f>
        <v>0</v>
      </c>
      <c r="V6" s="286">
        <f xml:space="preserve">
TRUNC(IF($A$4&lt;=12,SUMIFS('ON Data'!AA:AA,'ON Data'!$D:$D,$A$4,'ON Data'!$E:$E,1),SUMIFS('ON Data'!AA:AA,'ON Data'!$E:$E,1)/'ON Data'!$D$3),1)</f>
        <v>0</v>
      </c>
      <c r="W6" s="286">
        <f xml:space="preserve">
TRUNC(IF($A$4&lt;=12,SUMIFS('ON Data'!AB:AB,'ON Data'!$D:$D,$A$4,'ON Data'!$E:$E,1),SUMIFS('ON Data'!AB:AB,'ON Data'!$E:$E,1)/'ON Data'!$D$3),1)</f>
        <v>0</v>
      </c>
      <c r="X6" s="286">
        <f xml:space="preserve">
TRUNC(IF($A$4&lt;=12,SUMIFS('ON Data'!AC:AC,'ON Data'!$D:$D,$A$4,'ON Data'!$E:$E,1),SUMIFS('ON Data'!AC:AC,'ON Data'!$E:$E,1)/'ON Data'!$D$3),1)</f>
        <v>0</v>
      </c>
      <c r="Y6" s="286">
        <f xml:space="preserve">
TRUNC(IF($A$4&lt;=12,SUMIFS('ON Data'!AD:AD,'ON Data'!$D:$D,$A$4,'ON Data'!$E:$E,1),SUMIFS('ON Data'!AD:AD,'ON Data'!$E:$E,1)/'ON Data'!$D$3),1)</f>
        <v>0</v>
      </c>
      <c r="Z6" s="286">
        <f xml:space="preserve">
TRUNC(IF($A$4&lt;=12,SUMIFS('ON Data'!AE:AE,'ON Data'!$D:$D,$A$4,'ON Data'!$E:$E,1),SUMIFS('ON Data'!AE:AE,'ON Data'!$E:$E,1)/'ON Data'!$D$3),1)</f>
        <v>0</v>
      </c>
      <c r="AA6" s="286">
        <f xml:space="preserve">
TRUNC(IF($A$4&lt;=12,SUMIFS('ON Data'!AF:AF,'ON Data'!$D:$D,$A$4,'ON Data'!$E:$E,1),SUMIFS('ON Data'!AF:AF,'ON Data'!$E:$E,1)/'ON Data'!$D$3),1)</f>
        <v>0</v>
      </c>
      <c r="AB6" s="286">
        <f xml:space="preserve">
TRUNC(IF($A$4&lt;=12,SUMIFS('ON Data'!AG:AG,'ON Data'!$D:$D,$A$4,'ON Data'!$E:$E,1),SUMIFS('ON Data'!AG:AG,'ON Data'!$E:$E,1)/'ON Data'!$D$3),1)</f>
        <v>0</v>
      </c>
      <c r="AC6" s="286">
        <f xml:space="preserve">
TRUNC(IF($A$4&lt;=12,SUMIFS('ON Data'!AH:AH,'ON Data'!$D:$D,$A$4,'ON Data'!$E:$E,1),SUMIFS('ON Data'!AH:AH,'ON Data'!$E:$E,1)/'ON Data'!$D$3),1)</f>
        <v>0</v>
      </c>
      <c r="AD6" s="286">
        <f xml:space="preserve">
TRUNC(IF($A$4&lt;=12,SUMIFS('ON Data'!AI:AI,'ON Data'!$D:$D,$A$4,'ON Data'!$E:$E,1),SUMIFS('ON Data'!AI:AI,'ON Data'!$E:$E,1)/'ON Data'!$D$3),1)</f>
        <v>0</v>
      </c>
      <c r="AE6" s="286">
        <f xml:space="preserve">
TRUNC(IF($A$4&lt;=12,SUMIFS('ON Data'!AJ:AJ,'ON Data'!$D:$D,$A$4,'ON Data'!$E:$E,1),SUMIFS('ON Data'!AJ:AJ,'ON Data'!$E:$E,1)/'ON Data'!$D$3),1)</f>
        <v>0</v>
      </c>
      <c r="AF6" s="286">
        <f xml:space="preserve">
TRUNC(IF($A$4&lt;=12,SUMIFS('ON Data'!AK:AK,'ON Data'!$D:$D,$A$4,'ON Data'!$E:$E,1),SUMIFS('ON Data'!AK:AK,'ON Data'!$E:$E,1)/'ON Data'!$D$3),1)</f>
        <v>0</v>
      </c>
      <c r="AG6" s="286">
        <f xml:space="preserve">
TRUNC(IF($A$4&lt;=12,SUMIFS('ON Data'!AL:AL,'ON Data'!$D:$D,$A$4,'ON Data'!$E:$E,1),SUMIFS('ON Data'!AL:AL,'ON Data'!$E:$E,1)/'ON Data'!$D$3),1)</f>
        <v>0</v>
      </c>
      <c r="AH6" s="603">
        <f xml:space="preserve">
TRUNC(IF($A$4&lt;=12,SUMIFS('ON Data'!AN:AN,'ON Data'!$D:$D,$A$4,'ON Data'!$E:$E,1),SUMIFS('ON Data'!AN:AN,'ON Data'!$E:$E,1)/'ON Data'!$D$3),1)</f>
        <v>2.1</v>
      </c>
      <c r="AI6" s="616"/>
    </row>
    <row r="7" spans="1:35" ht="15" hidden="1" outlineLevel="1" thickBot="1" x14ac:dyDescent="0.35">
      <c r="A7" s="246" t="s">
        <v>108</v>
      </c>
      <c r="B7" s="284"/>
      <c r="C7" s="287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603"/>
      <c r="AI7" s="616"/>
    </row>
    <row r="8" spans="1:35" ht="15" hidden="1" outlineLevel="1" thickBot="1" x14ac:dyDescent="0.35">
      <c r="A8" s="246" t="s">
        <v>75</v>
      </c>
      <c r="B8" s="284"/>
      <c r="C8" s="287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603"/>
      <c r="AI8" s="616"/>
    </row>
    <row r="9" spans="1:35" ht="15" hidden="1" outlineLevel="1" thickBot="1" x14ac:dyDescent="0.35">
      <c r="A9" s="247" t="s">
        <v>68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604"/>
      <c r="AI9" s="616"/>
    </row>
    <row r="10" spans="1:35" x14ac:dyDescent="0.3">
      <c r="A10" s="248" t="s">
        <v>195</v>
      </c>
      <c r="B10" s="263"/>
      <c r="C10" s="264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605"/>
      <c r="AI10" s="616"/>
    </row>
    <row r="11" spans="1:35" x14ac:dyDescent="0.3">
      <c r="A11" s="249" t="s">
        <v>196</v>
      </c>
      <c r="B11" s="266">
        <f xml:space="preserve">
IF($A$4&lt;=12,SUMIFS('ON Data'!F:F,'ON Data'!$D:$D,$A$4,'ON Data'!$E:$E,2),SUMIFS('ON Data'!F:F,'ON Data'!$E:$E,2))</f>
        <v>16190.08</v>
      </c>
      <c r="C11" s="267">
        <f xml:space="preserve">
IF($A$4&lt;=12,SUMIFS('ON Data'!G:G,'ON Data'!$D:$D,$A$4,'ON Data'!$E:$E,2),SUMIFS('ON Data'!G:G,'ON Data'!$E:$E,2))</f>
        <v>0</v>
      </c>
      <c r="D11" s="268">
        <f xml:space="preserve">
IF($A$4&lt;=12,SUMIFS('ON Data'!H:H,'ON Data'!$D:$D,$A$4,'ON Data'!$E:$E,2),SUMIFS('ON Data'!H:H,'ON Data'!$E:$E,2))</f>
        <v>6130</v>
      </c>
      <c r="E11" s="268">
        <f xml:space="preserve">
IF($A$4&lt;=12,SUMIFS('ON Data'!I:I,'ON Data'!$D:$D,$A$4,'ON Data'!$E:$E,2),SUMIFS('ON Data'!I:I,'ON Data'!$E:$E,2))</f>
        <v>0</v>
      </c>
      <c r="F11" s="268">
        <f xml:space="preserve">
IF($A$4&lt;=12,SUMIFS('ON Data'!K:K,'ON Data'!$D:$D,$A$4,'ON Data'!$E:$E,2),SUMIFS('ON Data'!K:K,'ON Data'!$E:$E,2))</f>
        <v>7244.08</v>
      </c>
      <c r="G11" s="268">
        <f xml:space="preserve">
IF($A$4&lt;=12,SUMIFS('ON Data'!L:L,'ON Data'!$D:$D,$A$4,'ON Data'!$E:$E,2),SUMIFS('ON Data'!L:L,'ON Data'!$E:$E,2))</f>
        <v>0</v>
      </c>
      <c r="H11" s="268">
        <f xml:space="preserve">
IF($A$4&lt;=12,SUMIFS('ON Data'!M:M,'ON Data'!$D:$D,$A$4,'ON Data'!$E:$E,2),SUMIFS('ON Data'!M:M,'ON Data'!$E:$E,2))</f>
        <v>0</v>
      </c>
      <c r="I11" s="268">
        <f xml:space="preserve">
IF($A$4&lt;=12,SUMIFS('ON Data'!N:N,'ON Data'!$D:$D,$A$4,'ON Data'!$E:$E,2),SUMIFS('ON Data'!N:N,'ON Data'!$E:$E,2))</f>
        <v>0</v>
      </c>
      <c r="J11" s="268">
        <f xml:space="preserve">
IF($A$4&lt;=12,SUMIFS('ON Data'!O:O,'ON Data'!$D:$D,$A$4,'ON Data'!$E:$E,2),SUMIFS('ON Data'!O:O,'ON Data'!$E:$E,2))</f>
        <v>0</v>
      </c>
      <c r="K11" s="268">
        <f xml:space="preserve">
IF($A$4&lt;=12,SUMIFS('ON Data'!P:P,'ON Data'!$D:$D,$A$4,'ON Data'!$E:$E,2),SUMIFS('ON Data'!P:P,'ON Data'!$E:$E,2))</f>
        <v>0</v>
      </c>
      <c r="L11" s="268">
        <f xml:space="preserve">
IF($A$4&lt;=12,SUMIFS('ON Data'!Q:Q,'ON Data'!$D:$D,$A$4,'ON Data'!$E:$E,2),SUMIFS('ON Data'!Q:Q,'ON Data'!$E:$E,2))</f>
        <v>0</v>
      </c>
      <c r="M11" s="268">
        <f xml:space="preserve">
IF($A$4&lt;=12,SUMIFS('ON Data'!R:R,'ON Data'!$D:$D,$A$4,'ON Data'!$E:$E,2),SUMIFS('ON Data'!R:R,'ON Data'!$E:$E,2))</f>
        <v>0</v>
      </c>
      <c r="N11" s="268">
        <f xml:space="preserve">
IF($A$4&lt;=12,SUMIFS('ON Data'!S:S,'ON Data'!$D:$D,$A$4,'ON Data'!$E:$E,2),SUMIFS('ON Data'!S:S,'ON Data'!$E:$E,2))</f>
        <v>0</v>
      </c>
      <c r="O11" s="268">
        <f xml:space="preserve">
IF($A$4&lt;=12,SUMIFS('ON Data'!T:T,'ON Data'!$D:$D,$A$4,'ON Data'!$E:$E,2),SUMIFS('ON Data'!T:T,'ON Data'!$E:$E,2))</f>
        <v>0</v>
      </c>
      <c r="P11" s="268">
        <f xml:space="preserve">
IF($A$4&lt;=12,SUMIFS('ON Data'!U:U,'ON Data'!$D:$D,$A$4,'ON Data'!$E:$E,2),SUMIFS('ON Data'!U:U,'ON Data'!$E:$E,2))</f>
        <v>0</v>
      </c>
      <c r="Q11" s="268">
        <f xml:space="preserve">
IF($A$4&lt;=12,SUMIFS('ON Data'!V:V,'ON Data'!$D:$D,$A$4,'ON Data'!$E:$E,2),SUMIFS('ON Data'!V:V,'ON Data'!$E:$E,2))</f>
        <v>0</v>
      </c>
      <c r="R11" s="268">
        <f xml:space="preserve">
IF($A$4&lt;=12,SUMIFS('ON Data'!W:W,'ON Data'!$D:$D,$A$4,'ON Data'!$E:$E,2),SUMIFS('ON Data'!W:W,'ON Data'!$E:$E,2))</f>
        <v>0</v>
      </c>
      <c r="S11" s="268">
        <f xml:space="preserve">
IF($A$4&lt;=12,SUMIFS('ON Data'!X:X,'ON Data'!$D:$D,$A$4,'ON Data'!$E:$E,2),SUMIFS('ON Data'!X:X,'ON Data'!$E:$E,2))</f>
        <v>0</v>
      </c>
      <c r="T11" s="268">
        <f xml:space="preserve">
IF($A$4&lt;=12,SUMIFS('ON Data'!Y:Y,'ON Data'!$D:$D,$A$4,'ON Data'!$E:$E,2),SUMIFS('ON Data'!Y:Y,'ON Data'!$E:$E,2))</f>
        <v>0</v>
      </c>
      <c r="U11" s="268">
        <f xml:space="preserve">
IF($A$4&lt;=12,SUMIFS('ON Data'!Z:Z,'ON Data'!$D:$D,$A$4,'ON Data'!$E:$E,2),SUMIFS('ON Data'!Z:Z,'ON Data'!$E:$E,2))</f>
        <v>0</v>
      </c>
      <c r="V11" s="268">
        <f xml:space="preserve">
IF($A$4&lt;=12,SUMIFS('ON Data'!AA:AA,'ON Data'!$D:$D,$A$4,'ON Data'!$E:$E,2),SUMIFS('ON Data'!AA:AA,'ON Data'!$E:$E,2))</f>
        <v>0</v>
      </c>
      <c r="W11" s="268">
        <f xml:space="preserve">
IF($A$4&lt;=12,SUMIFS('ON Data'!AB:AB,'ON Data'!$D:$D,$A$4,'ON Data'!$E:$E,2),SUMIFS('ON Data'!AB:AB,'ON Data'!$E:$E,2))</f>
        <v>0</v>
      </c>
      <c r="X11" s="268">
        <f xml:space="preserve">
IF($A$4&lt;=12,SUMIFS('ON Data'!AC:AC,'ON Data'!$D:$D,$A$4,'ON Data'!$E:$E,2),SUMIFS('ON Data'!AC:AC,'ON Data'!$E:$E,2))</f>
        <v>0</v>
      </c>
      <c r="Y11" s="268">
        <f xml:space="preserve">
IF($A$4&lt;=12,SUMIFS('ON Data'!AD:AD,'ON Data'!$D:$D,$A$4,'ON Data'!$E:$E,2),SUMIFS('ON Data'!AD:AD,'ON Data'!$E:$E,2))</f>
        <v>0</v>
      </c>
      <c r="Z11" s="268">
        <f xml:space="preserve">
IF($A$4&lt;=12,SUMIFS('ON Data'!AE:AE,'ON Data'!$D:$D,$A$4,'ON Data'!$E:$E,2),SUMIFS('ON Data'!AE:AE,'ON Data'!$E:$E,2))</f>
        <v>0</v>
      </c>
      <c r="AA11" s="268">
        <f xml:space="preserve">
IF($A$4&lt;=12,SUMIFS('ON Data'!AF:AF,'ON Data'!$D:$D,$A$4,'ON Data'!$E:$E,2),SUMIFS('ON Data'!AF:AF,'ON Data'!$E:$E,2))</f>
        <v>0</v>
      </c>
      <c r="AB11" s="268">
        <f xml:space="preserve">
IF($A$4&lt;=12,SUMIFS('ON Data'!AG:AG,'ON Data'!$D:$D,$A$4,'ON Data'!$E:$E,2),SUMIFS('ON Data'!AG:AG,'ON Data'!$E:$E,2))</f>
        <v>0</v>
      </c>
      <c r="AC11" s="268">
        <f xml:space="preserve">
IF($A$4&lt;=12,SUMIFS('ON Data'!AH:AH,'ON Data'!$D:$D,$A$4,'ON Data'!$E:$E,2),SUMIFS('ON Data'!AH:AH,'ON Data'!$E:$E,2))</f>
        <v>0</v>
      </c>
      <c r="AD11" s="268">
        <f xml:space="preserve">
IF($A$4&lt;=12,SUMIFS('ON Data'!AI:AI,'ON Data'!$D:$D,$A$4,'ON Data'!$E:$E,2),SUMIFS('ON Data'!AI:AI,'ON Data'!$E:$E,2))</f>
        <v>0</v>
      </c>
      <c r="AE11" s="268">
        <f xml:space="preserve">
IF($A$4&lt;=12,SUMIFS('ON Data'!AJ:AJ,'ON Data'!$D:$D,$A$4,'ON Data'!$E:$E,2),SUMIFS('ON Data'!AJ:AJ,'ON Data'!$E:$E,2))</f>
        <v>0</v>
      </c>
      <c r="AF11" s="268">
        <f xml:space="preserve">
IF($A$4&lt;=12,SUMIFS('ON Data'!AK:AK,'ON Data'!$D:$D,$A$4,'ON Data'!$E:$E,2),SUMIFS('ON Data'!AK:AK,'ON Data'!$E:$E,2))</f>
        <v>0</v>
      </c>
      <c r="AG11" s="268">
        <f xml:space="preserve">
IF($A$4&lt;=12,SUMIFS('ON Data'!AL:AL,'ON Data'!$D:$D,$A$4,'ON Data'!$E:$E,2),SUMIFS('ON Data'!AL:AL,'ON Data'!$E:$E,2))</f>
        <v>0</v>
      </c>
      <c r="AH11" s="606">
        <f xml:space="preserve">
IF($A$4&lt;=12,SUMIFS('ON Data'!AN:AN,'ON Data'!$D:$D,$A$4,'ON Data'!$E:$E,2),SUMIFS('ON Data'!AN:AN,'ON Data'!$E:$E,2))</f>
        <v>2816</v>
      </c>
      <c r="AI11" s="616"/>
    </row>
    <row r="12" spans="1:35" x14ac:dyDescent="0.3">
      <c r="A12" s="249" t="s">
        <v>197</v>
      </c>
      <c r="B12" s="266">
        <f xml:space="preserve">
IF($A$4&lt;=12,SUMIFS('ON Data'!F:F,'ON Data'!$D:$D,$A$4,'ON Data'!$E:$E,3),SUMIFS('ON Data'!F:F,'ON Data'!$E:$E,3))</f>
        <v>0</v>
      </c>
      <c r="C12" s="267">
        <f xml:space="preserve">
IF($A$4&lt;=12,SUMIFS('ON Data'!G:G,'ON Data'!$D:$D,$A$4,'ON Data'!$E:$E,3),SUMIFS('ON Data'!G:G,'ON Data'!$E:$E,3))</f>
        <v>0</v>
      </c>
      <c r="D12" s="268">
        <f xml:space="preserve">
IF($A$4&lt;=12,SUMIFS('ON Data'!H:H,'ON Data'!$D:$D,$A$4,'ON Data'!$E:$E,3),SUMIFS('ON Data'!H:H,'ON Data'!$E:$E,3))</f>
        <v>0</v>
      </c>
      <c r="E12" s="268">
        <f xml:space="preserve">
IF($A$4&lt;=12,SUMIFS('ON Data'!I:I,'ON Data'!$D:$D,$A$4,'ON Data'!$E:$E,3),SUMIFS('ON Data'!I:I,'ON Data'!$E:$E,3))</f>
        <v>0</v>
      </c>
      <c r="F12" s="268">
        <f xml:space="preserve">
IF($A$4&lt;=12,SUMIFS('ON Data'!K:K,'ON Data'!$D:$D,$A$4,'ON Data'!$E:$E,3),SUMIFS('ON Data'!K:K,'ON Data'!$E:$E,3))</f>
        <v>0</v>
      </c>
      <c r="G12" s="268">
        <f xml:space="preserve">
IF($A$4&lt;=12,SUMIFS('ON Data'!L:L,'ON Data'!$D:$D,$A$4,'ON Data'!$E:$E,3),SUMIFS('ON Data'!L:L,'ON Data'!$E:$E,3))</f>
        <v>0</v>
      </c>
      <c r="H12" s="268">
        <f xml:space="preserve">
IF($A$4&lt;=12,SUMIFS('ON Data'!M:M,'ON Data'!$D:$D,$A$4,'ON Data'!$E:$E,3),SUMIFS('ON Data'!M:M,'ON Data'!$E:$E,3))</f>
        <v>0</v>
      </c>
      <c r="I12" s="268">
        <f xml:space="preserve">
IF($A$4&lt;=12,SUMIFS('ON Data'!N:N,'ON Data'!$D:$D,$A$4,'ON Data'!$E:$E,3),SUMIFS('ON Data'!N:N,'ON Data'!$E:$E,3))</f>
        <v>0</v>
      </c>
      <c r="J12" s="268">
        <f xml:space="preserve">
IF($A$4&lt;=12,SUMIFS('ON Data'!O:O,'ON Data'!$D:$D,$A$4,'ON Data'!$E:$E,3),SUMIFS('ON Data'!O:O,'ON Data'!$E:$E,3))</f>
        <v>0</v>
      </c>
      <c r="K12" s="268">
        <f xml:space="preserve">
IF($A$4&lt;=12,SUMIFS('ON Data'!P:P,'ON Data'!$D:$D,$A$4,'ON Data'!$E:$E,3),SUMIFS('ON Data'!P:P,'ON Data'!$E:$E,3))</f>
        <v>0</v>
      </c>
      <c r="L12" s="268">
        <f xml:space="preserve">
IF($A$4&lt;=12,SUMIFS('ON Data'!Q:Q,'ON Data'!$D:$D,$A$4,'ON Data'!$E:$E,3),SUMIFS('ON Data'!Q:Q,'ON Data'!$E:$E,3))</f>
        <v>0</v>
      </c>
      <c r="M12" s="268">
        <f xml:space="preserve">
IF($A$4&lt;=12,SUMIFS('ON Data'!R:R,'ON Data'!$D:$D,$A$4,'ON Data'!$E:$E,3),SUMIFS('ON Data'!R:R,'ON Data'!$E:$E,3))</f>
        <v>0</v>
      </c>
      <c r="N12" s="268">
        <f xml:space="preserve">
IF($A$4&lt;=12,SUMIFS('ON Data'!S:S,'ON Data'!$D:$D,$A$4,'ON Data'!$E:$E,3),SUMIFS('ON Data'!S:S,'ON Data'!$E:$E,3))</f>
        <v>0</v>
      </c>
      <c r="O12" s="268">
        <f xml:space="preserve">
IF($A$4&lt;=12,SUMIFS('ON Data'!T:T,'ON Data'!$D:$D,$A$4,'ON Data'!$E:$E,3),SUMIFS('ON Data'!T:T,'ON Data'!$E:$E,3))</f>
        <v>0</v>
      </c>
      <c r="P12" s="268">
        <f xml:space="preserve">
IF($A$4&lt;=12,SUMIFS('ON Data'!U:U,'ON Data'!$D:$D,$A$4,'ON Data'!$E:$E,3),SUMIFS('ON Data'!U:U,'ON Data'!$E:$E,3))</f>
        <v>0</v>
      </c>
      <c r="Q12" s="268">
        <f xml:space="preserve">
IF($A$4&lt;=12,SUMIFS('ON Data'!V:V,'ON Data'!$D:$D,$A$4,'ON Data'!$E:$E,3),SUMIFS('ON Data'!V:V,'ON Data'!$E:$E,3))</f>
        <v>0</v>
      </c>
      <c r="R12" s="268">
        <f xml:space="preserve">
IF($A$4&lt;=12,SUMIFS('ON Data'!W:W,'ON Data'!$D:$D,$A$4,'ON Data'!$E:$E,3),SUMIFS('ON Data'!W:W,'ON Data'!$E:$E,3))</f>
        <v>0</v>
      </c>
      <c r="S12" s="268">
        <f xml:space="preserve">
IF($A$4&lt;=12,SUMIFS('ON Data'!X:X,'ON Data'!$D:$D,$A$4,'ON Data'!$E:$E,3),SUMIFS('ON Data'!X:X,'ON Data'!$E:$E,3))</f>
        <v>0</v>
      </c>
      <c r="T12" s="268">
        <f xml:space="preserve">
IF($A$4&lt;=12,SUMIFS('ON Data'!Y:Y,'ON Data'!$D:$D,$A$4,'ON Data'!$E:$E,3),SUMIFS('ON Data'!Y:Y,'ON Data'!$E:$E,3))</f>
        <v>0</v>
      </c>
      <c r="U12" s="268">
        <f xml:space="preserve">
IF($A$4&lt;=12,SUMIFS('ON Data'!Z:Z,'ON Data'!$D:$D,$A$4,'ON Data'!$E:$E,3),SUMIFS('ON Data'!Z:Z,'ON Data'!$E:$E,3))</f>
        <v>0</v>
      </c>
      <c r="V12" s="268">
        <f xml:space="preserve">
IF($A$4&lt;=12,SUMIFS('ON Data'!AA:AA,'ON Data'!$D:$D,$A$4,'ON Data'!$E:$E,3),SUMIFS('ON Data'!AA:AA,'ON Data'!$E:$E,3))</f>
        <v>0</v>
      </c>
      <c r="W12" s="268">
        <f xml:space="preserve">
IF($A$4&lt;=12,SUMIFS('ON Data'!AB:AB,'ON Data'!$D:$D,$A$4,'ON Data'!$E:$E,3),SUMIFS('ON Data'!AB:AB,'ON Data'!$E:$E,3))</f>
        <v>0</v>
      </c>
      <c r="X12" s="268">
        <f xml:space="preserve">
IF($A$4&lt;=12,SUMIFS('ON Data'!AC:AC,'ON Data'!$D:$D,$A$4,'ON Data'!$E:$E,3),SUMIFS('ON Data'!AC:AC,'ON Data'!$E:$E,3))</f>
        <v>0</v>
      </c>
      <c r="Y12" s="268">
        <f xml:space="preserve">
IF($A$4&lt;=12,SUMIFS('ON Data'!AD:AD,'ON Data'!$D:$D,$A$4,'ON Data'!$E:$E,3),SUMIFS('ON Data'!AD:AD,'ON Data'!$E:$E,3))</f>
        <v>0</v>
      </c>
      <c r="Z12" s="268">
        <f xml:space="preserve">
IF($A$4&lt;=12,SUMIFS('ON Data'!AE:AE,'ON Data'!$D:$D,$A$4,'ON Data'!$E:$E,3),SUMIFS('ON Data'!AE:AE,'ON Data'!$E:$E,3))</f>
        <v>0</v>
      </c>
      <c r="AA12" s="268">
        <f xml:space="preserve">
IF($A$4&lt;=12,SUMIFS('ON Data'!AF:AF,'ON Data'!$D:$D,$A$4,'ON Data'!$E:$E,3),SUMIFS('ON Data'!AF:AF,'ON Data'!$E:$E,3))</f>
        <v>0</v>
      </c>
      <c r="AB12" s="268">
        <f xml:space="preserve">
IF($A$4&lt;=12,SUMIFS('ON Data'!AG:AG,'ON Data'!$D:$D,$A$4,'ON Data'!$E:$E,3),SUMIFS('ON Data'!AG:AG,'ON Data'!$E:$E,3))</f>
        <v>0</v>
      </c>
      <c r="AC12" s="268">
        <f xml:space="preserve">
IF($A$4&lt;=12,SUMIFS('ON Data'!AH:AH,'ON Data'!$D:$D,$A$4,'ON Data'!$E:$E,3),SUMIFS('ON Data'!AH:AH,'ON Data'!$E:$E,3))</f>
        <v>0</v>
      </c>
      <c r="AD12" s="268">
        <f xml:space="preserve">
IF($A$4&lt;=12,SUMIFS('ON Data'!AI:AI,'ON Data'!$D:$D,$A$4,'ON Data'!$E:$E,3),SUMIFS('ON Data'!AI:AI,'ON Data'!$E:$E,3))</f>
        <v>0</v>
      </c>
      <c r="AE12" s="268">
        <f xml:space="preserve">
IF($A$4&lt;=12,SUMIFS('ON Data'!AJ:AJ,'ON Data'!$D:$D,$A$4,'ON Data'!$E:$E,3),SUMIFS('ON Data'!AJ:AJ,'ON Data'!$E:$E,3))</f>
        <v>0</v>
      </c>
      <c r="AF12" s="268">
        <f xml:space="preserve">
IF($A$4&lt;=12,SUMIFS('ON Data'!AK:AK,'ON Data'!$D:$D,$A$4,'ON Data'!$E:$E,3),SUMIFS('ON Data'!AK:AK,'ON Data'!$E:$E,3))</f>
        <v>0</v>
      </c>
      <c r="AG12" s="268">
        <f xml:space="preserve">
IF($A$4&lt;=12,SUMIFS('ON Data'!AL:AL,'ON Data'!$D:$D,$A$4,'ON Data'!$E:$E,3),SUMIFS('ON Data'!AL:AL,'ON Data'!$E:$E,3))</f>
        <v>0</v>
      </c>
      <c r="AH12" s="606">
        <f xml:space="preserve">
IF($A$4&lt;=12,SUMIFS('ON Data'!AN:AN,'ON Data'!$D:$D,$A$4,'ON Data'!$E:$E,3),SUMIFS('ON Data'!AN:AN,'ON Data'!$E:$E,3))</f>
        <v>0</v>
      </c>
      <c r="AI12" s="616"/>
    </row>
    <row r="13" spans="1:35" x14ac:dyDescent="0.3">
      <c r="A13" s="249" t="s">
        <v>204</v>
      </c>
      <c r="B13" s="266">
        <f xml:space="preserve">
IF($A$4&lt;=12,SUMIFS('ON Data'!F:F,'ON Data'!$D:$D,$A$4,'ON Data'!$E:$E,4),SUMIFS('ON Data'!F:F,'ON Data'!$E:$E,4))</f>
        <v>0</v>
      </c>
      <c r="C13" s="267">
        <f xml:space="preserve">
IF($A$4&lt;=12,SUMIFS('ON Data'!G:G,'ON Data'!$D:$D,$A$4,'ON Data'!$E:$E,4),SUMIFS('ON Data'!G:G,'ON Data'!$E:$E,4))</f>
        <v>0</v>
      </c>
      <c r="D13" s="268">
        <f xml:space="preserve">
IF($A$4&lt;=12,SUMIFS('ON Data'!H:H,'ON Data'!$D:$D,$A$4,'ON Data'!$E:$E,4),SUMIFS('ON Data'!H:H,'ON Data'!$E:$E,4))</f>
        <v>0</v>
      </c>
      <c r="E13" s="268">
        <f xml:space="preserve">
IF($A$4&lt;=12,SUMIFS('ON Data'!I:I,'ON Data'!$D:$D,$A$4,'ON Data'!$E:$E,4),SUMIFS('ON Data'!I:I,'ON Data'!$E:$E,4))</f>
        <v>0</v>
      </c>
      <c r="F13" s="268">
        <f xml:space="preserve">
IF($A$4&lt;=12,SUMIFS('ON Data'!K:K,'ON Data'!$D:$D,$A$4,'ON Data'!$E:$E,4),SUMIFS('ON Data'!K:K,'ON Data'!$E:$E,4))</f>
        <v>0</v>
      </c>
      <c r="G13" s="268">
        <f xml:space="preserve">
IF($A$4&lt;=12,SUMIFS('ON Data'!L:L,'ON Data'!$D:$D,$A$4,'ON Data'!$E:$E,4),SUMIFS('ON Data'!L:L,'ON Data'!$E:$E,4))</f>
        <v>0</v>
      </c>
      <c r="H13" s="268">
        <f xml:space="preserve">
IF($A$4&lt;=12,SUMIFS('ON Data'!M:M,'ON Data'!$D:$D,$A$4,'ON Data'!$E:$E,4),SUMIFS('ON Data'!M:M,'ON Data'!$E:$E,4))</f>
        <v>0</v>
      </c>
      <c r="I13" s="268">
        <f xml:space="preserve">
IF($A$4&lt;=12,SUMIFS('ON Data'!N:N,'ON Data'!$D:$D,$A$4,'ON Data'!$E:$E,4),SUMIFS('ON Data'!N:N,'ON Data'!$E:$E,4))</f>
        <v>0</v>
      </c>
      <c r="J13" s="268">
        <f xml:space="preserve">
IF($A$4&lt;=12,SUMIFS('ON Data'!O:O,'ON Data'!$D:$D,$A$4,'ON Data'!$E:$E,4),SUMIFS('ON Data'!O:O,'ON Data'!$E:$E,4))</f>
        <v>0</v>
      </c>
      <c r="K13" s="268">
        <f xml:space="preserve">
IF($A$4&lt;=12,SUMIFS('ON Data'!P:P,'ON Data'!$D:$D,$A$4,'ON Data'!$E:$E,4),SUMIFS('ON Data'!P:P,'ON Data'!$E:$E,4))</f>
        <v>0</v>
      </c>
      <c r="L13" s="268">
        <f xml:space="preserve">
IF($A$4&lt;=12,SUMIFS('ON Data'!Q:Q,'ON Data'!$D:$D,$A$4,'ON Data'!$E:$E,4),SUMIFS('ON Data'!Q:Q,'ON Data'!$E:$E,4))</f>
        <v>0</v>
      </c>
      <c r="M13" s="268">
        <f xml:space="preserve">
IF($A$4&lt;=12,SUMIFS('ON Data'!R:R,'ON Data'!$D:$D,$A$4,'ON Data'!$E:$E,4),SUMIFS('ON Data'!R:R,'ON Data'!$E:$E,4))</f>
        <v>0</v>
      </c>
      <c r="N13" s="268">
        <f xml:space="preserve">
IF($A$4&lt;=12,SUMIFS('ON Data'!S:S,'ON Data'!$D:$D,$A$4,'ON Data'!$E:$E,4),SUMIFS('ON Data'!S:S,'ON Data'!$E:$E,4))</f>
        <v>0</v>
      </c>
      <c r="O13" s="268">
        <f xml:space="preserve">
IF($A$4&lt;=12,SUMIFS('ON Data'!T:T,'ON Data'!$D:$D,$A$4,'ON Data'!$E:$E,4),SUMIFS('ON Data'!T:T,'ON Data'!$E:$E,4))</f>
        <v>0</v>
      </c>
      <c r="P13" s="268">
        <f xml:space="preserve">
IF($A$4&lt;=12,SUMIFS('ON Data'!U:U,'ON Data'!$D:$D,$A$4,'ON Data'!$E:$E,4),SUMIFS('ON Data'!U:U,'ON Data'!$E:$E,4))</f>
        <v>0</v>
      </c>
      <c r="Q13" s="268">
        <f xml:space="preserve">
IF($A$4&lt;=12,SUMIFS('ON Data'!V:V,'ON Data'!$D:$D,$A$4,'ON Data'!$E:$E,4),SUMIFS('ON Data'!V:V,'ON Data'!$E:$E,4))</f>
        <v>0</v>
      </c>
      <c r="R13" s="268">
        <f xml:space="preserve">
IF($A$4&lt;=12,SUMIFS('ON Data'!W:W,'ON Data'!$D:$D,$A$4,'ON Data'!$E:$E,4),SUMIFS('ON Data'!W:W,'ON Data'!$E:$E,4))</f>
        <v>0</v>
      </c>
      <c r="S13" s="268">
        <f xml:space="preserve">
IF($A$4&lt;=12,SUMIFS('ON Data'!X:X,'ON Data'!$D:$D,$A$4,'ON Data'!$E:$E,4),SUMIFS('ON Data'!X:X,'ON Data'!$E:$E,4))</f>
        <v>0</v>
      </c>
      <c r="T13" s="268">
        <f xml:space="preserve">
IF($A$4&lt;=12,SUMIFS('ON Data'!Y:Y,'ON Data'!$D:$D,$A$4,'ON Data'!$E:$E,4),SUMIFS('ON Data'!Y:Y,'ON Data'!$E:$E,4))</f>
        <v>0</v>
      </c>
      <c r="U13" s="268">
        <f xml:space="preserve">
IF($A$4&lt;=12,SUMIFS('ON Data'!Z:Z,'ON Data'!$D:$D,$A$4,'ON Data'!$E:$E,4),SUMIFS('ON Data'!Z:Z,'ON Data'!$E:$E,4))</f>
        <v>0</v>
      </c>
      <c r="V13" s="268">
        <f xml:space="preserve">
IF($A$4&lt;=12,SUMIFS('ON Data'!AA:AA,'ON Data'!$D:$D,$A$4,'ON Data'!$E:$E,4),SUMIFS('ON Data'!AA:AA,'ON Data'!$E:$E,4))</f>
        <v>0</v>
      </c>
      <c r="W13" s="268">
        <f xml:space="preserve">
IF($A$4&lt;=12,SUMIFS('ON Data'!AB:AB,'ON Data'!$D:$D,$A$4,'ON Data'!$E:$E,4),SUMIFS('ON Data'!AB:AB,'ON Data'!$E:$E,4))</f>
        <v>0</v>
      </c>
      <c r="X13" s="268">
        <f xml:space="preserve">
IF($A$4&lt;=12,SUMIFS('ON Data'!AC:AC,'ON Data'!$D:$D,$A$4,'ON Data'!$E:$E,4),SUMIFS('ON Data'!AC:AC,'ON Data'!$E:$E,4))</f>
        <v>0</v>
      </c>
      <c r="Y13" s="268">
        <f xml:space="preserve">
IF($A$4&lt;=12,SUMIFS('ON Data'!AD:AD,'ON Data'!$D:$D,$A$4,'ON Data'!$E:$E,4),SUMIFS('ON Data'!AD:AD,'ON Data'!$E:$E,4))</f>
        <v>0</v>
      </c>
      <c r="Z13" s="268">
        <f xml:space="preserve">
IF($A$4&lt;=12,SUMIFS('ON Data'!AE:AE,'ON Data'!$D:$D,$A$4,'ON Data'!$E:$E,4),SUMIFS('ON Data'!AE:AE,'ON Data'!$E:$E,4))</f>
        <v>0</v>
      </c>
      <c r="AA13" s="268">
        <f xml:space="preserve">
IF($A$4&lt;=12,SUMIFS('ON Data'!AF:AF,'ON Data'!$D:$D,$A$4,'ON Data'!$E:$E,4),SUMIFS('ON Data'!AF:AF,'ON Data'!$E:$E,4))</f>
        <v>0</v>
      </c>
      <c r="AB13" s="268">
        <f xml:space="preserve">
IF($A$4&lt;=12,SUMIFS('ON Data'!AG:AG,'ON Data'!$D:$D,$A$4,'ON Data'!$E:$E,4),SUMIFS('ON Data'!AG:AG,'ON Data'!$E:$E,4))</f>
        <v>0</v>
      </c>
      <c r="AC13" s="268">
        <f xml:space="preserve">
IF($A$4&lt;=12,SUMIFS('ON Data'!AH:AH,'ON Data'!$D:$D,$A$4,'ON Data'!$E:$E,4),SUMIFS('ON Data'!AH:AH,'ON Data'!$E:$E,4))</f>
        <v>0</v>
      </c>
      <c r="AD13" s="268">
        <f xml:space="preserve">
IF($A$4&lt;=12,SUMIFS('ON Data'!AI:AI,'ON Data'!$D:$D,$A$4,'ON Data'!$E:$E,4),SUMIFS('ON Data'!AI:AI,'ON Data'!$E:$E,4))</f>
        <v>0</v>
      </c>
      <c r="AE13" s="268">
        <f xml:space="preserve">
IF($A$4&lt;=12,SUMIFS('ON Data'!AJ:AJ,'ON Data'!$D:$D,$A$4,'ON Data'!$E:$E,4),SUMIFS('ON Data'!AJ:AJ,'ON Data'!$E:$E,4))</f>
        <v>0</v>
      </c>
      <c r="AF13" s="268">
        <f xml:space="preserve">
IF($A$4&lt;=12,SUMIFS('ON Data'!AK:AK,'ON Data'!$D:$D,$A$4,'ON Data'!$E:$E,4),SUMIFS('ON Data'!AK:AK,'ON Data'!$E:$E,4))</f>
        <v>0</v>
      </c>
      <c r="AG13" s="268">
        <f xml:space="preserve">
IF($A$4&lt;=12,SUMIFS('ON Data'!AL:AL,'ON Data'!$D:$D,$A$4,'ON Data'!$E:$E,4),SUMIFS('ON Data'!AL:AL,'ON Data'!$E:$E,4))</f>
        <v>0</v>
      </c>
      <c r="AH13" s="606">
        <f xml:space="preserve">
IF($A$4&lt;=12,SUMIFS('ON Data'!AN:AN,'ON Data'!$D:$D,$A$4,'ON Data'!$E:$E,4),SUMIFS('ON Data'!AN:AN,'ON Data'!$E:$E,4))</f>
        <v>0</v>
      </c>
      <c r="AI13" s="616"/>
    </row>
    <row r="14" spans="1:35" ht="15" thickBot="1" x14ac:dyDescent="0.35">
      <c r="A14" s="250" t="s">
        <v>198</v>
      </c>
      <c r="B14" s="269">
        <f xml:space="preserve">
IF($A$4&lt;=12,SUMIFS('ON Data'!F:F,'ON Data'!$D:$D,$A$4,'ON Data'!$E:$E,5),SUMIFS('ON Data'!F:F,'ON Data'!$E:$E,5))</f>
        <v>0</v>
      </c>
      <c r="C14" s="270">
        <f xml:space="preserve">
IF($A$4&lt;=12,SUMIFS('ON Data'!G:G,'ON Data'!$D:$D,$A$4,'ON Data'!$E:$E,5),SUMIFS('ON Data'!G:G,'ON Data'!$E:$E,5))</f>
        <v>0</v>
      </c>
      <c r="D14" s="271">
        <f xml:space="preserve">
IF($A$4&lt;=12,SUMIFS('ON Data'!H:H,'ON Data'!$D:$D,$A$4,'ON Data'!$E:$E,5),SUMIFS('ON Data'!H:H,'ON Data'!$E:$E,5))</f>
        <v>0</v>
      </c>
      <c r="E14" s="271">
        <f xml:space="preserve">
IF($A$4&lt;=12,SUMIFS('ON Data'!I:I,'ON Data'!$D:$D,$A$4,'ON Data'!$E:$E,5),SUMIFS('ON Data'!I:I,'ON Data'!$E:$E,5))</f>
        <v>0</v>
      </c>
      <c r="F14" s="271">
        <f xml:space="preserve">
IF($A$4&lt;=12,SUMIFS('ON Data'!K:K,'ON Data'!$D:$D,$A$4,'ON Data'!$E:$E,5),SUMIFS('ON Data'!K:K,'ON Data'!$E:$E,5))</f>
        <v>0</v>
      </c>
      <c r="G14" s="271">
        <f xml:space="preserve">
IF($A$4&lt;=12,SUMIFS('ON Data'!L:L,'ON Data'!$D:$D,$A$4,'ON Data'!$E:$E,5),SUMIFS('ON Data'!L:L,'ON Data'!$E:$E,5))</f>
        <v>0</v>
      </c>
      <c r="H14" s="271">
        <f xml:space="preserve">
IF($A$4&lt;=12,SUMIFS('ON Data'!M:M,'ON Data'!$D:$D,$A$4,'ON Data'!$E:$E,5),SUMIFS('ON Data'!M:M,'ON Data'!$E:$E,5))</f>
        <v>0</v>
      </c>
      <c r="I14" s="271">
        <f xml:space="preserve">
IF($A$4&lt;=12,SUMIFS('ON Data'!N:N,'ON Data'!$D:$D,$A$4,'ON Data'!$E:$E,5),SUMIFS('ON Data'!N:N,'ON Data'!$E:$E,5))</f>
        <v>0</v>
      </c>
      <c r="J14" s="271">
        <f xml:space="preserve">
IF($A$4&lt;=12,SUMIFS('ON Data'!O:O,'ON Data'!$D:$D,$A$4,'ON Data'!$E:$E,5),SUMIFS('ON Data'!O:O,'ON Data'!$E:$E,5))</f>
        <v>0</v>
      </c>
      <c r="K14" s="271">
        <f xml:space="preserve">
IF($A$4&lt;=12,SUMIFS('ON Data'!P:P,'ON Data'!$D:$D,$A$4,'ON Data'!$E:$E,5),SUMIFS('ON Data'!P:P,'ON Data'!$E:$E,5))</f>
        <v>0</v>
      </c>
      <c r="L14" s="271">
        <f xml:space="preserve">
IF($A$4&lt;=12,SUMIFS('ON Data'!Q:Q,'ON Data'!$D:$D,$A$4,'ON Data'!$E:$E,5),SUMIFS('ON Data'!Q:Q,'ON Data'!$E:$E,5))</f>
        <v>0</v>
      </c>
      <c r="M14" s="271">
        <f xml:space="preserve">
IF($A$4&lt;=12,SUMIFS('ON Data'!R:R,'ON Data'!$D:$D,$A$4,'ON Data'!$E:$E,5),SUMIFS('ON Data'!R:R,'ON Data'!$E:$E,5))</f>
        <v>0</v>
      </c>
      <c r="N14" s="271">
        <f xml:space="preserve">
IF($A$4&lt;=12,SUMIFS('ON Data'!S:S,'ON Data'!$D:$D,$A$4,'ON Data'!$E:$E,5),SUMIFS('ON Data'!S:S,'ON Data'!$E:$E,5))</f>
        <v>0</v>
      </c>
      <c r="O14" s="271">
        <f xml:space="preserve">
IF($A$4&lt;=12,SUMIFS('ON Data'!T:T,'ON Data'!$D:$D,$A$4,'ON Data'!$E:$E,5),SUMIFS('ON Data'!T:T,'ON Data'!$E:$E,5))</f>
        <v>0</v>
      </c>
      <c r="P14" s="271">
        <f xml:space="preserve">
IF($A$4&lt;=12,SUMIFS('ON Data'!U:U,'ON Data'!$D:$D,$A$4,'ON Data'!$E:$E,5),SUMIFS('ON Data'!U:U,'ON Data'!$E:$E,5))</f>
        <v>0</v>
      </c>
      <c r="Q14" s="271">
        <f xml:space="preserve">
IF($A$4&lt;=12,SUMIFS('ON Data'!V:V,'ON Data'!$D:$D,$A$4,'ON Data'!$E:$E,5),SUMIFS('ON Data'!V:V,'ON Data'!$E:$E,5))</f>
        <v>0</v>
      </c>
      <c r="R14" s="271">
        <f xml:space="preserve">
IF($A$4&lt;=12,SUMIFS('ON Data'!W:W,'ON Data'!$D:$D,$A$4,'ON Data'!$E:$E,5),SUMIFS('ON Data'!W:W,'ON Data'!$E:$E,5))</f>
        <v>0</v>
      </c>
      <c r="S14" s="271">
        <f xml:space="preserve">
IF($A$4&lt;=12,SUMIFS('ON Data'!X:X,'ON Data'!$D:$D,$A$4,'ON Data'!$E:$E,5),SUMIFS('ON Data'!X:X,'ON Data'!$E:$E,5))</f>
        <v>0</v>
      </c>
      <c r="T14" s="271">
        <f xml:space="preserve">
IF($A$4&lt;=12,SUMIFS('ON Data'!Y:Y,'ON Data'!$D:$D,$A$4,'ON Data'!$E:$E,5),SUMIFS('ON Data'!Y:Y,'ON Data'!$E:$E,5))</f>
        <v>0</v>
      </c>
      <c r="U14" s="271">
        <f xml:space="preserve">
IF($A$4&lt;=12,SUMIFS('ON Data'!Z:Z,'ON Data'!$D:$D,$A$4,'ON Data'!$E:$E,5),SUMIFS('ON Data'!Z:Z,'ON Data'!$E:$E,5))</f>
        <v>0</v>
      </c>
      <c r="V14" s="271">
        <f xml:space="preserve">
IF($A$4&lt;=12,SUMIFS('ON Data'!AA:AA,'ON Data'!$D:$D,$A$4,'ON Data'!$E:$E,5),SUMIFS('ON Data'!AA:AA,'ON Data'!$E:$E,5))</f>
        <v>0</v>
      </c>
      <c r="W14" s="271">
        <f xml:space="preserve">
IF($A$4&lt;=12,SUMIFS('ON Data'!AB:AB,'ON Data'!$D:$D,$A$4,'ON Data'!$E:$E,5),SUMIFS('ON Data'!AB:AB,'ON Data'!$E:$E,5))</f>
        <v>0</v>
      </c>
      <c r="X14" s="271">
        <f xml:space="preserve">
IF($A$4&lt;=12,SUMIFS('ON Data'!AC:AC,'ON Data'!$D:$D,$A$4,'ON Data'!$E:$E,5),SUMIFS('ON Data'!AC:AC,'ON Data'!$E:$E,5))</f>
        <v>0</v>
      </c>
      <c r="Y14" s="271">
        <f xml:space="preserve">
IF($A$4&lt;=12,SUMIFS('ON Data'!AD:AD,'ON Data'!$D:$D,$A$4,'ON Data'!$E:$E,5),SUMIFS('ON Data'!AD:AD,'ON Data'!$E:$E,5))</f>
        <v>0</v>
      </c>
      <c r="Z14" s="271">
        <f xml:space="preserve">
IF($A$4&lt;=12,SUMIFS('ON Data'!AE:AE,'ON Data'!$D:$D,$A$4,'ON Data'!$E:$E,5),SUMIFS('ON Data'!AE:AE,'ON Data'!$E:$E,5))</f>
        <v>0</v>
      </c>
      <c r="AA14" s="271">
        <f xml:space="preserve">
IF($A$4&lt;=12,SUMIFS('ON Data'!AF:AF,'ON Data'!$D:$D,$A$4,'ON Data'!$E:$E,5),SUMIFS('ON Data'!AF:AF,'ON Data'!$E:$E,5))</f>
        <v>0</v>
      </c>
      <c r="AB14" s="271">
        <f xml:space="preserve">
IF($A$4&lt;=12,SUMIFS('ON Data'!AG:AG,'ON Data'!$D:$D,$A$4,'ON Data'!$E:$E,5),SUMIFS('ON Data'!AG:AG,'ON Data'!$E:$E,5))</f>
        <v>0</v>
      </c>
      <c r="AC14" s="271">
        <f xml:space="preserve">
IF($A$4&lt;=12,SUMIFS('ON Data'!AH:AH,'ON Data'!$D:$D,$A$4,'ON Data'!$E:$E,5),SUMIFS('ON Data'!AH:AH,'ON Data'!$E:$E,5))</f>
        <v>0</v>
      </c>
      <c r="AD14" s="271">
        <f xml:space="preserve">
IF($A$4&lt;=12,SUMIFS('ON Data'!AI:AI,'ON Data'!$D:$D,$A$4,'ON Data'!$E:$E,5),SUMIFS('ON Data'!AI:AI,'ON Data'!$E:$E,5))</f>
        <v>0</v>
      </c>
      <c r="AE14" s="271">
        <f xml:space="preserve">
IF($A$4&lt;=12,SUMIFS('ON Data'!AJ:AJ,'ON Data'!$D:$D,$A$4,'ON Data'!$E:$E,5),SUMIFS('ON Data'!AJ:AJ,'ON Data'!$E:$E,5))</f>
        <v>0</v>
      </c>
      <c r="AF14" s="271">
        <f xml:space="preserve">
IF($A$4&lt;=12,SUMIFS('ON Data'!AK:AK,'ON Data'!$D:$D,$A$4,'ON Data'!$E:$E,5),SUMIFS('ON Data'!AK:AK,'ON Data'!$E:$E,5))</f>
        <v>0</v>
      </c>
      <c r="AG14" s="271">
        <f xml:space="preserve">
IF($A$4&lt;=12,SUMIFS('ON Data'!AL:AL,'ON Data'!$D:$D,$A$4,'ON Data'!$E:$E,5),SUMIFS('ON Data'!AL:AL,'ON Data'!$E:$E,5))</f>
        <v>0</v>
      </c>
      <c r="AH14" s="607">
        <f xml:space="preserve">
IF($A$4&lt;=12,SUMIFS('ON Data'!AN:AN,'ON Data'!$D:$D,$A$4,'ON Data'!$E:$E,5),SUMIFS('ON Data'!AN:AN,'ON Data'!$E:$E,5))</f>
        <v>0</v>
      </c>
      <c r="AI14" s="616"/>
    </row>
    <row r="15" spans="1:35" x14ac:dyDescent="0.3">
      <c r="A15" s="166" t="s">
        <v>208</v>
      </c>
      <c r="B15" s="272"/>
      <c r="C15" s="273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608"/>
      <c r="AI15" s="616"/>
    </row>
    <row r="16" spans="1:35" x14ac:dyDescent="0.3">
      <c r="A16" s="251" t="s">
        <v>199</v>
      </c>
      <c r="B16" s="266">
        <f xml:space="preserve">
IF($A$4&lt;=12,SUMIFS('ON Data'!F:F,'ON Data'!$D:$D,$A$4,'ON Data'!$E:$E,7),SUMIFS('ON Data'!F:F,'ON Data'!$E:$E,7))</f>
        <v>0</v>
      </c>
      <c r="C16" s="267">
        <f xml:space="preserve">
IF($A$4&lt;=12,SUMIFS('ON Data'!G:G,'ON Data'!$D:$D,$A$4,'ON Data'!$E:$E,7),SUMIFS('ON Data'!G:G,'ON Data'!$E:$E,7))</f>
        <v>0</v>
      </c>
      <c r="D16" s="268">
        <f xml:space="preserve">
IF($A$4&lt;=12,SUMIFS('ON Data'!H:H,'ON Data'!$D:$D,$A$4,'ON Data'!$E:$E,7),SUMIFS('ON Data'!H:H,'ON Data'!$E:$E,7))</f>
        <v>0</v>
      </c>
      <c r="E16" s="268">
        <f xml:space="preserve">
IF($A$4&lt;=12,SUMIFS('ON Data'!I:I,'ON Data'!$D:$D,$A$4,'ON Data'!$E:$E,7),SUMIFS('ON Data'!I:I,'ON Data'!$E:$E,7))</f>
        <v>0</v>
      </c>
      <c r="F16" s="268">
        <f xml:space="preserve">
IF($A$4&lt;=12,SUMIFS('ON Data'!K:K,'ON Data'!$D:$D,$A$4,'ON Data'!$E:$E,7),SUMIFS('ON Data'!K:K,'ON Data'!$E:$E,7))</f>
        <v>0</v>
      </c>
      <c r="G16" s="268">
        <f xml:space="preserve">
IF($A$4&lt;=12,SUMIFS('ON Data'!L:L,'ON Data'!$D:$D,$A$4,'ON Data'!$E:$E,7),SUMIFS('ON Data'!L:L,'ON Data'!$E:$E,7))</f>
        <v>0</v>
      </c>
      <c r="H16" s="268">
        <f xml:space="preserve">
IF($A$4&lt;=12,SUMIFS('ON Data'!M:M,'ON Data'!$D:$D,$A$4,'ON Data'!$E:$E,7),SUMIFS('ON Data'!M:M,'ON Data'!$E:$E,7))</f>
        <v>0</v>
      </c>
      <c r="I16" s="268">
        <f xml:space="preserve">
IF($A$4&lt;=12,SUMIFS('ON Data'!N:N,'ON Data'!$D:$D,$A$4,'ON Data'!$E:$E,7),SUMIFS('ON Data'!N:N,'ON Data'!$E:$E,7))</f>
        <v>0</v>
      </c>
      <c r="J16" s="268">
        <f xml:space="preserve">
IF($A$4&lt;=12,SUMIFS('ON Data'!O:O,'ON Data'!$D:$D,$A$4,'ON Data'!$E:$E,7),SUMIFS('ON Data'!O:O,'ON Data'!$E:$E,7))</f>
        <v>0</v>
      </c>
      <c r="K16" s="268">
        <f xml:space="preserve">
IF($A$4&lt;=12,SUMIFS('ON Data'!P:P,'ON Data'!$D:$D,$A$4,'ON Data'!$E:$E,7),SUMIFS('ON Data'!P:P,'ON Data'!$E:$E,7))</f>
        <v>0</v>
      </c>
      <c r="L16" s="268">
        <f xml:space="preserve">
IF($A$4&lt;=12,SUMIFS('ON Data'!Q:Q,'ON Data'!$D:$D,$A$4,'ON Data'!$E:$E,7),SUMIFS('ON Data'!Q:Q,'ON Data'!$E:$E,7))</f>
        <v>0</v>
      </c>
      <c r="M16" s="268">
        <f xml:space="preserve">
IF($A$4&lt;=12,SUMIFS('ON Data'!R:R,'ON Data'!$D:$D,$A$4,'ON Data'!$E:$E,7),SUMIFS('ON Data'!R:R,'ON Data'!$E:$E,7))</f>
        <v>0</v>
      </c>
      <c r="N16" s="268">
        <f xml:space="preserve">
IF($A$4&lt;=12,SUMIFS('ON Data'!S:S,'ON Data'!$D:$D,$A$4,'ON Data'!$E:$E,7),SUMIFS('ON Data'!S:S,'ON Data'!$E:$E,7))</f>
        <v>0</v>
      </c>
      <c r="O16" s="268">
        <f xml:space="preserve">
IF($A$4&lt;=12,SUMIFS('ON Data'!T:T,'ON Data'!$D:$D,$A$4,'ON Data'!$E:$E,7),SUMIFS('ON Data'!T:T,'ON Data'!$E:$E,7))</f>
        <v>0</v>
      </c>
      <c r="P16" s="268">
        <f xml:space="preserve">
IF($A$4&lt;=12,SUMIFS('ON Data'!U:U,'ON Data'!$D:$D,$A$4,'ON Data'!$E:$E,7),SUMIFS('ON Data'!U:U,'ON Data'!$E:$E,7))</f>
        <v>0</v>
      </c>
      <c r="Q16" s="268">
        <f xml:space="preserve">
IF($A$4&lt;=12,SUMIFS('ON Data'!V:V,'ON Data'!$D:$D,$A$4,'ON Data'!$E:$E,7),SUMIFS('ON Data'!V:V,'ON Data'!$E:$E,7))</f>
        <v>0</v>
      </c>
      <c r="R16" s="268">
        <f xml:space="preserve">
IF($A$4&lt;=12,SUMIFS('ON Data'!W:W,'ON Data'!$D:$D,$A$4,'ON Data'!$E:$E,7),SUMIFS('ON Data'!W:W,'ON Data'!$E:$E,7))</f>
        <v>0</v>
      </c>
      <c r="S16" s="268">
        <f xml:space="preserve">
IF($A$4&lt;=12,SUMIFS('ON Data'!X:X,'ON Data'!$D:$D,$A$4,'ON Data'!$E:$E,7),SUMIFS('ON Data'!X:X,'ON Data'!$E:$E,7))</f>
        <v>0</v>
      </c>
      <c r="T16" s="268">
        <f xml:space="preserve">
IF($A$4&lt;=12,SUMIFS('ON Data'!Y:Y,'ON Data'!$D:$D,$A$4,'ON Data'!$E:$E,7),SUMIFS('ON Data'!Y:Y,'ON Data'!$E:$E,7))</f>
        <v>0</v>
      </c>
      <c r="U16" s="268">
        <f xml:space="preserve">
IF($A$4&lt;=12,SUMIFS('ON Data'!Z:Z,'ON Data'!$D:$D,$A$4,'ON Data'!$E:$E,7),SUMIFS('ON Data'!Z:Z,'ON Data'!$E:$E,7))</f>
        <v>0</v>
      </c>
      <c r="V16" s="268">
        <f xml:space="preserve">
IF($A$4&lt;=12,SUMIFS('ON Data'!AA:AA,'ON Data'!$D:$D,$A$4,'ON Data'!$E:$E,7),SUMIFS('ON Data'!AA:AA,'ON Data'!$E:$E,7))</f>
        <v>0</v>
      </c>
      <c r="W16" s="268">
        <f xml:space="preserve">
IF($A$4&lt;=12,SUMIFS('ON Data'!AB:AB,'ON Data'!$D:$D,$A$4,'ON Data'!$E:$E,7),SUMIFS('ON Data'!AB:AB,'ON Data'!$E:$E,7))</f>
        <v>0</v>
      </c>
      <c r="X16" s="268">
        <f xml:space="preserve">
IF($A$4&lt;=12,SUMIFS('ON Data'!AC:AC,'ON Data'!$D:$D,$A$4,'ON Data'!$E:$E,7),SUMIFS('ON Data'!AC:AC,'ON Data'!$E:$E,7))</f>
        <v>0</v>
      </c>
      <c r="Y16" s="268">
        <f xml:space="preserve">
IF($A$4&lt;=12,SUMIFS('ON Data'!AD:AD,'ON Data'!$D:$D,$A$4,'ON Data'!$E:$E,7),SUMIFS('ON Data'!AD:AD,'ON Data'!$E:$E,7))</f>
        <v>0</v>
      </c>
      <c r="Z16" s="268">
        <f xml:space="preserve">
IF($A$4&lt;=12,SUMIFS('ON Data'!AE:AE,'ON Data'!$D:$D,$A$4,'ON Data'!$E:$E,7),SUMIFS('ON Data'!AE:AE,'ON Data'!$E:$E,7))</f>
        <v>0</v>
      </c>
      <c r="AA16" s="268">
        <f xml:space="preserve">
IF($A$4&lt;=12,SUMIFS('ON Data'!AF:AF,'ON Data'!$D:$D,$A$4,'ON Data'!$E:$E,7),SUMIFS('ON Data'!AF:AF,'ON Data'!$E:$E,7))</f>
        <v>0</v>
      </c>
      <c r="AB16" s="268">
        <f xml:space="preserve">
IF($A$4&lt;=12,SUMIFS('ON Data'!AG:AG,'ON Data'!$D:$D,$A$4,'ON Data'!$E:$E,7),SUMIFS('ON Data'!AG:AG,'ON Data'!$E:$E,7))</f>
        <v>0</v>
      </c>
      <c r="AC16" s="268">
        <f xml:space="preserve">
IF($A$4&lt;=12,SUMIFS('ON Data'!AH:AH,'ON Data'!$D:$D,$A$4,'ON Data'!$E:$E,7),SUMIFS('ON Data'!AH:AH,'ON Data'!$E:$E,7))</f>
        <v>0</v>
      </c>
      <c r="AD16" s="268">
        <f xml:space="preserve">
IF($A$4&lt;=12,SUMIFS('ON Data'!AI:AI,'ON Data'!$D:$D,$A$4,'ON Data'!$E:$E,7),SUMIFS('ON Data'!AI:AI,'ON Data'!$E:$E,7))</f>
        <v>0</v>
      </c>
      <c r="AE16" s="268">
        <f xml:space="preserve">
IF($A$4&lt;=12,SUMIFS('ON Data'!AJ:AJ,'ON Data'!$D:$D,$A$4,'ON Data'!$E:$E,7),SUMIFS('ON Data'!AJ:AJ,'ON Data'!$E:$E,7))</f>
        <v>0</v>
      </c>
      <c r="AF16" s="268">
        <f xml:space="preserve">
IF($A$4&lt;=12,SUMIFS('ON Data'!AK:AK,'ON Data'!$D:$D,$A$4,'ON Data'!$E:$E,7),SUMIFS('ON Data'!AK:AK,'ON Data'!$E:$E,7))</f>
        <v>0</v>
      </c>
      <c r="AG16" s="268">
        <f xml:space="preserve">
IF($A$4&lt;=12,SUMIFS('ON Data'!AL:AL,'ON Data'!$D:$D,$A$4,'ON Data'!$E:$E,7),SUMIFS('ON Data'!AL:AL,'ON Data'!$E:$E,7))</f>
        <v>0</v>
      </c>
      <c r="AH16" s="606">
        <f xml:space="preserve">
IF($A$4&lt;=12,SUMIFS('ON Data'!AN:AN,'ON Data'!$D:$D,$A$4,'ON Data'!$E:$E,7),SUMIFS('ON Data'!AN:AN,'ON Data'!$E:$E,7))</f>
        <v>0</v>
      </c>
      <c r="AI16" s="616"/>
    </row>
    <row r="17" spans="1:35" x14ac:dyDescent="0.3">
      <c r="A17" s="251" t="s">
        <v>200</v>
      </c>
      <c r="B17" s="266">
        <f xml:space="preserve">
IF($A$4&lt;=12,SUMIFS('ON Data'!F:F,'ON Data'!$D:$D,$A$4,'ON Data'!$E:$E,8),SUMIFS('ON Data'!F:F,'ON Data'!$E:$E,8))</f>
        <v>0</v>
      </c>
      <c r="C17" s="267">
        <f xml:space="preserve">
IF($A$4&lt;=12,SUMIFS('ON Data'!G:G,'ON Data'!$D:$D,$A$4,'ON Data'!$E:$E,8),SUMIFS('ON Data'!G:G,'ON Data'!$E:$E,8))</f>
        <v>0</v>
      </c>
      <c r="D17" s="268">
        <f xml:space="preserve">
IF($A$4&lt;=12,SUMIFS('ON Data'!H:H,'ON Data'!$D:$D,$A$4,'ON Data'!$E:$E,8),SUMIFS('ON Data'!H:H,'ON Data'!$E:$E,8))</f>
        <v>0</v>
      </c>
      <c r="E17" s="268">
        <f xml:space="preserve">
IF($A$4&lt;=12,SUMIFS('ON Data'!I:I,'ON Data'!$D:$D,$A$4,'ON Data'!$E:$E,8),SUMIFS('ON Data'!I:I,'ON Data'!$E:$E,8))</f>
        <v>0</v>
      </c>
      <c r="F17" s="268">
        <f xml:space="preserve">
IF($A$4&lt;=12,SUMIFS('ON Data'!K:K,'ON Data'!$D:$D,$A$4,'ON Data'!$E:$E,8),SUMIFS('ON Data'!K:K,'ON Data'!$E:$E,8))</f>
        <v>0</v>
      </c>
      <c r="G17" s="268">
        <f xml:space="preserve">
IF($A$4&lt;=12,SUMIFS('ON Data'!L:L,'ON Data'!$D:$D,$A$4,'ON Data'!$E:$E,8),SUMIFS('ON Data'!L:L,'ON Data'!$E:$E,8))</f>
        <v>0</v>
      </c>
      <c r="H17" s="268">
        <f xml:space="preserve">
IF($A$4&lt;=12,SUMIFS('ON Data'!M:M,'ON Data'!$D:$D,$A$4,'ON Data'!$E:$E,8),SUMIFS('ON Data'!M:M,'ON Data'!$E:$E,8))</f>
        <v>0</v>
      </c>
      <c r="I17" s="268">
        <f xml:space="preserve">
IF($A$4&lt;=12,SUMIFS('ON Data'!N:N,'ON Data'!$D:$D,$A$4,'ON Data'!$E:$E,8),SUMIFS('ON Data'!N:N,'ON Data'!$E:$E,8))</f>
        <v>0</v>
      </c>
      <c r="J17" s="268">
        <f xml:space="preserve">
IF($A$4&lt;=12,SUMIFS('ON Data'!O:O,'ON Data'!$D:$D,$A$4,'ON Data'!$E:$E,8),SUMIFS('ON Data'!O:O,'ON Data'!$E:$E,8))</f>
        <v>0</v>
      </c>
      <c r="K17" s="268">
        <f xml:space="preserve">
IF($A$4&lt;=12,SUMIFS('ON Data'!P:P,'ON Data'!$D:$D,$A$4,'ON Data'!$E:$E,8),SUMIFS('ON Data'!P:P,'ON Data'!$E:$E,8))</f>
        <v>0</v>
      </c>
      <c r="L17" s="268">
        <f xml:space="preserve">
IF($A$4&lt;=12,SUMIFS('ON Data'!Q:Q,'ON Data'!$D:$D,$A$4,'ON Data'!$E:$E,8),SUMIFS('ON Data'!Q:Q,'ON Data'!$E:$E,8))</f>
        <v>0</v>
      </c>
      <c r="M17" s="268">
        <f xml:space="preserve">
IF($A$4&lt;=12,SUMIFS('ON Data'!R:R,'ON Data'!$D:$D,$A$4,'ON Data'!$E:$E,8),SUMIFS('ON Data'!R:R,'ON Data'!$E:$E,8))</f>
        <v>0</v>
      </c>
      <c r="N17" s="268">
        <f xml:space="preserve">
IF($A$4&lt;=12,SUMIFS('ON Data'!S:S,'ON Data'!$D:$D,$A$4,'ON Data'!$E:$E,8),SUMIFS('ON Data'!S:S,'ON Data'!$E:$E,8))</f>
        <v>0</v>
      </c>
      <c r="O17" s="268">
        <f xml:space="preserve">
IF($A$4&lt;=12,SUMIFS('ON Data'!T:T,'ON Data'!$D:$D,$A$4,'ON Data'!$E:$E,8),SUMIFS('ON Data'!T:T,'ON Data'!$E:$E,8))</f>
        <v>0</v>
      </c>
      <c r="P17" s="268">
        <f xml:space="preserve">
IF($A$4&lt;=12,SUMIFS('ON Data'!U:U,'ON Data'!$D:$D,$A$4,'ON Data'!$E:$E,8),SUMIFS('ON Data'!U:U,'ON Data'!$E:$E,8))</f>
        <v>0</v>
      </c>
      <c r="Q17" s="268">
        <f xml:space="preserve">
IF($A$4&lt;=12,SUMIFS('ON Data'!V:V,'ON Data'!$D:$D,$A$4,'ON Data'!$E:$E,8),SUMIFS('ON Data'!V:V,'ON Data'!$E:$E,8))</f>
        <v>0</v>
      </c>
      <c r="R17" s="268">
        <f xml:space="preserve">
IF($A$4&lt;=12,SUMIFS('ON Data'!W:W,'ON Data'!$D:$D,$A$4,'ON Data'!$E:$E,8),SUMIFS('ON Data'!W:W,'ON Data'!$E:$E,8))</f>
        <v>0</v>
      </c>
      <c r="S17" s="268">
        <f xml:space="preserve">
IF($A$4&lt;=12,SUMIFS('ON Data'!X:X,'ON Data'!$D:$D,$A$4,'ON Data'!$E:$E,8),SUMIFS('ON Data'!X:X,'ON Data'!$E:$E,8))</f>
        <v>0</v>
      </c>
      <c r="T17" s="268">
        <f xml:space="preserve">
IF($A$4&lt;=12,SUMIFS('ON Data'!Y:Y,'ON Data'!$D:$D,$A$4,'ON Data'!$E:$E,8),SUMIFS('ON Data'!Y:Y,'ON Data'!$E:$E,8))</f>
        <v>0</v>
      </c>
      <c r="U17" s="268">
        <f xml:space="preserve">
IF($A$4&lt;=12,SUMIFS('ON Data'!Z:Z,'ON Data'!$D:$D,$A$4,'ON Data'!$E:$E,8),SUMIFS('ON Data'!Z:Z,'ON Data'!$E:$E,8))</f>
        <v>0</v>
      </c>
      <c r="V17" s="268">
        <f xml:space="preserve">
IF($A$4&lt;=12,SUMIFS('ON Data'!AA:AA,'ON Data'!$D:$D,$A$4,'ON Data'!$E:$E,8),SUMIFS('ON Data'!AA:AA,'ON Data'!$E:$E,8))</f>
        <v>0</v>
      </c>
      <c r="W17" s="268">
        <f xml:space="preserve">
IF($A$4&lt;=12,SUMIFS('ON Data'!AB:AB,'ON Data'!$D:$D,$A$4,'ON Data'!$E:$E,8),SUMIFS('ON Data'!AB:AB,'ON Data'!$E:$E,8))</f>
        <v>0</v>
      </c>
      <c r="X17" s="268">
        <f xml:space="preserve">
IF($A$4&lt;=12,SUMIFS('ON Data'!AC:AC,'ON Data'!$D:$D,$A$4,'ON Data'!$E:$E,8),SUMIFS('ON Data'!AC:AC,'ON Data'!$E:$E,8))</f>
        <v>0</v>
      </c>
      <c r="Y17" s="268">
        <f xml:space="preserve">
IF($A$4&lt;=12,SUMIFS('ON Data'!AD:AD,'ON Data'!$D:$D,$A$4,'ON Data'!$E:$E,8),SUMIFS('ON Data'!AD:AD,'ON Data'!$E:$E,8))</f>
        <v>0</v>
      </c>
      <c r="Z17" s="268">
        <f xml:space="preserve">
IF($A$4&lt;=12,SUMIFS('ON Data'!AE:AE,'ON Data'!$D:$D,$A$4,'ON Data'!$E:$E,8),SUMIFS('ON Data'!AE:AE,'ON Data'!$E:$E,8))</f>
        <v>0</v>
      </c>
      <c r="AA17" s="268">
        <f xml:space="preserve">
IF($A$4&lt;=12,SUMIFS('ON Data'!AF:AF,'ON Data'!$D:$D,$A$4,'ON Data'!$E:$E,8),SUMIFS('ON Data'!AF:AF,'ON Data'!$E:$E,8))</f>
        <v>0</v>
      </c>
      <c r="AB17" s="268">
        <f xml:space="preserve">
IF($A$4&lt;=12,SUMIFS('ON Data'!AG:AG,'ON Data'!$D:$D,$A$4,'ON Data'!$E:$E,8),SUMIFS('ON Data'!AG:AG,'ON Data'!$E:$E,8))</f>
        <v>0</v>
      </c>
      <c r="AC17" s="268">
        <f xml:space="preserve">
IF($A$4&lt;=12,SUMIFS('ON Data'!AH:AH,'ON Data'!$D:$D,$A$4,'ON Data'!$E:$E,8),SUMIFS('ON Data'!AH:AH,'ON Data'!$E:$E,8))</f>
        <v>0</v>
      </c>
      <c r="AD17" s="268">
        <f xml:space="preserve">
IF($A$4&lt;=12,SUMIFS('ON Data'!AI:AI,'ON Data'!$D:$D,$A$4,'ON Data'!$E:$E,8),SUMIFS('ON Data'!AI:AI,'ON Data'!$E:$E,8))</f>
        <v>0</v>
      </c>
      <c r="AE17" s="268">
        <f xml:space="preserve">
IF($A$4&lt;=12,SUMIFS('ON Data'!AJ:AJ,'ON Data'!$D:$D,$A$4,'ON Data'!$E:$E,8),SUMIFS('ON Data'!AJ:AJ,'ON Data'!$E:$E,8))</f>
        <v>0</v>
      </c>
      <c r="AF17" s="268">
        <f xml:space="preserve">
IF($A$4&lt;=12,SUMIFS('ON Data'!AK:AK,'ON Data'!$D:$D,$A$4,'ON Data'!$E:$E,8),SUMIFS('ON Data'!AK:AK,'ON Data'!$E:$E,8))</f>
        <v>0</v>
      </c>
      <c r="AG17" s="268">
        <f xml:space="preserve">
IF($A$4&lt;=12,SUMIFS('ON Data'!AL:AL,'ON Data'!$D:$D,$A$4,'ON Data'!$E:$E,8),SUMIFS('ON Data'!AL:AL,'ON Data'!$E:$E,8))</f>
        <v>0</v>
      </c>
      <c r="AH17" s="606">
        <f xml:space="preserve">
IF($A$4&lt;=12,SUMIFS('ON Data'!AN:AN,'ON Data'!$D:$D,$A$4,'ON Data'!$E:$E,8),SUMIFS('ON Data'!AN:AN,'ON Data'!$E:$E,8))</f>
        <v>0</v>
      </c>
      <c r="AI17" s="616"/>
    </row>
    <row r="18" spans="1:35" x14ac:dyDescent="0.3">
      <c r="A18" s="251" t="s">
        <v>201</v>
      </c>
      <c r="B18" s="266">
        <f xml:space="preserve">
B19-B16-B17</f>
        <v>305567</v>
      </c>
      <c r="C18" s="267">
        <f t="shared" ref="C18:G18" si="0" xml:space="preserve">
C19-C16-C17</f>
        <v>0</v>
      </c>
      <c r="D18" s="268">
        <f t="shared" si="0"/>
        <v>152695</v>
      </c>
      <c r="E18" s="268">
        <f t="shared" si="0"/>
        <v>0</v>
      </c>
      <c r="F18" s="268">
        <f t="shared" si="0"/>
        <v>131506</v>
      </c>
      <c r="G18" s="268">
        <f t="shared" si="0"/>
        <v>0</v>
      </c>
      <c r="H18" s="268">
        <f t="shared" ref="H18:AH18" si="1" xml:space="preserve">
H19-H16-H17</f>
        <v>0</v>
      </c>
      <c r="I18" s="268">
        <f t="shared" si="1"/>
        <v>0</v>
      </c>
      <c r="J18" s="268">
        <f t="shared" si="1"/>
        <v>0</v>
      </c>
      <c r="K18" s="268">
        <f t="shared" si="1"/>
        <v>0</v>
      </c>
      <c r="L18" s="268">
        <f t="shared" si="1"/>
        <v>0</v>
      </c>
      <c r="M18" s="268">
        <f t="shared" si="1"/>
        <v>0</v>
      </c>
      <c r="N18" s="268">
        <f t="shared" si="1"/>
        <v>0</v>
      </c>
      <c r="O18" s="268">
        <f t="shared" si="1"/>
        <v>0</v>
      </c>
      <c r="P18" s="268">
        <f t="shared" si="1"/>
        <v>0</v>
      </c>
      <c r="Q18" s="268">
        <f t="shared" si="1"/>
        <v>0</v>
      </c>
      <c r="R18" s="268">
        <f t="shared" si="1"/>
        <v>0</v>
      </c>
      <c r="S18" s="268">
        <f t="shared" si="1"/>
        <v>0</v>
      </c>
      <c r="T18" s="268">
        <f t="shared" si="1"/>
        <v>0</v>
      </c>
      <c r="U18" s="268">
        <f t="shared" si="1"/>
        <v>0</v>
      </c>
      <c r="V18" s="268">
        <f t="shared" si="1"/>
        <v>0</v>
      </c>
      <c r="W18" s="268">
        <f t="shared" si="1"/>
        <v>0</v>
      </c>
      <c r="X18" s="268">
        <f t="shared" si="1"/>
        <v>0</v>
      </c>
      <c r="Y18" s="268">
        <f t="shared" si="1"/>
        <v>0</v>
      </c>
      <c r="Z18" s="268">
        <f t="shared" si="1"/>
        <v>0</v>
      </c>
      <c r="AA18" s="268">
        <f t="shared" si="1"/>
        <v>0</v>
      </c>
      <c r="AB18" s="268">
        <f t="shared" si="1"/>
        <v>0</v>
      </c>
      <c r="AC18" s="268">
        <f t="shared" si="1"/>
        <v>0</v>
      </c>
      <c r="AD18" s="268">
        <f t="shared" si="1"/>
        <v>0</v>
      </c>
      <c r="AE18" s="268">
        <f t="shared" si="1"/>
        <v>0</v>
      </c>
      <c r="AF18" s="268">
        <f t="shared" si="1"/>
        <v>0</v>
      </c>
      <c r="AG18" s="268">
        <f t="shared" si="1"/>
        <v>0</v>
      </c>
      <c r="AH18" s="606">
        <f t="shared" si="1"/>
        <v>21366</v>
      </c>
      <c r="AI18" s="616"/>
    </row>
    <row r="19" spans="1:35" ht="15" thickBot="1" x14ac:dyDescent="0.35">
      <c r="A19" s="252" t="s">
        <v>202</v>
      </c>
      <c r="B19" s="275">
        <f xml:space="preserve">
IF($A$4&lt;=12,SUMIFS('ON Data'!F:F,'ON Data'!$D:$D,$A$4,'ON Data'!$E:$E,9),SUMIFS('ON Data'!F:F,'ON Data'!$E:$E,9))</f>
        <v>305567</v>
      </c>
      <c r="C19" s="276">
        <f xml:space="preserve">
IF($A$4&lt;=12,SUMIFS('ON Data'!G:G,'ON Data'!$D:$D,$A$4,'ON Data'!$E:$E,9),SUMIFS('ON Data'!G:G,'ON Data'!$E:$E,9))</f>
        <v>0</v>
      </c>
      <c r="D19" s="277">
        <f xml:space="preserve">
IF($A$4&lt;=12,SUMIFS('ON Data'!H:H,'ON Data'!$D:$D,$A$4,'ON Data'!$E:$E,9),SUMIFS('ON Data'!H:H,'ON Data'!$E:$E,9))</f>
        <v>152695</v>
      </c>
      <c r="E19" s="277">
        <f xml:space="preserve">
IF($A$4&lt;=12,SUMIFS('ON Data'!I:I,'ON Data'!$D:$D,$A$4,'ON Data'!$E:$E,9),SUMIFS('ON Data'!I:I,'ON Data'!$E:$E,9))</f>
        <v>0</v>
      </c>
      <c r="F19" s="277">
        <f xml:space="preserve">
IF($A$4&lt;=12,SUMIFS('ON Data'!K:K,'ON Data'!$D:$D,$A$4,'ON Data'!$E:$E,9),SUMIFS('ON Data'!K:K,'ON Data'!$E:$E,9))</f>
        <v>131506</v>
      </c>
      <c r="G19" s="277">
        <f xml:space="preserve">
IF($A$4&lt;=12,SUMIFS('ON Data'!L:L,'ON Data'!$D:$D,$A$4,'ON Data'!$E:$E,9),SUMIFS('ON Data'!L:L,'ON Data'!$E:$E,9))</f>
        <v>0</v>
      </c>
      <c r="H19" s="277">
        <f xml:space="preserve">
IF($A$4&lt;=12,SUMIFS('ON Data'!M:M,'ON Data'!$D:$D,$A$4,'ON Data'!$E:$E,9),SUMIFS('ON Data'!M:M,'ON Data'!$E:$E,9))</f>
        <v>0</v>
      </c>
      <c r="I19" s="277">
        <f xml:space="preserve">
IF($A$4&lt;=12,SUMIFS('ON Data'!N:N,'ON Data'!$D:$D,$A$4,'ON Data'!$E:$E,9),SUMIFS('ON Data'!N:N,'ON Data'!$E:$E,9))</f>
        <v>0</v>
      </c>
      <c r="J19" s="277">
        <f xml:space="preserve">
IF($A$4&lt;=12,SUMIFS('ON Data'!O:O,'ON Data'!$D:$D,$A$4,'ON Data'!$E:$E,9),SUMIFS('ON Data'!O:O,'ON Data'!$E:$E,9))</f>
        <v>0</v>
      </c>
      <c r="K19" s="277">
        <f xml:space="preserve">
IF($A$4&lt;=12,SUMIFS('ON Data'!P:P,'ON Data'!$D:$D,$A$4,'ON Data'!$E:$E,9),SUMIFS('ON Data'!P:P,'ON Data'!$E:$E,9))</f>
        <v>0</v>
      </c>
      <c r="L19" s="277">
        <f xml:space="preserve">
IF($A$4&lt;=12,SUMIFS('ON Data'!Q:Q,'ON Data'!$D:$D,$A$4,'ON Data'!$E:$E,9),SUMIFS('ON Data'!Q:Q,'ON Data'!$E:$E,9))</f>
        <v>0</v>
      </c>
      <c r="M19" s="277">
        <f xml:space="preserve">
IF($A$4&lt;=12,SUMIFS('ON Data'!R:R,'ON Data'!$D:$D,$A$4,'ON Data'!$E:$E,9),SUMIFS('ON Data'!R:R,'ON Data'!$E:$E,9))</f>
        <v>0</v>
      </c>
      <c r="N19" s="277">
        <f xml:space="preserve">
IF($A$4&lt;=12,SUMIFS('ON Data'!S:S,'ON Data'!$D:$D,$A$4,'ON Data'!$E:$E,9),SUMIFS('ON Data'!S:S,'ON Data'!$E:$E,9))</f>
        <v>0</v>
      </c>
      <c r="O19" s="277">
        <f xml:space="preserve">
IF($A$4&lt;=12,SUMIFS('ON Data'!T:T,'ON Data'!$D:$D,$A$4,'ON Data'!$E:$E,9),SUMIFS('ON Data'!T:T,'ON Data'!$E:$E,9))</f>
        <v>0</v>
      </c>
      <c r="P19" s="277">
        <f xml:space="preserve">
IF($A$4&lt;=12,SUMIFS('ON Data'!U:U,'ON Data'!$D:$D,$A$4,'ON Data'!$E:$E,9),SUMIFS('ON Data'!U:U,'ON Data'!$E:$E,9))</f>
        <v>0</v>
      </c>
      <c r="Q19" s="277">
        <f xml:space="preserve">
IF($A$4&lt;=12,SUMIFS('ON Data'!V:V,'ON Data'!$D:$D,$A$4,'ON Data'!$E:$E,9),SUMIFS('ON Data'!V:V,'ON Data'!$E:$E,9))</f>
        <v>0</v>
      </c>
      <c r="R19" s="277">
        <f xml:space="preserve">
IF($A$4&lt;=12,SUMIFS('ON Data'!W:W,'ON Data'!$D:$D,$A$4,'ON Data'!$E:$E,9),SUMIFS('ON Data'!W:W,'ON Data'!$E:$E,9))</f>
        <v>0</v>
      </c>
      <c r="S19" s="277">
        <f xml:space="preserve">
IF($A$4&lt;=12,SUMIFS('ON Data'!X:X,'ON Data'!$D:$D,$A$4,'ON Data'!$E:$E,9),SUMIFS('ON Data'!X:X,'ON Data'!$E:$E,9))</f>
        <v>0</v>
      </c>
      <c r="T19" s="277">
        <f xml:space="preserve">
IF($A$4&lt;=12,SUMIFS('ON Data'!Y:Y,'ON Data'!$D:$D,$A$4,'ON Data'!$E:$E,9),SUMIFS('ON Data'!Y:Y,'ON Data'!$E:$E,9))</f>
        <v>0</v>
      </c>
      <c r="U19" s="277">
        <f xml:space="preserve">
IF($A$4&lt;=12,SUMIFS('ON Data'!Z:Z,'ON Data'!$D:$D,$A$4,'ON Data'!$E:$E,9),SUMIFS('ON Data'!Z:Z,'ON Data'!$E:$E,9))</f>
        <v>0</v>
      </c>
      <c r="V19" s="277">
        <f xml:space="preserve">
IF($A$4&lt;=12,SUMIFS('ON Data'!AA:AA,'ON Data'!$D:$D,$A$4,'ON Data'!$E:$E,9),SUMIFS('ON Data'!AA:AA,'ON Data'!$E:$E,9))</f>
        <v>0</v>
      </c>
      <c r="W19" s="277">
        <f xml:space="preserve">
IF($A$4&lt;=12,SUMIFS('ON Data'!AB:AB,'ON Data'!$D:$D,$A$4,'ON Data'!$E:$E,9),SUMIFS('ON Data'!AB:AB,'ON Data'!$E:$E,9))</f>
        <v>0</v>
      </c>
      <c r="X19" s="277">
        <f xml:space="preserve">
IF($A$4&lt;=12,SUMIFS('ON Data'!AC:AC,'ON Data'!$D:$D,$A$4,'ON Data'!$E:$E,9),SUMIFS('ON Data'!AC:AC,'ON Data'!$E:$E,9))</f>
        <v>0</v>
      </c>
      <c r="Y19" s="277">
        <f xml:space="preserve">
IF($A$4&lt;=12,SUMIFS('ON Data'!AD:AD,'ON Data'!$D:$D,$A$4,'ON Data'!$E:$E,9),SUMIFS('ON Data'!AD:AD,'ON Data'!$E:$E,9))</f>
        <v>0</v>
      </c>
      <c r="Z19" s="277">
        <f xml:space="preserve">
IF($A$4&lt;=12,SUMIFS('ON Data'!AE:AE,'ON Data'!$D:$D,$A$4,'ON Data'!$E:$E,9),SUMIFS('ON Data'!AE:AE,'ON Data'!$E:$E,9))</f>
        <v>0</v>
      </c>
      <c r="AA19" s="277">
        <f xml:space="preserve">
IF($A$4&lt;=12,SUMIFS('ON Data'!AF:AF,'ON Data'!$D:$D,$A$4,'ON Data'!$E:$E,9),SUMIFS('ON Data'!AF:AF,'ON Data'!$E:$E,9))</f>
        <v>0</v>
      </c>
      <c r="AB19" s="277">
        <f xml:space="preserve">
IF($A$4&lt;=12,SUMIFS('ON Data'!AG:AG,'ON Data'!$D:$D,$A$4,'ON Data'!$E:$E,9),SUMIFS('ON Data'!AG:AG,'ON Data'!$E:$E,9))</f>
        <v>0</v>
      </c>
      <c r="AC19" s="277">
        <f xml:space="preserve">
IF($A$4&lt;=12,SUMIFS('ON Data'!AH:AH,'ON Data'!$D:$D,$A$4,'ON Data'!$E:$E,9),SUMIFS('ON Data'!AH:AH,'ON Data'!$E:$E,9))</f>
        <v>0</v>
      </c>
      <c r="AD19" s="277">
        <f xml:space="preserve">
IF($A$4&lt;=12,SUMIFS('ON Data'!AI:AI,'ON Data'!$D:$D,$A$4,'ON Data'!$E:$E,9),SUMIFS('ON Data'!AI:AI,'ON Data'!$E:$E,9))</f>
        <v>0</v>
      </c>
      <c r="AE19" s="277">
        <f xml:space="preserve">
IF($A$4&lt;=12,SUMIFS('ON Data'!AJ:AJ,'ON Data'!$D:$D,$A$4,'ON Data'!$E:$E,9),SUMIFS('ON Data'!AJ:AJ,'ON Data'!$E:$E,9))</f>
        <v>0</v>
      </c>
      <c r="AF19" s="277">
        <f xml:space="preserve">
IF($A$4&lt;=12,SUMIFS('ON Data'!AK:AK,'ON Data'!$D:$D,$A$4,'ON Data'!$E:$E,9),SUMIFS('ON Data'!AK:AK,'ON Data'!$E:$E,9))</f>
        <v>0</v>
      </c>
      <c r="AG19" s="277">
        <f xml:space="preserve">
IF($A$4&lt;=12,SUMIFS('ON Data'!AL:AL,'ON Data'!$D:$D,$A$4,'ON Data'!$E:$E,9),SUMIFS('ON Data'!AL:AL,'ON Data'!$E:$E,9))</f>
        <v>0</v>
      </c>
      <c r="AH19" s="609">
        <f xml:space="preserve">
IF($A$4&lt;=12,SUMIFS('ON Data'!AN:AN,'ON Data'!$D:$D,$A$4,'ON Data'!$E:$E,9),SUMIFS('ON Data'!AN:AN,'ON Data'!$E:$E,9))</f>
        <v>21366</v>
      </c>
      <c r="AI19" s="616"/>
    </row>
    <row r="20" spans="1:35" ht="15" collapsed="1" thickBot="1" x14ac:dyDescent="0.35">
      <c r="A20" s="253" t="s">
        <v>73</v>
      </c>
      <c r="B20" s="278">
        <f xml:space="preserve">
IF($A$4&lt;=12,SUMIFS('ON Data'!F:F,'ON Data'!$D:$D,$A$4,'ON Data'!$E:$E,6),SUMIFS('ON Data'!F:F,'ON Data'!$E:$E,6))</f>
        <v>4216710</v>
      </c>
      <c r="C20" s="279">
        <f xml:space="preserve">
IF($A$4&lt;=12,SUMIFS('ON Data'!G:G,'ON Data'!$D:$D,$A$4,'ON Data'!$E:$E,6),SUMIFS('ON Data'!G:G,'ON Data'!$E:$E,6))</f>
        <v>0</v>
      </c>
      <c r="D20" s="280">
        <f xml:space="preserve">
IF($A$4&lt;=12,SUMIFS('ON Data'!H:H,'ON Data'!$D:$D,$A$4,'ON Data'!$E:$E,6),SUMIFS('ON Data'!H:H,'ON Data'!$E:$E,6))</f>
        <v>2362978</v>
      </c>
      <c r="E20" s="280">
        <f xml:space="preserve">
IF($A$4&lt;=12,SUMIFS('ON Data'!I:I,'ON Data'!$D:$D,$A$4,'ON Data'!$E:$E,6),SUMIFS('ON Data'!I:I,'ON Data'!$E:$E,6))</f>
        <v>0</v>
      </c>
      <c r="F20" s="280">
        <f xml:space="preserve">
IF($A$4&lt;=12,SUMIFS('ON Data'!K:K,'ON Data'!$D:$D,$A$4,'ON Data'!$E:$E,6),SUMIFS('ON Data'!K:K,'ON Data'!$E:$E,6))</f>
        <v>1457085</v>
      </c>
      <c r="G20" s="280">
        <f xml:space="preserve">
IF($A$4&lt;=12,SUMIFS('ON Data'!L:L,'ON Data'!$D:$D,$A$4,'ON Data'!$E:$E,6),SUMIFS('ON Data'!L:L,'ON Data'!$E:$E,6))</f>
        <v>0</v>
      </c>
      <c r="H20" s="280">
        <f xml:space="preserve">
IF($A$4&lt;=12,SUMIFS('ON Data'!M:M,'ON Data'!$D:$D,$A$4,'ON Data'!$E:$E,6),SUMIFS('ON Data'!M:M,'ON Data'!$E:$E,6))</f>
        <v>0</v>
      </c>
      <c r="I20" s="280">
        <f xml:space="preserve">
IF($A$4&lt;=12,SUMIFS('ON Data'!N:N,'ON Data'!$D:$D,$A$4,'ON Data'!$E:$E,6),SUMIFS('ON Data'!N:N,'ON Data'!$E:$E,6))</f>
        <v>0</v>
      </c>
      <c r="J20" s="280">
        <f xml:space="preserve">
IF($A$4&lt;=12,SUMIFS('ON Data'!O:O,'ON Data'!$D:$D,$A$4,'ON Data'!$E:$E,6),SUMIFS('ON Data'!O:O,'ON Data'!$E:$E,6))</f>
        <v>0</v>
      </c>
      <c r="K20" s="280">
        <f xml:space="preserve">
IF($A$4&lt;=12,SUMIFS('ON Data'!P:P,'ON Data'!$D:$D,$A$4,'ON Data'!$E:$E,6),SUMIFS('ON Data'!P:P,'ON Data'!$E:$E,6))</f>
        <v>0</v>
      </c>
      <c r="L20" s="280">
        <f xml:space="preserve">
IF($A$4&lt;=12,SUMIFS('ON Data'!Q:Q,'ON Data'!$D:$D,$A$4,'ON Data'!$E:$E,6),SUMIFS('ON Data'!Q:Q,'ON Data'!$E:$E,6))</f>
        <v>0</v>
      </c>
      <c r="M20" s="280">
        <f xml:space="preserve">
IF($A$4&lt;=12,SUMIFS('ON Data'!R:R,'ON Data'!$D:$D,$A$4,'ON Data'!$E:$E,6),SUMIFS('ON Data'!R:R,'ON Data'!$E:$E,6))</f>
        <v>0</v>
      </c>
      <c r="N20" s="280">
        <f xml:space="preserve">
IF($A$4&lt;=12,SUMIFS('ON Data'!S:S,'ON Data'!$D:$D,$A$4,'ON Data'!$E:$E,6),SUMIFS('ON Data'!S:S,'ON Data'!$E:$E,6))</f>
        <v>0</v>
      </c>
      <c r="O20" s="280">
        <f xml:space="preserve">
IF($A$4&lt;=12,SUMIFS('ON Data'!T:T,'ON Data'!$D:$D,$A$4,'ON Data'!$E:$E,6),SUMIFS('ON Data'!T:T,'ON Data'!$E:$E,6))</f>
        <v>0</v>
      </c>
      <c r="P20" s="280">
        <f xml:space="preserve">
IF($A$4&lt;=12,SUMIFS('ON Data'!U:U,'ON Data'!$D:$D,$A$4,'ON Data'!$E:$E,6),SUMIFS('ON Data'!U:U,'ON Data'!$E:$E,6))</f>
        <v>0</v>
      </c>
      <c r="Q20" s="280">
        <f xml:space="preserve">
IF($A$4&lt;=12,SUMIFS('ON Data'!V:V,'ON Data'!$D:$D,$A$4,'ON Data'!$E:$E,6),SUMIFS('ON Data'!V:V,'ON Data'!$E:$E,6))</f>
        <v>0</v>
      </c>
      <c r="R20" s="280">
        <f xml:space="preserve">
IF($A$4&lt;=12,SUMIFS('ON Data'!W:W,'ON Data'!$D:$D,$A$4,'ON Data'!$E:$E,6),SUMIFS('ON Data'!W:W,'ON Data'!$E:$E,6))</f>
        <v>0</v>
      </c>
      <c r="S20" s="280">
        <f xml:space="preserve">
IF($A$4&lt;=12,SUMIFS('ON Data'!X:X,'ON Data'!$D:$D,$A$4,'ON Data'!$E:$E,6),SUMIFS('ON Data'!X:X,'ON Data'!$E:$E,6))</f>
        <v>0</v>
      </c>
      <c r="T20" s="280">
        <f xml:space="preserve">
IF($A$4&lt;=12,SUMIFS('ON Data'!Y:Y,'ON Data'!$D:$D,$A$4,'ON Data'!$E:$E,6),SUMIFS('ON Data'!Y:Y,'ON Data'!$E:$E,6))</f>
        <v>0</v>
      </c>
      <c r="U20" s="280">
        <f xml:space="preserve">
IF($A$4&lt;=12,SUMIFS('ON Data'!Z:Z,'ON Data'!$D:$D,$A$4,'ON Data'!$E:$E,6),SUMIFS('ON Data'!Z:Z,'ON Data'!$E:$E,6))</f>
        <v>0</v>
      </c>
      <c r="V20" s="280">
        <f xml:space="preserve">
IF($A$4&lt;=12,SUMIFS('ON Data'!AA:AA,'ON Data'!$D:$D,$A$4,'ON Data'!$E:$E,6),SUMIFS('ON Data'!AA:AA,'ON Data'!$E:$E,6))</f>
        <v>0</v>
      </c>
      <c r="W20" s="280">
        <f xml:space="preserve">
IF($A$4&lt;=12,SUMIFS('ON Data'!AB:AB,'ON Data'!$D:$D,$A$4,'ON Data'!$E:$E,6),SUMIFS('ON Data'!AB:AB,'ON Data'!$E:$E,6))</f>
        <v>0</v>
      </c>
      <c r="X20" s="280">
        <f xml:space="preserve">
IF($A$4&lt;=12,SUMIFS('ON Data'!AC:AC,'ON Data'!$D:$D,$A$4,'ON Data'!$E:$E,6),SUMIFS('ON Data'!AC:AC,'ON Data'!$E:$E,6))</f>
        <v>0</v>
      </c>
      <c r="Y20" s="280">
        <f xml:space="preserve">
IF($A$4&lt;=12,SUMIFS('ON Data'!AD:AD,'ON Data'!$D:$D,$A$4,'ON Data'!$E:$E,6),SUMIFS('ON Data'!AD:AD,'ON Data'!$E:$E,6))</f>
        <v>0</v>
      </c>
      <c r="Z20" s="280">
        <f xml:space="preserve">
IF($A$4&lt;=12,SUMIFS('ON Data'!AE:AE,'ON Data'!$D:$D,$A$4,'ON Data'!$E:$E,6),SUMIFS('ON Data'!AE:AE,'ON Data'!$E:$E,6))</f>
        <v>0</v>
      </c>
      <c r="AA20" s="280">
        <f xml:space="preserve">
IF($A$4&lt;=12,SUMIFS('ON Data'!AF:AF,'ON Data'!$D:$D,$A$4,'ON Data'!$E:$E,6),SUMIFS('ON Data'!AF:AF,'ON Data'!$E:$E,6))</f>
        <v>0</v>
      </c>
      <c r="AB20" s="280">
        <f xml:space="preserve">
IF($A$4&lt;=12,SUMIFS('ON Data'!AG:AG,'ON Data'!$D:$D,$A$4,'ON Data'!$E:$E,6),SUMIFS('ON Data'!AG:AG,'ON Data'!$E:$E,6))</f>
        <v>0</v>
      </c>
      <c r="AC20" s="280">
        <f xml:space="preserve">
IF($A$4&lt;=12,SUMIFS('ON Data'!AH:AH,'ON Data'!$D:$D,$A$4,'ON Data'!$E:$E,6),SUMIFS('ON Data'!AH:AH,'ON Data'!$E:$E,6))</f>
        <v>0</v>
      </c>
      <c r="AD20" s="280">
        <f xml:space="preserve">
IF($A$4&lt;=12,SUMIFS('ON Data'!AI:AI,'ON Data'!$D:$D,$A$4,'ON Data'!$E:$E,6),SUMIFS('ON Data'!AI:AI,'ON Data'!$E:$E,6))</f>
        <v>0</v>
      </c>
      <c r="AE20" s="280">
        <f xml:space="preserve">
IF($A$4&lt;=12,SUMIFS('ON Data'!AJ:AJ,'ON Data'!$D:$D,$A$4,'ON Data'!$E:$E,6),SUMIFS('ON Data'!AJ:AJ,'ON Data'!$E:$E,6))</f>
        <v>0</v>
      </c>
      <c r="AF20" s="280">
        <f xml:space="preserve">
IF($A$4&lt;=12,SUMIFS('ON Data'!AK:AK,'ON Data'!$D:$D,$A$4,'ON Data'!$E:$E,6),SUMIFS('ON Data'!AK:AK,'ON Data'!$E:$E,6))</f>
        <v>0</v>
      </c>
      <c r="AG20" s="280">
        <f xml:space="preserve">
IF($A$4&lt;=12,SUMIFS('ON Data'!AL:AL,'ON Data'!$D:$D,$A$4,'ON Data'!$E:$E,6),SUMIFS('ON Data'!AL:AL,'ON Data'!$E:$E,6))</f>
        <v>0</v>
      </c>
      <c r="AH20" s="610">
        <f xml:space="preserve">
IF($A$4&lt;=12,SUMIFS('ON Data'!AN:AN,'ON Data'!$D:$D,$A$4,'ON Data'!$E:$E,6),SUMIFS('ON Data'!AN:AN,'ON Data'!$E:$E,6))</f>
        <v>396647</v>
      </c>
      <c r="AI20" s="616"/>
    </row>
    <row r="21" spans="1:35" ht="15" hidden="1" outlineLevel="1" thickBot="1" x14ac:dyDescent="0.35">
      <c r="A21" s="246" t="s">
        <v>108</v>
      </c>
      <c r="B21" s="266">
        <f xml:space="preserve">
IF($A$4&lt;=12,SUMIFS('ON Data'!F:F,'ON Data'!$D:$D,$A$4,'ON Data'!$E:$E,12),SUMIFS('ON Data'!F:F,'ON Data'!$E:$E,12))</f>
        <v>0</v>
      </c>
      <c r="C21" s="267">
        <f xml:space="preserve">
IF($A$4&lt;=12,SUMIFS('ON Data'!G:G,'ON Data'!$D:$D,$A$4,'ON Data'!$E:$E,12),SUMIFS('ON Data'!G:G,'ON Data'!$E:$E,12))</f>
        <v>0</v>
      </c>
      <c r="D21" s="268">
        <f xml:space="preserve">
IF($A$4&lt;=12,SUMIFS('ON Data'!H:H,'ON Data'!$D:$D,$A$4,'ON Data'!$E:$E,12),SUMIFS('ON Data'!H:H,'ON Data'!$E:$E,12))</f>
        <v>0</v>
      </c>
      <c r="E21" s="268">
        <f xml:space="preserve">
IF($A$4&lt;=12,SUMIFS('ON Data'!I:I,'ON Data'!$D:$D,$A$4,'ON Data'!$E:$E,12),SUMIFS('ON Data'!I:I,'ON Data'!$E:$E,12))</f>
        <v>0</v>
      </c>
      <c r="F21" s="268">
        <f xml:space="preserve">
IF($A$4&lt;=12,SUMIFS('ON Data'!K:K,'ON Data'!$D:$D,$A$4,'ON Data'!$E:$E,12),SUMIFS('ON Data'!K:K,'ON Data'!$E:$E,12))</f>
        <v>0</v>
      </c>
      <c r="G21" s="268">
        <f xml:space="preserve">
IF($A$4&lt;=12,SUMIFS('ON Data'!L:L,'ON Data'!$D:$D,$A$4,'ON Data'!$E:$E,12),SUMIFS('ON Data'!L:L,'ON Data'!$E:$E,12))</f>
        <v>0</v>
      </c>
      <c r="H21" s="268">
        <f xml:space="preserve">
IF($A$4&lt;=12,SUMIFS('ON Data'!M:M,'ON Data'!$D:$D,$A$4,'ON Data'!$E:$E,12),SUMIFS('ON Data'!M:M,'ON Data'!$E:$E,12))</f>
        <v>0</v>
      </c>
      <c r="I21" s="268">
        <f xml:space="preserve">
IF($A$4&lt;=12,SUMIFS('ON Data'!N:N,'ON Data'!$D:$D,$A$4,'ON Data'!$E:$E,12),SUMIFS('ON Data'!N:N,'ON Data'!$E:$E,12))</f>
        <v>0</v>
      </c>
      <c r="J21" s="268">
        <f xml:space="preserve">
IF($A$4&lt;=12,SUMIFS('ON Data'!O:O,'ON Data'!$D:$D,$A$4,'ON Data'!$E:$E,12),SUMIFS('ON Data'!O:O,'ON Data'!$E:$E,12))</f>
        <v>0</v>
      </c>
      <c r="K21" s="268">
        <f xml:space="preserve">
IF($A$4&lt;=12,SUMIFS('ON Data'!P:P,'ON Data'!$D:$D,$A$4,'ON Data'!$E:$E,12),SUMIFS('ON Data'!P:P,'ON Data'!$E:$E,12))</f>
        <v>0</v>
      </c>
      <c r="L21" s="268">
        <f xml:space="preserve">
IF($A$4&lt;=12,SUMIFS('ON Data'!Q:Q,'ON Data'!$D:$D,$A$4,'ON Data'!$E:$E,12),SUMIFS('ON Data'!Q:Q,'ON Data'!$E:$E,12))</f>
        <v>0</v>
      </c>
      <c r="M21" s="268">
        <f xml:space="preserve">
IF($A$4&lt;=12,SUMIFS('ON Data'!R:R,'ON Data'!$D:$D,$A$4,'ON Data'!$E:$E,12),SUMIFS('ON Data'!R:R,'ON Data'!$E:$E,12))</f>
        <v>0</v>
      </c>
      <c r="N21" s="268">
        <f xml:space="preserve">
IF($A$4&lt;=12,SUMIFS('ON Data'!S:S,'ON Data'!$D:$D,$A$4,'ON Data'!$E:$E,12),SUMIFS('ON Data'!S:S,'ON Data'!$E:$E,12))</f>
        <v>0</v>
      </c>
      <c r="O21" s="268">
        <f xml:space="preserve">
IF($A$4&lt;=12,SUMIFS('ON Data'!T:T,'ON Data'!$D:$D,$A$4,'ON Data'!$E:$E,12),SUMIFS('ON Data'!T:T,'ON Data'!$E:$E,12))</f>
        <v>0</v>
      </c>
      <c r="P21" s="268">
        <f xml:space="preserve">
IF($A$4&lt;=12,SUMIFS('ON Data'!U:U,'ON Data'!$D:$D,$A$4,'ON Data'!$E:$E,12),SUMIFS('ON Data'!U:U,'ON Data'!$E:$E,12))</f>
        <v>0</v>
      </c>
      <c r="Q21" s="268">
        <f xml:space="preserve">
IF($A$4&lt;=12,SUMIFS('ON Data'!V:V,'ON Data'!$D:$D,$A$4,'ON Data'!$E:$E,12),SUMIFS('ON Data'!V:V,'ON Data'!$E:$E,12))</f>
        <v>0</v>
      </c>
      <c r="R21" s="268">
        <f xml:space="preserve">
IF($A$4&lt;=12,SUMIFS('ON Data'!W:W,'ON Data'!$D:$D,$A$4,'ON Data'!$E:$E,12),SUMIFS('ON Data'!W:W,'ON Data'!$E:$E,12))</f>
        <v>0</v>
      </c>
      <c r="S21" s="268">
        <f xml:space="preserve">
IF($A$4&lt;=12,SUMIFS('ON Data'!X:X,'ON Data'!$D:$D,$A$4,'ON Data'!$E:$E,12),SUMIFS('ON Data'!X:X,'ON Data'!$E:$E,12))</f>
        <v>0</v>
      </c>
      <c r="T21" s="268">
        <f xml:space="preserve">
IF($A$4&lt;=12,SUMIFS('ON Data'!Y:Y,'ON Data'!$D:$D,$A$4,'ON Data'!$E:$E,12),SUMIFS('ON Data'!Y:Y,'ON Data'!$E:$E,12))</f>
        <v>0</v>
      </c>
      <c r="U21" s="268">
        <f xml:space="preserve">
IF($A$4&lt;=12,SUMIFS('ON Data'!Z:Z,'ON Data'!$D:$D,$A$4,'ON Data'!$E:$E,12),SUMIFS('ON Data'!Z:Z,'ON Data'!$E:$E,12))</f>
        <v>0</v>
      </c>
      <c r="V21" s="268">
        <f xml:space="preserve">
IF($A$4&lt;=12,SUMIFS('ON Data'!AA:AA,'ON Data'!$D:$D,$A$4,'ON Data'!$E:$E,12),SUMIFS('ON Data'!AA:AA,'ON Data'!$E:$E,12))</f>
        <v>0</v>
      </c>
      <c r="W21" s="268">
        <f xml:space="preserve">
IF($A$4&lt;=12,SUMIFS('ON Data'!AB:AB,'ON Data'!$D:$D,$A$4,'ON Data'!$E:$E,12),SUMIFS('ON Data'!AB:AB,'ON Data'!$E:$E,12))</f>
        <v>0</v>
      </c>
      <c r="X21" s="268">
        <f xml:space="preserve">
IF($A$4&lt;=12,SUMIFS('ON Data'!AC:AC,'ON Data'!$D:$D,$A$4,'ON Data'!$E:$E,12),SUMIFS('ON Data'!AC:AC,'ON Data'!$E:$E,12))</f>
        <v>0</v>
      </c>
      <c r="Y21" s="268">
        <f xml:space="preserve">
IF($A$4&lt;=12,SUMIFS('ON Data'!AD:AD,'ON Data'!$D:$D,$A$4,'ON Data'!$E:$E,12),SUMIFS('ON Data'!AD:AD,'ON Data'!$E:$E,12))</f>
        <v>0</v>
      </c>
      <c r="Z21" s="268">
        <f xml:space="preserve">
IF($A$4&lt;=12,SUMIFS('ON Data'!AE:AE,'ON Data'!$D:$D,$A$4,'ON Data'!$E:$E,12),SUMIFS('ON Data'!AE:AE,'ON Data'!$E:$E,12))</f>
        <v>0</v>
      </c>
      <c r="AA21" s="268">
        <f xml:space="preserve">
IF($A$4&lt;=12,SUMIFS('ON Data'!AF:AF,'ON Data'!$D:$D,$A$4,'ON Data'!$E:$E,12),SUMIFS('ON Data'!AF:AF,'ON Data'!$E:$E,12))</f>
        <v>0</v>
      </c>
      <c r="AB21" s="268">
        <f xml:space="preserve">
IF($A$4&lt;=12,SUMIFS('ON Data'!AG:AG,'ON Data'!$D:$D,$A$4,'ON Data'!$E:$E,12),SUMIFS('ON Data'!AG:AG,'ON Data'!$E:$E,12))</f>
        <v>0</v>
      </c>
      <c r="AC21" s="268">
        <f xml:space="preserve">
IF($A$4&lt;=12,SUMIFS('ON Data'!AH:AH,'ON Data'!$D:$D,$A$4,'ON Data'!$E:$E,12),SUMIFS('ON Data'!AH:AH,'ON Data'!$E:$E,12))</f>
        <v>0</v>
      </c>
      <c r="AD21" s="268">
        <f xml:space="preserve">
IF($A$4&lt;=12,SUMIFS('ON Data'!AI:AI,'ON Data'!$D:$D,$A$4,'ON Data'!$E:$E,12),SUMIFS('ON Data'!AI:AI,'ON Data'!$E:$E,12))</f>
        <v>0</v>
      </c>
      <c r="AE21" s="268">
        <f xml:space="preserve">
IF($A$4&lt;=12,SUMIFS('ON Data'!AJ:AJ,'ON Data'!$D:$D,$A$4,'ON Data'!$E:$E,12),SUMIFS('ON Data'!AJ:AJ,'ON Data'!$E:$E,12))</f>
        <v>0</v>
      </c>
      <c r="AF21" s="268">
        <f xml:space="preserve">
IF($A$4&lt;=12,SUMIFS('ON Data'!AK:AK,'ON Data'!$D:$D,$A$4,'ON Data'!$E:$E,12),SUMIFS('ON Data'!AK:AK,'ON Data'!$E:$E,12))</f>
        <v>0</v>
      </c>
      <c r="AG21" s="268">
        <f xml:space="preserve">
IF($A$4&lt;=12,SUMIFS('ON Data'!AL:AL,'ON Data'!$D:$D,$A$4,'ON Data'!$E:$E,12),SUMIFS('ON Data'!AL:AL,'ON Data'!$E:$E,12))</f>
        <v>0</v>
      </c>
      <c r="AH21" s="606">
        <f xml:space="preserve">
IF($A$4&lt;=12,SUMIFS('ON Data'!AN:AN,'ON Data'!$D:$D,$A$4,'ON Data'!$E:$E,12),SUMIFS('ON Data'!AN:AN,'ON Data'!$E:$E,12))</f>
        <v>0</v>
      </c>
      <c r="AI21" s="616"/>
    </row>
    <row r="22" spans="1:35" ht="15" hidden="1" outlineLevel="1" thickBot="1" x14ac:dyDescent="0.35">
      <c r="A22" s="246" t="s">
        <v>75</v>
      </c>
      <c r="B22" s="322" t="str">
        <f xml:space="preserve">
IF(OR(B21="",B21=0),"",B20/B21)</f>
        <v/>
      </c>
      <c r="C22" s="323" t="str">
        <f t="shared" ref="C22:G22" si="2" xml:space="preserve">
IF(OR(C21="",C21=0),"",C20/C21)</f>
        <v/>
      </c>
      <c r="D22" s="324" t="str">
        <f t="shared" si="2"/>
        <v/>
      </c>
      <c r="E22" s="324" t="str">
        <f t="shared" si="2"/>
        <v/>
      </c>
      <c r="F22" s="324" t="str">
        <f t="shared" si="2"/>
        <v/>
      </c>
      <c r="G22" s="324" t="str">
        <f t="shared" si="2"/>
        <v/>
      </c>
      <c r="H22" s="324" t="str">
        <f t="shared" ref="H22:AH22" si="3" xml:space="preserve">
IF(OR(H21="",H21=0),"",H20/H21)</f>
        <v/>
      </c>
      <c r="I22" s="324" t="str">
        <f t="shared" si="3"/>
        <v/>
      </c>
      <c r="J22" s="324" t="str">
        <f t="shared" si="3"/>
        <v/>
      </c>
      <c r="K22" s="324" t="str">
        <f t="shared" si="3"/>
        <v/>
      </c>
      <c r="L22" s="324" t="str">
        <f t="shared" si="3"/>
        <v/>
      </c>
      <c r="M22" s="324" t="str">
        <f t="shared" si="3"/>
        <v/>
      </c>
      <c r="N22" s="324" t="str">
        <f t="shared" si="3"/>
        <v/>
      </c>
      <c r="O22" s="324" t="str">
        <f t="shared" si="3"/>
        <v/>
      </c>
      <c r="P22" s="324" t="str">
        <f t="shared" si="3"/>
        <v/>
      </c>
      <c r="Q22" s="324" t="str">
        <f t="shared" si="3"/>
        <v/>
      </c>
      <c r="R22" s="324" t="str">
        <f t="shared" si="3"/>
        <v/>
      </c>
      <c r="S22" s="324" t="str">
        <f t="shared" si="3"/>
        <v/>
      </c>
      <c r="T22" s="324" t="str">
        <f t="shared" si="3"/>
        <v/>
      </c>
      <c r="U22" s="324" t="str">
        <f t="shared" si="3"/>
        <v/>
      </c>
      <c r="V22" s="324" t="str">
        <f t="shared" si="3"/>
        <v/>
      </c>
      <c r="W22" s="324" t="str">
        <f t="shared" si="3"/>
        <v/>
      </c>
      <c r="X22" s="324" t="str">
        <f t="shared" si="3"/>
        <v/>
      </c>
      <c r="Y22" s="324" t="str">
        <f t="shared" si="3"/>
        <v/>
      </c>
      <c r="Z22" s="324" t="str">
        <f t="shared" si="3"/>
        <v/>
      </c>
      <c r="AA22" s="324" t="str">
        <f t="shared" si="3"/>
        <v/>
      </c>
      <c r="AB22" s="324" t="str">
        <f t="shared" si="3"/>
        <v/>
      </c>
      <c r="AC22" s="324" t="str">
        <f t="shared" si="3"/>
        <v/>
      </c>
      <c r="AD22" s="324" t="str">
        <f t="shared" si="3"/>
        <v/>
      </c>
      <c r="AE22" s="324" t="str">
        <f t="shared" si="3"/>
        <v/>
      </c>
      <c r="AF22" s="324" t="str">
        <f t="shared" si="3"/>
        <v/>
      </c>
      <c r="AG22" s="324" t="str">
        <f t="shared" si="3"/>
        <v/>
      </c>
      <c r="AH22" s="611" t="str">
        <f t="shared" si="3"/>
        <v/>
      </c>
      <c r="AI22" s="616"/>
    </row>
    <row r="23" spans="1:35" ht="15" hidden="1" outlineLevel="1" thickBot="1" x14ac:dyDescent="0.35">
      <c r="A23" s="254" t="s">
        <v>68</v>
      </c>
      <c r="B23" s="269">
        <f xml:space="preserve">
IF(B21="","",B20-B21)</f>
        <v>4216710</v>
      </c>
      <c r="C23" s="270">
        <f t="shared" ref="C23:G23" si="4" xml:space="preserve">
IF(C21="","",C20-C21)</f>
        <v>0</v>
      </c>
      <c r="D23" s="271">
        <f t="shared" si="4"/>
        <v>2362978</v>
      </c>
      <c r="E23" s="271">
        <f t="shared" si="4"/>
        <v>0</v>
      </c>
      <c r="F23" s="271">
        <f t="shared" si="4"/>
        <v>1457085</v>
      </c>
      <c r="G23" s="271">
        <f t="shared" si="4"/>
        <v>0</v>
      </c>
      <c r="H23" s="271">
        <f t="shared" ref="H23:AH23" si="5" xml:space="preserve">
IF(H21="","",H20-H21)</f>
        <v>0</v>
      </c>
      <c r="I23" s="271">
        <f t="shared" si="5"/>
        <v>0</v>
      </c>
      <c r="J23" s="271">
        <f t="shared" si="5"/>
        <v>0</v>
      </c>
      <c r="K23" s="271">
        <f t="shared" si="5"/>
        <v>0</v>
      </c>
      <c r="L23" s="271">
        <f t="shared" si="5"/>
        <v>0</v>
      </c>
      <c r="M23" s="271">
        <f t="shared" si="5"/>
        <v>0</v>
      </c>
      <c r="N23" s="271">
        <f t="shared" si="5"/>
        <v>0</v>
      </c>
      <c r="O23" s="271">
        <f t="shared" si="5"/>
        <v>0</v>
      </c>
      <c r="P23" s="271">
        <f t="shared" si="5"/>
        <v>0</v>
      </c>
      <c r="Q23" s="271">
        <f t="shared" si="5"/>
        <v>0</v>
      </c>
      <c r="R23" s="271">
        <f t="shared" si="5"/>
        <v>0</v>
      </c>
      <c r="S23" s="271">
        <f t="shared" si="5"/>
        <v>0</v>
      </c>
      <c r="T23" s="271">
        <f t="shared" si="5"/>
        <v>0</v>
      </c>
      <c r="U23" s="271">
        <f t="shared" si="5"/>
        <v>0</v>
      </c>
      <c r="V23" s="271">
        <f t="shared" si="5"/>
        <v>0</v>
      </c>
      <c r="W23" s="271">
        <f t="shared" si="5"/>
        <v>0</v>
      </c>
      <c r="X23" s="271">
        <f t="shared" si="5"/>
        <v>0</v>
      </c>
      <c r="Y23" s="271">
        <f t="shared" si="5"/>
        <v>0</v>
      </c>
      <c r="Z23" s="271">
        <f t="shared" si="5"/>
        <v>0</v>
      </c>
      <c r="AA23" s="271">
        <f t="shared" si="5"/>
        <v>0</v>
      </c>
      <c r="AB23" s="271">
        <f t="shared" si="5"/>
        <v>0</v>
      </c>
      <c r="AC23" s="271">
        <f t="shared" si="5"/>
        <v>0</v>
      </c>
      <c r="AD23" s="271">
        <f t="shared" si="5"/>
        <v>0</v>
      </c>
      <c r="AE23" s="271">
        <f t="shared" si="5"/>
        <v>0</v>
      </c>
      <c r="AF23" s="271">
        <f t="shared" si="5"/>
        <v>0</v>
      </c>
      <c r="AG23" s="271">
        <f t="shared" si="5"/>
        <v>0</v>
      </c>
      <c r="AH23" s="607">
        <f t="shared" si="5"/>
        <v>396647</v>
      </c>
      <c r="AI23" s="616"/>
    </row>
    <row r="24" spans="1:35" x14ac:dyDescent="0.3">
      <c r="A24" s="248" t="s">
        <v>203</v>
      </c>
      <c r="B24" s="295" t="s">
        <v>3</v>
      </c>
      <c r="C24" s="617" t="s">
        <v>214</v>
      </c>
      <c r="D24" s="591"/>
      <c r="E24" s="592"/>
      <c r="F24" s="592" t="s">
        <v>215</v>
      </c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  <c r="AC24" s="592"/>
      <c r="AD24" s="592"/>
      <c r="AE24" s="592"/>
      <c r="AF24" s="592"/>
      <c r="AG24" s="592"/>
      <c r="AH24" s="612" t="s">
        <v>216</v>
      </c>
      <c r="AI24" s="616"/>
    </row>
    <row r="25" spans="1:35" x14ac:dyDescent="0.3">
      <c r="A25" s="249" t="s">
        <v>73</v>
      </c>
      <c r="B25" s="266">
        <f xml:space="preserve">
SUM(C25:AH25)</f>
        <v>13900</v>
      </c>
      <c r="C25" s="618">
        <f xml:space="preserve">
IF($A$4&lt;=12,SUMIFS('ON Data'!H:H,'ON Data'!$D:$D,$A$4,'ON Data'!$E:$E,10),SUMIFS('ON Data'!H:H,'ON Data'!$E:$E,10))</f>
        <v>13900</v>
      </c>
      <c r="D25" s="593"/>
      <c r="E25" s="594"/>
      <c r="F25" s="594">
        <f xml:space="preserve">
IF($A$4&lt;=12,SUMIFS('ON Data'!K:K,'ON Data'!$D:$D,$A$4,'ON Data'!$E:$E,10),SUMIFS('ON Data'!K:K,'ON Data'!$E:$E,10))</f>
        <v>0</v>
      </c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613">
        <f xml:space="preserve">
IF($A$4&lt;=12,SUMIFS('ON Data'!AN:AN,'ON Data'!$D:$D,$A$4,'ON Data'!$E:$E,10),SUMIFS('ON Data'!AN:AN,'ON Data'!$E:$E,10))</f>
        <v>0</v>
      </c>
      <c r="AI25" s="616"/>
    </row>
    <row r="26" spans="1:35" x14ac:dyDescent="0.3">
      <c r="A26" s="255" t="s">
        <v>213</v>
      </c>
      <c r="B26" s="275">
        <f xml:space="preserve">
SUM(C26:AH26)</f>
        <v>11835.163818103289</v>
      </c>
      <c r="C26" s="618">
        <f xml:space="preserve">
IF($A$4&lt;=12,SUMIFS('ON Data'!H:H,'ON Data'!$D:$D,$A$4,'ON Data'!$E:$E,11),SUMIFS('ON Data'!H:H,'ON Data'!$E:$E,11))</f>
        <v>11835.163818103289</v>
      </c>
      <c r="D26" s="593"/>
      <c r="E26" s="594"/>
      <c r="F26" s="595">
        <f xml:space="preserve">
IF($A$4&lt;=12,SUMIFS('ON Data'!K:K,'ON Data'!$D:$D,$A$4,'ON Data'!$E:$E,11),SUMIFS('ON Data'!K:K,'ON Data'!$E:$E,11))</f>
        <v>0</v>
      </c>
      <c r="G26" s="595"/>
      <c r="H26" s="595"/>
      <c r="I26" s="595"/>
      <c r="J26" s="595"/>
      <c r="K26" s="595"/>
      <c r="L26" s="595"/>
      <c r="M26" s="595"/>
      <c r="N26" s="595"/>
      <c r="O26" s="595"/>
      <c r="P26" s="595"/>
      <c r="Q26" s="595"/>
      <c r="R26" s="595"/>
      <c r="S26" s="595"/>
      <c r="T26" s="595"/>
      <c r="U26" s="595"/>
      <c r="V26" s="595"/>
      <c r="W26" s="595"/>
      <c r="X26" s="595"/>
      <c r="Y26" s="595"/>
      <c r="Z26" s="595"/>
      <c r="AA26" s="595"/>
      <c r="AB26" s="595"/>
      <c r="AC26" s="595"/>
      <c r="AD26" s="595"/>
      <c r="AE26" s="595"/>
      <c r="AF26" s="595"/>
      <c r="AG26" s="595"/>
      <c r="AH26" s="613">
        <f xml:space="preserve">
IF($A$4&lt;=12,SUMIFS('ON Data'!AN:AN,'ON Data'!$D:$D,$A$4,'ON Data'!$E:$E,11),SUMIFS('ON Data'!AN:AN,'ON Data'!$E:$E,11))</f>
        <v>0</v>
      </c>
      <c r="AI26" s="616"/>
    </row>
    <row r="27" spans="1:35" x14ac:dyDescent="0.3">
      <c r="A27" s="255" t="s">
        <v>75</v>
      </c>
      <c r="B27" s="296">
        <f xml:space="preserve">
IF(B26=0,0,B25/B26)</f>
        <v>1.1744662104920169</v>
      </c>
      <c r="C27" s="619">
        <f xml:space="preserve">
IF(C26=0,0,C25/C26)</f>
        <v>1.1744662104920169</v>
      </c>
      <c r="D27" s="596"/>
      <c r="E27" s="597"/>
      <c r="F27" s="597">
        <f xml:space="preserve">
IF(F26=0,0,F25/F26)</f>
        <v>0</v>
      </c>
      <c r="G27" s="597"/>
      <c r="H27" s="597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614">
        <f xml:space="preserve">
IF(AH26=0,0,AH25/AH26)</f>
        <v>0</v>
      </c>
      <c r="AI27" s="616"/>
    </row>
    <row r="28" spans="1:35" ht="15" thickBot="1" x14ac:dyDescent="0.35">
      <c r="A28" s="255" t="s">
        <v>212</v>
      </c>
      <c r="B28" s="275">
        <f xml:space="preserve">
SUM(C28:AH28)</f>
        <v>-2064.8361818967114</v>
      </c>
      <c r="C28" s="620">
        <f xml:space="preserve">
C26-C25</f>
        <v>-2064.8361818967114</v>
      </c>
      <c r="D28" s="598"/>
      <c r="E28" s="599"/>
      <c r="F28" s="599">
        <f xml:space="preserve">
F26-F25</f>
        <v>0</v>
      </c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  <c r="AH28" s="615">
        <f xml:space="preserve">
AH26-AH25</f>
        <v>0</v>
      </c>
      <c r="AI28" s="616"/>
    </row>
    <row r="29" spans="1:35" x14ac:dyDescent="0.3">
      <c r="A29" s="256"/>
      <c r="B29" s="256"/>
      <c r="C29" s="257"/>
      <c r="D29" s="256"/>
      <c r="E29" s="256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6"/>
      <c r="AG29" s="256"/>
      <c r="AH29" s="256"/>
    </row>
    <row r="30" spans="1:35" x14ac:dyDescent="0.3">
      <c r="A30" s="116" t="s">
        <v>165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54"/>
    </row>
    <row r="31" spans="1:35" x14ac:dyDescent="0.3">
      <c r="A31" s="117" t="s">
        <v>210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54"/>
    </row>
    <row r="32" spans="1:35" ht="14.4" customHeight="1" x14ac:dyDescent="0.3">
      <c r="A32" s="292" t="s">
        <v>207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</row>
    <row r="33" spans="1:1" x14ac:dyDescent="0.3">
      <c r="A33" s="294" t="s">
        <v>217</v>
      </c>
    </row>
    <row r="34" spans="1:1" x14ac:dyDescent="0.3">
      <c r="A34" s="294" t="s">
        <v>218</v>
      </c>
    </row>
    <row r="35" spans="1:1" x14ac:dyDescent="0.3">
      <c r="A35" s="294" t="s">
        <v>219</v>
      </c>
    </row>
    <row r="36" spans="1:1" x14ac:dyDescent="0.3">
      <c r="A36" s="294" t="s">
        <v>220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5" priority="4" operator="greaterThan">
      <formula>1</formula>
    </cfRule>
  </conditionalFormatting>
  <conditionalFormatting sqref="C28 AH28 F28">
    <cfRule type="cellIs" dxfId="4" priority="3" operator="lessThan">
      <formula>0</formula>
    </cfRule>
  </conditionalFormatting>
  <conditionalFormatting sqref="B22:AH22">
    <cfRule type="cellIs" dxfId="3" priority="2" operator="greaterThan">
      <formula>1</formula>
    </cfRule>
  </conditionalFormatting>
  <conditionalFormatting sqref="B23:AH23">
    <cfRule type="cellIs" dxfId="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9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1" x14ac:dyDescent="0.3">
      <c r="A1" s="235" t="s">
        <v>1057</v>
      </c>
    </row>
    <row r="2" spans="1:41" x14ac:dyDescent="0.3">
      <c r="A2" s="239" t="s">
        <v>286</v>
      </c>
    </row>
    <row r="3" spans="1:41" x14ac:dyDescent="0.3">
      <c r="A3" s="235" t="s">
        <v>177</v>
      </c>
      <c r="B3" s="260">
        <v>2015</v>
      </c>
      <c r="D3" s="236">
        <f>MAX(D5:D1048576)</f>
        <v>9</v>
      </c>
      <c r="F3" s="236">
        <f>SUMIF($E5:$E1048576,"&lt;10",F5:F1048576)</f>
        <v>4538571.2300000004</v>
      </c>
      <c r="G3" s="236">
        <f t="shared" ref="G3:AO3" si="0">SUMIF($E5:$E1048576,"&lt;10",G5:G1048576)</f>
        <v>0</v>
      </c>
      <c r="H3" s="236">
        <f t="shared" si="0"/>
        <v>2521842.1500000004</v>
      </c>
      <c r="I3" s="236">
        <f t="shared" si="0"/>
        <v>0</v>
      </c>
      <c r="J3" s="236">
        <f t="shared" si="0"/>
        <v>0</v>
      </c>
      <c r="K3" s="236">
        <f t="shared" si="0"/>
        <v>1595881.08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0</v>
      </c>
      <c r="Q3" s="236">
        <f t="shared" si="0"/>
        <v>0</v>
      </c>
      <c r="R3" s="236">
        <f t="shared" si="0"/>
        <v>0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420848</v>
      </c>
      <c r="AO3" s="236">
        <f t="shared" si="0"/>
        <v>0</v>
      </c>
    </row>
    <row r="4" spans="1:41" x14ac:dyDescent="0.3">
      <c r="A4" s="235" t="s">
        <v>178</v>
      </c>
      <c r="B4" s="260">
        <v>1</v>
      </c>
      <c r="C4" s="237" t="s">
        <v>5</v>
      </c>
      <c r="D4" s="238" t="s">
        <v>67</v>
      </c>
      <c r="E4" s="238" t="s">
        <v>172</v>
      </c>
      <c r="F4" s="238" t="s">
        <v>3</v>
      </c>
      <c r="G4" s="238" t="s">
        <v>173</v>
      </c>
      <c r="H4" s="238" t="s">
        <v>174</v>
      </c>
      <c r="I4" s="238" t="s">
        <v>175</v>
      </c>
      <c r="J4" s="238" t="s">
        <v>176</v>
      </c>
      <c r="K4" s="238">
        <v>305</v>
      </c>
      <c r="L4" s="238">
        <v>306</v>
      </c>
      <c r="M4" s="238">
        <v>407</v>
      </c>
      <c r="N4" s="238">
        <v>408</v>
      </c>
      <c r="O4" s="238">
        <v>409</v>
      </c>
      <c r="P4" s="238">
        <v>410</v>
      </c>
      <c r="Q4" s="238">
        <v>415</v>
      </c>
      <c r="R4" s="238">
        <v>416</v>
      </c>
      <c r="S4" s="238">
        <v>418</v>
      </c>
      <c r="T4" s="238">
        <v>419</v>
      </c>
      <c r="U4" s="238">
        <v>420</v>
      </c>
      <c r="V4" s="238">
        <v>421</v>
      </c>
      <c r="W4" s="238">
        <v>522</v>
      </c>
      <c r="X4" s="238">
        <v>523</v>
      </c>
      <c r="Y4" s="238">
        <v>524</v>
      </c>
      <c r="Z4" s="238">
        <v>525</v>
      </c>
      <c r="AA4" s="238">
        <v>526</v>
      </c>
      <c r="AB4" s="238">
        <v>527</v>
      </c>
      <c r="AC4" s="238">
        <v>528</v>
      </c>
      <c r="AD4" s="238">
        <v>629</v>
      </c>
      <c r="AE4" s="238">
        <v>630</v>
      </c>
      <c r="AF4" s="238">
        <v>636</v>
      </c>
      <c r="AG4" s="238">
        <v>637</v>
      </c>
      <c r="AH4" s="238">
        <v>640</v>
      </c>
      <c r="AI4" s="238">
        <v>642</v>
      </c>
      <c r="AJ4" s="238">
        <v>743</v>
      </c>
      <c r="AK4" s="238">
        <v>745</v>
      </c>
      <c r="AL4" s="238">
        <v>746</v>
      </c>
      <c r="AM4" s="238">
        <v>747</v>
      </c>
      <c r="AN4" s="238">
        <v>930</v>
      </c>
      <c r="AO4" s="238">
        <v>940</v>
      </c>
    </row>
    <row r="5" spans="1:41" x14ac:dyDescent="0.3">
      <c r="A5" s="235" t="s">
        <v>179</v>
      </c>
      <c r="B5" s="260">
        <v>2</v>
      </c>
      <c r="C5" s="235">
        <v>19</v>
      </c>
      <c r="D5" s="235">
        <v>1</v>
      </c>
      <c r="E5" s="235">
        <v>1</v>
      </c>
      <c r="F5" s="235">
        <v>12.35</v>
      </c>
      <c r="G5" s="235">
        <v>0</v>
      </c>
      <c r="H5" s="235">
        <v>4.3499999999999996</v>
      </c>
      <c r="I5" s="235">
        <v>0</v>
      </c>
      <c r="J5" s="235">
        <v>0</v>
      </c>
      <c r="K5" s="235">
        <v>5</v>
      </c>
      <c r="L5" s="235">
        <v>0</v>
      </c>
      <c r="M5" s="235">
        <v>0</v>
      </c>
      <c r="N5" s="235">
        <v>0</v>
      </c>
      <c r="O5" s="235">
        <v>0</v>
      </c>
      <c r="P5" s="235">
        <v>0</v>
      </c>
      <c r="Q5" s="235">
        <v>0</v>
      </c>
      <c r="R5" s="235">
        <v>0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3</v>
      </c>
      <c r="AO5" s="235">
        <v>0</v>
      </c>
    </row>
    <row r="6" spans="1:41" x14ac:dyDescent="0.3">
      <c r="A6" s="235" t="s">
        <v>180</v>
      </c>
      <c r="B6" s="260">
        <v>3</v>
      </c>
      <c r="C6" s="235">
        <v>19</v>
      </c>
      <c r="D6" s="235">
        <v>1</v>
      </c>
      <c r="E6" s="235">
        <v>2</v>
      </c>
      <c r="F6" s="235">
        <v>1950</v>
      </c>
      <c r="G6" s="235">
        <v>0</v>
      </c>
      <c r="H6" s="235">
        <v>746</v>
      </c>
      <c r="I6" s="235">
        <v>0</v>
      </c>
      <c r="J6" s="235">
        <v>0</v>
      </c>
      <c r="K6" s="235">
        <v>852</v>
      </c>
      <c r="L6" s="235">
        <v>0</v>
      </c>
      <c r="M6" s="235">
        <v>0</v>
      </c>
      <c r="N6" s="235">
        <v>0</v>
      </c>
      <c r="O6" s="235">
        <v>0</v>
      </c>
      <c r="P6" s="235">
        <v>0</v>
      </c>
      <c r="Q6" s="235">
        <v>0</v>
      </c>
      <c r="R6" s="235">
        <v>0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352</v>
      </c>
      <c r="AO6" s="235">
        <v>0</v>
      </c>
    </row>
    <row r="7" spans="1:41" x14ac:dyDescent="0.3">
      <c r="A7" s="235" t="s">
        <v>181</v>
      </c>
      <c r="B7" s="260">
        <v>4</v>
      </c>
      <c r="C7" s="235">
        <v>19</v>
      </c>
      <c r="D7" s="235">
        <v>1</v>
      </c>
      <c r="E7" s="235">
        <v>6</v>
      </c>
      <c r="F7" s="235">
        <v>440590</v>
      </c>
      <c r="G7" s="235">
        <v>0</v>
      </c>
      <c r="H7" s="235">
        <v>243162</v>
      </c>
      <c r="I7" s="235">
        <v>0</v>
      </c>
      <c r="J7" s="235">
        <v>0</v>
      </c>
      <c r="K7" s="235">
        <v>145543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51885</v>
      </c>
      <c r="AO7" s="235">
        <v>0</v>
      </c>
    </row>
    <row r="8" spans="1:41" x14ac:dyDescent="0.3">
      <c r="A8" s="235" t="s">
        <v>182</v>
      </c>
      <c r="B8" s="260">
        <v>5</v>
      </c>
      <c r="C8" s="235">
        <v>19</v>
      </c>
      <c r="D8" s="235">
        <v>1</v>
      </c>
      <c r="E8" s="235">
        <v>11</v>
      </c>
      <c r="F8" s="235">
        <v>1315.0182020114764</v>
      </c>
      <c r="G8" s="235">
        <v>0</v>
      </c>
      <c r="H8" s="235">
        <v>1315.0182020114764</v>
      </c>
      <c r="I8" s="235">
        <v>0</v>
      </c>
      <c r="J8" s="235">
        <v>0</v>
      </c>
      <c r="K8" s="235">
        <v>0</v>
      </c>
      <c r="L8" s="235">
        <v>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</row>
    <row r="9" spans="1:41" x14ac:dyDescent="0.3">
      <c r="A9" s="235" t="s">
        <v>183</v>
      </c>
      <c r="B9" s="260">
        <v>6</v>
      </c>
      <c r="C9" s="235">
        <v>19</v>
      </c>
      <c r="D9" s="235">
        <v>2</v>
      </c>
      <c r="E9" s="235">
        <v>1</v>
      </c>
      <c r="F9" s="235">
        <v>11.35</v>
      </c>
      <c r="G9" s="235">
        <v>0</v>
      </c>
      <c r="H9" s="235">
        <v>4.3499999999999996</v>
      </c>
      <c r="I9" s="235">
        <v>0</v>
      </c>
      <c r="J9" s="235">
        <v>0</v>
      </c>
      <c r="K9" s="235">
        <v>5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2</v>
      </c>
      <c r="AO9" s="235">
        <v>0</v>
      </c>
    </row>
    <row r="10" spans="1:41" x14ac:dyDescent="0.3">
      <c r="A10" s="235" t="s">
        <v>184</v>
      </c>
      <c r="B10" s="260">
        <v>7</v>
      </c>
      <c r="C10" s="235">
        <v>19</v>
      </c>
      <c r="D10" s="235">
        <v>2</v>
      </c>
      <c r="E10" s="235">
        <v>2</v>
      </c>
      <c r="F10" s="235">
        <v>1654</v>
      </c>
      <c r="G10" s="235">
        <v>0</v>
      </c>
      <c r="H10" s="235">
        <v>646</v>
      </c>
      <c r="I10" s="235">
        <v>0</v>
      </c>
      <c r="J10" s="235">
        <v>0</v>
      </c>
      <c r="K10" s="235">
        <v>704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304</v>
      </c>
      <c r="AO10" s="235">
        <v>0</v>
      </c>
    </row>
    <row r="11" spans="1:41" x14ac:dyDescent="0.3">
      <c r="A11" s="235" t="s">
        <v>185</v>
      </c>
      <c r="B11" s="260">
        <v>8</v>
      </c>
      <c r="C11" s="235">
        <v>19</v>
      </c>
      <c r="D11" s="235">
        <v>2</v>
      </c>
      <c r="E11" s="235">
        <v>6</v>
      </c>
      <c r="F11" s="235">
        <v>425306</v>
      </c>
      <c r="G11" s="235">
        <v>0</v>
      </c>
      <c r="H11" s="235">
        <v>244458</v>
      </c>
      <c r="I11" s="235">
        <v>0</v>
      </c>
      <c r="J11" s="235">
        <v>0</v>
      </c>
      <c r="K11" s="235">
        <v>133107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47741</v>
      </c>
      <c r="AO11" s="235">
        <v>0</v>
      </c>
    </row>
    <row r="12" spans="1:41" x14ac:dyDescent="0.3">
      <c r="A12" s="235" t="s">
        <v>186</v>
      </c>
      <c r="B12" s="260">
        <v>9</v>
      </c>
      <c r="C12" s="235">
        <v>19</v>
      </c>
      <c r="D12" s="235">
        <v>2</v>
      </c>
      <c r="E12" s="235">
        <v>11</v>
      </c>
      <c r="F12" s="235">
        <v>1315.0182020114764</v>
      </c>
      <c r="G12" s="235">
        <v>0</v>
      </c>
      <c r="H12" s="235">
        <v>1315.0182020114764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</row>
    <row r="13" spans="1:41" x14ac:dyDescent="0.3">
      <c r="A13" s="235" t="s">
        <v>187</v>
      </c>
      <c r="B13" s="260">
        <v>10</v>
      </c>
      <c r="C13" s="235">
        <v>19</v>
      </c>
      <c r="D13" s="235">
        <v>3</v>
      </c>
      <c r="E13" s="235">
        <v>1</v>
      </c>
      <c r="F13" s="235">
        <v>11.35</v>
      </c>
      <c r="G13" s="235">
        <v>0</v>
      </c>
      <c r="H13" s="235">
        <v>4.3499999999999996</v>
      </c>
      <c r="I13" s="235">
        <v>0</v>
      </c>
      <c r="J13" s="235">
        <v>0</v>
      </c>
      <c r="K13" s="235">
        <v>5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2</v>
      </c>
      <c r="AO13" s="235">
        <v>0</v>
      </c>
    </row>
    <row r="14" spans="1:41" x14ac:dyDescent="0.3">
      <c r="A14" s="235" t="s">
        <v>188</v>
      </c>
      <c r="B14" s="260">
        <v>11</v>
      </c>
      <c r="C14" s="235">
        <v>19</v>
      </c>
      <c r="D14" s="235">
        <v>3</v>
      </c>
      <c r="E14" s="235">
        <v>2</v>
      </c>
      <c r="F14" s="235">
        <v>1948.08</v>
      </c>
      <c r="G14" s="235">
        <v>0</v>
      </c>
      <c r="H14" s="235">
        <v>764</v>
      </c>
      <c r="I14" s="235">
        <v>0</v>
      </c>
      <c r="J14" s="235">
        <v>0</v>
      </c>
      <c r="K14" s="235">
        <v>848.08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336</v>
      </c>
      <c r="AO14" s="235">
        <v>0</v>
      </c>
    </row>
    <row r="15" spans="1:41" x14ac:dyDescent="0.3">
      <c r="A15" s="235" t="s">
        <v>189</v>
      </c>
      <c r="B15" s="260">
        <v>12</v>
      </c>
      <c r="C15" s="235">
        <v>19</v>
      </c>
      <c r="D15" s="235">
        <v>3</v>
      </c>
      <c r="E15" s="235">
        <v>6</v>
      </c>
      <c r="F15" s="235">
        <v>430637</v>
      </c>
      <c r="G15" s="235">
        <v>0</v>
      </c>
      <c r="H15" s="235">
        <v>250341</v>
      </c>
      <c r="I15" s="235">
        <v>0</v>
      </c>
      <c r="J15" s="235">
        <v>0</v>
      </c>
      <c r="K15" s="235">
        <v>142022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38274</v>
      </c>
      <c r="AO15" s="235">
        <v>0</v>
      </c>
    </row>
    <row r="16" spans="1:41" x14ac:dyDescent="0.3">
      <c r="A16" s="235" t="s">
        <v>177</v>
      </c>
      <c r="B16" s="260">
        <v>2015</v>
      </c>
      <c r="C16" s="235">
        <v>19</v>
      </c>
      <c r="D16" s="235">
        <v>3</v>
      </c>
      <c r="E16" s="235">
        <v>9</v>
      </c>
      <c r="F16" s="235">
        <v>7400</v>
      </c>
      <c r="G16" s="235">
        <v>0</v>
      </c>
      <c r="H16" s="235">
        <v>7400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</row>
    <row r="17" spans="3:41" x14ac:dyDescent="0.3">
      <c r="C17" s="235">
        <v>19</v>
      </c>
      <c r="D17" s="235">
        <v>3</v>
      </c>
      <c r="E17" s="235">
        <v>11</v>
      </c>
      <c r="F17" s="235">
        <v>1315.0182020114764</v>
      </c>
      <c r="G17" s="235">
        <v>0</v>
      </c>
      <c r="H17" s="235">
        <v>1315.0182020114764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</row>
    <row r="18" spans="3:41" x14ac:dyDescent="0.3">
      <c r="C18" s="235">
        <v>19</v>
      </c>
      <c r="D18" s="235">
        <v>4</v>
      </c>
      <c r="E18" s="235">
        <v>1</v>
      </c>
      <c r="F18" s="235">
        <v>11.35</v>
      </c>
      <c r="G18" s="235">
        <v>0</v>
      </c>
      <c r="H18" s="235">
        <v>4.3499999999999996</v>
      </c>
      <c r="I18" s="235">
        <v>0</v>
      </c>
      <c r="J18" s="235">
        <v>0</v>
      </c>
      <c r="K18" s="235">
        <v>5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2</v>
      </c>
      <c r="AO18" s="235">
        <v>0</v>
      </c>
    </row>
    <row r="19" spans="3:41" x14ac:dyDescent="0.3">
      <c r="C19" s="235">
        <v>19</v>
      </c>
      <c r="D19" s="235">
        <v>4</v>
      </c>
      <c r="E19" s="235">
        <v>2</v>
      </c>
      <c r="F19" s="235">
        <v>1892</v>
      </c>
      <c r="G19" s="235">
        <v>0</v>
      </c>
      <c r="H19" s="235">
        <v>712</v>
      </c>
      <c r="I19" s="235">
        <v>0</v>
      </c>
      <c r="J19" s="235">
        <v>0</v>
      </c>
      <c r="K19" s="235">
        <v>844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336</v>
      </c>
      <c r="AO19" s="235">
        <v>0</v>
      </c>
    </row>
    <row r="20" spans="3:41" x14ac:dyDescent="0.3">
      <c r="C20" s="235">
        <v>19</v>
      </c>
      <c r="D20" s="235">
        <v>4</v>
      </c>
      <c r="E20" s="235">
        <v>6</v>
      </c>
      <c r="F20" s="235">
        <v>510792</v>
      </c>
      <c r="G20" s="235">
        <v>0</v>
      </c>
      <c r="H20" s="235">
        <v>294252</v>
      </c>
      <c r="I20" s="235">
        <v>0</v>
      </c>
      <c r="J20" s="235">
        <v>0</v>
      </c>
      <c r="K20" s="235">
        <v>175226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41314</v>
      </c>
      <c r="AO20" s="235">
        <v>0</v>
      </c>
    </row>
    <row r="21" spans="3:41" x14ac:dyDescent="0.3">
      <c r="C21" s="235">
        <v>19</v>
      </c>
      <c r="D21" s="235">
        <v>4</v>
      </c>
      <c r="E21" s="235">
        <v>9</v>
      </c>
      <c r="F21" s="235">
        <v>80000</v>
      </c>
      <c r="G21" s="235">
        <v>0</v>
      </c>
      <c r="H21" s="235">
        <v>47000</v>
      </c>
      <c r="I21" s="235">
        <v>0</v>
      </c>
      <c r="J21" s="235">
        <v>0</v>
      </c>
      <c r="K21" s="235">
        <v>30000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3000</v>
      </c>
      <c r="AO21" s="235">
        <v>0</v>
      </c>
    </row>
    <row r="22" spans="3:41" x14ac:dyDescent="0.3">
      <c r="C22" s="235">
        <v>19</v>
      </c>
      <c r="D22" s="235">
        <v>4</v>
      </c>
      <c r="E22" s="235">
        <v>10</v>
      </c>
      <c r="F22" s="235">
        <v>10000</v>
      </c>
      <c r="G22" s="235">
        <v>0</v>
      </c>
      <c r="H22" s="235">
        <v>10000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</row>
    <row r="23" spans="3:41" x14ac:dyDescent="0.3">
      <c r="C23" s="235">
        <v>19</v>
      </c>
      <c r="D23" s="235">
        <v>4</v>
      </c>
      <c r="E23" s="235">
        <v>11</v>
      </c>
      <c r="F23" s="235">
        <v>1315.0182020114764</v>
      </c>
      <c r="G23" s="235">
        <v>0</v>
      </c>
      <c r="H23" s="235">
        <v>1315.0182020114764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</row>
    <row r="24" spans="3:41" x14ac:dyDescent="0.3">
      <c r="C24" s="235">
        <v>19</v>
      </c>
      <c r="D24" s="235">
        <v>5</v>
      </c>
      <c r="E24" s="235">
        <v>1</v>
      </c>
      <c r="F24" s="235">
        <v>11.35</v>
      </c>
      <c r="G24" s="235">
        <v>0</v>
      </c>
      <c r="H24" s="235">
        <v>4.3499999999999996</v>
      </c>
      <c r="I24" s="235">
        <v>0</v>
      </c>
      <c r="J24" s="235">
        <v>0</v>
      </c>
      <c r="K24" s="235">
        <v>5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2</v>
      </c>
      <c r="AO24" s="235">
        <v>0</v>
      </c>
    </row>
    <row r="25" spans="3:41" x14ac:dyDescent="0.3">
      <c r="C25" s="235">
        <v>19</v>
      </c>
      <c r="D25" s="235">
        <v>5</v>
      </c>
      <c r="E25" s="235">
        <v>2</v>
      </c>
      <c r="F25" s="235">
        <v>1802</v>
      </c>
      <c r="G25" s="235">
        <v>0</v>
      </c>
      <c r="H25" s="235">
        <v>690</v>
      </c>
      <c r="I25" s="235">
        <v>0</v>
      </c>
      <c r="J25" s="235">
        <v>0</v>
      </c>
      <c r="K25" s="235">
        <v>808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304</v>
      </c>
      <c r="AO25" s="235">
        <v>0</v>
      </c>
    </row>
    <row r="26" spans="3:41" x14ac:dyDescent="0.3">
      <c r="C26" s="235">
        <v>19</v>
      </c>
      <c r="D26" s="235">
        <v>5</v>
      </c>
      <c r="E26" s="235">
        <v>6</v>
      </c>
      <c r="F26" s="235">
        <v>426770</v>
      </c>
      <c r="G26" s="235">
        <v>0</v>
      </c>
      <c r="H26" s="235">
        <v>242690</v>
      </c>
      <c r="I26" s="235">
        <v>0</v>
      </c>
      <c r="J26" s="235">
        <v>0</v>
      </c>
      <c r="K26" s="235">
        <v>144926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39154</v>
      </c>
      <c r="AO26" s="235">
        <v>0</v>
      </c>
    </row>
    <row r="27" spans="3:41" x14ac:dyDescent="0.3">
      <c r="C27" s="235">
        <v>19</v>
      </c>
      <c r="D27" s="235">
        <v>5</v>
      </c>
      <c r="E27" s="235">
        <v>11</v>
      </c>
      <c r="F27" s="235">
        <v>1315.0182020114764</v>
      </c>
      <c r="G27" s="235">
        <v>0</v>
      </c>
      <c r="H27" s="235">
        <v>1315.0182020114764</v>
      </c>
      <c r="I27" s="235">
        <v>0</v>
      </c>
      <c r="J27" s="235">
        <v>0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</row>
    <row r="28" spans="3:41" x14ac:dyDescent="0.3">
      <c r="C28" s="235">
        <v>19</v>
      </c>
      <c r="D28" s="235">
        <v>6</v>
      </c>
      <c r="E28" s="235">
        <v>1</v>
      </c>
      <c r="F28" s="235">
        <v>11.35</v>
      </c>
      <c r="G28" s="235">
        <v>0</v>
      </c>
      <c r="H28" s="235">
        <v>4.3499999999999996</v>
      </c>
      <c r="I28" s="235">
        <v>0</v>
      </c>
      <c r="J28" s="235">
        <v>0</v>
      </c>
      <c r="K28" s="235">
        <v>5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2</v>
      </c>
      <c r="AO28" s="235">
        <v>0</v>
      </c>
    </row>
    <row r="29" spans="3:41" x14ac:dyDescent="0.3">
      <c r="C29" s="235">
        <v>19</v>
      </c>
      <c r="D29" s="235">
        <v>6</v>
      </c>
      <c r="E29" s="235">
        <v>2</v>
      </c>
      <c r="F29" s="235">
        <v>1876</v>
      </c>
      <c r="G29" s="235">
        <v>0</v>
      </c>
      <c r="H29" s="235">
        <v>704</v>
      </c>
      <c r="I29" s="235">
        <v>0</v>
      </c>
      <c r="J29" s="235">
        <v>0</v>
      </c>
      <c r="K29" s="235">
        <v>820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352</v>
      </c>
      <c r="AO29" s="235">
        <v>0</v>
      </c>
    </row>
    <row r="30" spans="3:41" x14ac:dyDescent="0.3">
      <c r="C30" s="235">
        <v>19</v>
      </c>
      <c r="D30" s="235">
        <v>6</v>
      </c>
      <c r="E30" s="235">
        <v>6</v>
      </c>
      <c r="F30" s="235">
        <v>433021</v>
      </c>
      <c r="G30" s="235">
        <v>0</v>
      </c>
      <c r="H30" s="235">
        <v>247194</v>
      </c>
      <c r="I30" s="235">
        <v>0</v>
      </c>
      <c r="J30" s="235">
        <v>0</v>
      </c>
      <c r="K30" s="235">
        <v>146567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39260</v>
      </c>
      <c r="AO30" s="235">
        <v>0</v>
      </c>
    </row>
    <row r="31" spans="3:41" x14ac:dyDescent="0.3">
      <c r="C31" s="235">
        <v>19</v>
      </c>
      <c r="D31" s="235">
        <v>6</v>
      </c>
      <c r="E31" s="235">
        <v>9</v>
      </c>
      <c r="F31" s="235">
        <v>1633</v>
      </c>
      <c r="G31" s="235">
        <v>0</v>
      </c>
      <c r="H31" s="235">
        <v>1633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</row>
    <row r="32" spans="3:41" x14ac:dyDescent="0.3">
      <c r="C32" s="235">
        <v>19</v>
      </c>
      <c r="D32" s="235">
        <v>6</v>
      </c>
      <c r="E32" s="235">
        <v>10</v>
      </c>
      <c r="F32" s="235">
        <v>1000</v>
      </c>
      <c r="G32" s="235">
        <v>0</v>
      </c>
      <c r="H32" s="235">
        <v>1000</v>
      </c>
      <c r="I32" s="235">
        <v>0</v>
      </c>
      <c r="J32" s="235">
        <v>0</v>
      </c>
      <c r="K32" s="235">
        <v>0</v>
      </c>
      <c r="L32" s="235">
        <v>0</v>
      </c>
      <c r="M32" s="235">
        <v>0</v>
      </c>
      <c r="N32" s="235">
        <v>0</v>
      </c>
      <c r="O32" s="235">
        <v>0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</row>
    <row r="33" spans="3:41" x14ac:dyDescent="0.3">
      <c r="C33" s="235">
        <v>19</v>
      </c>
      <c r="D33" s="235">
        <v>6</v>
      </c>
      <c r="E33" s="235">
        <v>11</v>
      </c>
      <c r="F33" s="235">
        <v>1315.0182020114764</v>
      </c>
      <c r="G33" s="235">
        <v>0</v>
      </c>
      <c r="H33" s="235">
        <v>1315.0182020114764</v>
      </c>
      <c r="I33" s="235">
        <v>0</v>
      </c>
      <c r="J33" s="235">
        <v>0</v>
      </c>
      <c r="K33" s="235">
        <v>0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0</v>
      </c>
      <c r="AO33" s="235">
        <v>0</v>
      </c>
    </row>
    <row r="34" spans="3:41" x14ac:dyDescent="0.3">
      <c r="C34" s="235">
        <v>19</v>
      </c>
      <c r="D34" s="235">
        <v>7</v>
      </c>
      <c r="E34" s="235">
        <v>1</v>
      </c>
      <c r="F34" s="235">
        <v>11.35</v>
      </c>
      <c r="G34" s="235">
        <v>0</v>
      </c>
      <c r="H34" s="235">
        <v>4.3499999999999996</v>
      </c>
      <c r="I34" s="235">
        <v>0</v>
      </c>
      <c r="J34" s="235">
        <v>0</v>
      </c>
      <c r="K34" s="235">
        <v>5</v>
      </c>
      <c r="L34" s="235">
        <v>0</v>
      </c>
      <c r="M34" s="235">
        <v>0</v>
      </c>
      <c r="N34" s="235">
        <v>0</v>
      </c>
      <c r="O34" s="235">
        <v>0</v>
      </c>
      <c r="P34" s="235">
        <v>0</v>
      </c>
      <c r="Q34" s="235">
        <v>0</v>
      </c>
      <c r="R34" s="235">
        <v>0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2</v>
      </c>
      <c r="AO34" s="235">
        <v>0</v>
      </c>
    </row>
    <row r="35" spans="3:41" x14ac:dyDescent="0.3">
      <c r="C35" s="235">
        <v>19</v>
      </c>
      <c r="D35" s="235">
        <v>7</v>
      </c>
      <c r="E35" s="235">
        <v>2</v>
      </c>
      <c r="F35" s="235">
        <v>1616</v>
      </c>
      <c r="G35" s="235">
        <v>0</v>
      </c>
      <c r="H35" s="235">
        <v>644</v>
      </c>
      <c r="I35" s="235">
        <v>0</v>
      </c>
      <c r="J35" s="235">
        <v>0</v>
      </c>
      <c r="K35" s="235">
        <v>684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288</v>
      </c>
      <c r="AO35" s="235">
        <v>0</v>
      </c>
    </row>
    <row r="36" spans="3:41" x14ac:dyDescent="0.3">
      <c r="C36" s="235">
        <v>19</v>
      </c>
      <c r="D36" s="235">
        <v>7</v>
      </c>
      <c r="E36" s="235">
        <v>6</v>
      </c>
      <c r="F36" s="235">
        <v>637636</v>
      </c>
      <c r="G36" s="235">
        <v>0</v>
      </c>
      <c r="H36" s="235">
        <v>346367</v>
      </c>
      <c r="I36" s="235">
        <v>0</v>
      </c>
      <c r="J36" s="235">
        <v>0</v>
      </c>
      <c r="K36" s="235">
        <v>232067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59202</v>
      </c>
      <c r="AO36" s="235">
        <v>0</v>
      </c>
    </row>
    <row r="37" spans="3:41" x14ac:dyDescent="0.3">
      <c r="C37" s="235">
        <v>19</v>
      </c>
      <c r="D37" s="235">
        <v>7</v>
      </c>
      <c r="E37" s="235">
        <v>9</v>
      </c>
      <c r="F37" s="235">
        <v>196534</v>
      </c>
      <c r="G37" s="235">
        <v>0</v>
      </c>
      <c r="H37" s="235">
        <v>96662</v>
      </c>
      <c r="I37" s="235">
        <v>0</v>
      </c>
      <c r="J37" s="235">
        <v>0</v>
      </c>
      <c r="K37" s="235">
        <v>81506</v>
      </c>
      <c r="L37" s="235">
        <v>0</v>
      </c>
      <c r="M37" s="235">
        <v>0</v>
      </c>
      <c r="N37" s="235">
        <v>0</v>
      </c>
      <c r="O37" s="235">
        <v>0</v>
      </c>
      <c r="P37" s="235">
        <v>0</v>
      </c>
      <c r="Q37" s="235">
        <v>0</v>
      </c>
      <c r="R37" s="235">
        <v>0</v>
      </c>
      <c r="S37" s="235">
        <v>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18366</v>
      </c>
      <c r="AO37" s="235">
        <v>0</v>
      </c>
    </row>
    <row r="38" spans="3:41" x14ac:dyDescent="0.3">
      <c r="C38" s="235">
        <v>19</v>
      </c>
      <c r="D38" s="235">
        <v>7</v>
      </c>
      <c r="E38" s="235">
        <v>10</v>
      </c>
      <c r="F38" s="235">
        <v>1000</v>
      </c>
      <c r="G38" s="235">
        <v>0</v>
      </c>
      <c r="H38" s="235">
        <v>1000</v>
      </c>
      <c r="I38" s="235">
        <v>0</v>
      </c>
      <c r="J38" s="235">
        <v>0</v>
      </c>
      <c r="K38" s="235">
        <v>0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0</v>
      </c>
      <c r="AO38" s="235">
        <v>0</v>
      </c>
    </row>
    <row r="39" spans="3:41" x14ac:dyDescent="0.3">
      <c r="C39" s="235">
        <v>19</v>
      </c>
      <c r="D39" s="235">
        <v>7</v>
      </c>
      <c r="E39" s="235">
        <v>11</v>
      </c>
      <c r="F39" s="235">
        <v>1315.0182020114764</v>
      </c>
      <c r="G39" s="235">
        <v>0</v>
      </c>
      <c r="H39" s="235">
        <v>1315.0182020114764</v>
      </c>
      <c r="I39" s="235">
        <v>0</v>
      </c>
      <c r="J39" s="235">
        <v>0</v>
      </c>
      <c r="K39" s="235">
        <v>0</v>
      </c>
      <c r="L39" s="235">
        <v>0</v>
      </c>
      <c r="M39" s="235">
        <v>0</v>
      </c>
      <c r="N39" s="235">
        <v>0</v>
      </c>
      <c r="O39" s="235">
        <v>0</v>
      </c>
      <c r="P39" s="235">
        <v>0</v>
      </c>
      <c r="Q39" s="235">
        <v>0</v>
      </c>
      <c r="R39" s="235">
        <v>0</v>
      </c>
      <c r="S39" s="235">
        <v>0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</row>
    <row r="40" spans="3:41" x14ac:dyDescent="0.3">
      <c r="C40" s="235">
        <v>19</v>
      </c>
      <c r="D40" s="235">
        <v>8</v>
      </c>
      <c r="E40" s="235">
        <v>1</v>
      </c>
      <c r="F40" s="235">
        <v>12.35</v>
      </c>
      <c r="G40" s="235">
        <v>0</v>
      </c>
      <c r="H40" s="235">
        <v>4.3499999999999996</v>
      </c>
      <c r="I40" s="235">
        <v>0</v>
      </c>
      <c r="J40" s="235">
        <v>0</v>
      </c>
      <c r="K40" s="235">
        <v>6</v>
      </c>
      <c r="L40" s="235">
        <v>0</v>
      </c>
      <c r="M40" s="235">
        <v>0</v>
      </c>
      <c r="N40" s="235">
        <v>0</v>
      </c>
      <c r="O40" s="235">
        <v>0</v>
      </c>
      <c r="P40" s="235">
        <v>0</v>
      </c>
      <c r="Q40" s="235">
        <v>0</v>
      </c>
      <c r="R40" s="235">
        <v>0</v>
      </c>
      <c r="S40" s="235">
        <v>0</v>
      </c>
      <c r="T40" s="235">
        <v>0</v>
      </c>
      <c r="U40" s="235">
        <v>0</v>
      </c>
      <c r="V40" s="235">
        <v>0</v>
      </c>
      <c r="W40" s="235">
        <v>0</v>
      </c>
      <c r="X40" s="235">
        <v>0</v>
      </c>
      <c r="Y40" s="235">
        <v>0</v>
      </c>
      <c r="Z40" s="235">
        <v>0</v>
      </c>
      <c r="AA40" s="235">
        <v>0</v>
      </c>
      <c r="AB40" s="235">
        <v>0</v>
      </c>
      <c r="AC40" s="235">
        <v>0</v>
      </c>
      <c r="AD40" s="235">
        <v>0</v>
      </c>
      <c r="AE40" s="235">
        <v>0</v>
      </c>
      <c r="AF40" s="235">
        <v>0</v>
      </c>
      <c r="AG40" s="235">
        <v>0</v>
      </c>
      <c r="AH40" s="235">
        <v>0</v>
      </c>
      <c r="AI40" s="235">
        <v>0</v>
      </c>
      <c r="AJ40" s="235">
        <v>0</v>
      </c>
      <c r="AK40" s="235">
        <v>0</v>
      </c>
      <c r="AL40" s="235">
        <v>0</v>
      </c>
      <c r="AM40" s="235">
        <v>0</v>
      </c>
      <c r="AN40" s="235">
        <v>2</v>
      </c>
      <c r="AO40" s="235">
        <v>0</v>
      </c>
    </row>
    <row r="41" spans="3:41" x14ac:dyDescent="0.3">
      <c r="C41" s="235">
        <v>19</v>
      </c>
      <c r="D41" s="235">
        <v>8</v>
      </c>
      <c r="E41" s="235">
        <v>2</v>
      </c>
      <c r="F41" s="235">
        <v>1600</v>
      </c>
      <c r="G41" s="235">
        <v>0</v>
      </c>
      <c r="H41" s="235">
        <v>560</v>
      </c>
      <c r="I41" s="235">
        <v>0</v>
      </c>
      <c r="J41" s="235">
        <v>0</v>
      </c>
      <c r="K41" s="235">
        <v>832</v>
      </c>
      <c r="L41" s="235">
        <v>0</v>
      </c>
      <c r="M41" s="235">
        <v>0</v>
      </c>
      <c r="N41" s="235">
        <v>0</v>
      </c>
      <c r="O41" s="235">
        <v>0</v>
      </c>
      <c r="P41" s="235">
        <v>0</v>
      </c>
      <c r="Q41" s="235">
        <v>0</v>
      </c>
      <c r="R41" s="235">
        <v>0</v>
      </c>
      <c r="S41" s="235">
        <v>0</v>
      </c>
      <c r="T41" s="235">
        <v>0</v>
      </c>
      <c r="U41" s="235">
        <v>0</v>
      </c>
      <c r="V41" s="235">
        <v>0</v>
      </c>
      <c r="W41" s="235">
        <v>0</v>
      </c>
      <c r="X41" s="235">
        <v>0</v>
      </c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235">
        <v>0</v>
      </c>
      <c r="AE41" s="235">
        <v>0</v>
      </c>
      <c r="AF41" s="235">
        <v>0</v>
      </c>
      <c r="AG41" s="235">
        <v>0</v>
      </c>
      <c r="AH41" s="235">
        <v>0</v>
      </c>
      <c r="AI41" s="235">
        <v>0</v>
      </c>
      <c r="AJ41" s="235">
        <v>0</v>
      </c>
      <c r="AK41" s="235">
        <v>0</v>
      </c>
      <c r="AL41" s="235">
        <v>0</v>
      </c>
      <c r="AM41" s="235">
        <v>0</v>
      </c>
      <c r="AN41" s="235">
        <v>208</v>
      </c>
      <c r="AO41" s="235">
        <v>0</v>
      </c>
    </row>
    <row r="42" spans="3:41" x14ac:dyDescent="0.3">
      <c r="C42" s="235">
        <v>19</v>
      </c>
      <c r="D42" s="235">
        <v>8</v>
      </c>
      <c r="E42" s="235">
        <v>6</v>
      </c>
      <c r="F42" s="235">
        <v>483352</v>
      </c>
      <c r="G42" s="235">
        <v>0</v>
      </c>
      <c r="H42" s="235">
        <v>247834</v>
      </c>
      <c r="I42" s="235">
        <v>0</v>
      </c>
      <c r="J42" s="235">
        <v>0</v>
      </c>
      <c r="K42" s="235">
        <v>195945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5">
        <v>0</v>
      </c>
      <c r="W42" s="235">
        <v>0</v>
      </c>
      <c r="X42" s="235">
        <v>0</v>
      </c>
      <c r="Y42" s="235">
        <v>0</v>
      </c>
      <c r="Z42" s="235">
        <v>0</v>
      </c>
      <c r="AA42" s="235">
        <v>0</v>
      </c>
      <c r="AB42" s="235">
        <v>0</v>
      </c>
      <c r="AC42" s="235">
        <v>0</v>
      </c>
      <c r="AD42" s="235">
        <v>0</v>
      </c>
      <c r="AE42" s="235">
        <v>0</v>
      </c>
      <c r="AF42" s="235">
        <v>0</v>
      </c>
      <c r="AG42" s="235">
        <v>0</v>
      </c>
      <c r="AH42" s="235">
        <v>0</v>
      </c>
      <c r="AI42" s="235">
        <v>0</v>
      </c>
      <c r="AJ42" s="235">
        <v>0</v>
      </c>
      <c r="AK42" s="235">
        <v>0</v>
      </c>
      <c r="AL42" s="235">
        <v>0</v>
      </c>
      <c r="AM42" s="235">
        <v>0</v>
      </c>
      <c r="AN42" s="235">
        <v>39573</v>
      </c>
      <c r="AO42" s="235">
        <v>0</v>
      </c>
    </row>
    <row r="43" spans="3:41" x14ac:dyDescent="0.3">
      <c r="C43" s="235">
        <v>19</v>
      </c>
      <c r="D43" s="235">
        <v>8</v>
      </c>
      <c r="E43" s="235">
        <v>9</v>
      </c>
      <c r="F43" s="235">
        <v>20000</v>
      </c>
      <c r="G43" s="235">
        <v>0</v>
      </c>
      <c r="H43" s="235">
        <v>0</v>
      </c>
      <c r="I43" s="235">
        <v>0</v>
      </c>
      <c r="J43" s="235">
        <v>0</v>
      </c>
      <c r="K43" s="235">
        <v>20000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5">
        <v>0</v>
      </c>
      <c r="AE43" s="235">
        <v>0</v>
      </c>
      <c r="AF43" s="235">
        <v>0</v>
      </c>
      <c r="AG43" s="235">
        <v>0</v>
      </c>
      <c r="AH43" s="235">
        <v>0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</row>
    <row r="44" spans="3:41" x14ac:dyDescent="0.3">
      <c r="C44" s="235">
        <v>19</v>
      </c>
      <c r="D44" s="235">
        <v>8</v>
      </c>
      <c r="E44" s="235">
        <v>10</v>
      </c>
      <c r="F44" s="235">
        <v>1900</v>
      </c>
      <c r="G44" s="235">
        <v>0</v>
      </c>
      <c r="H44" s="235">
        <v>1900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0</v>
      </c>
      <c r="Q44" s="235">
        <v>0</v>
      </c>
      <c r="R44" s="235">
        <v>0</v>
      </c>
      <c r="S44" s="235">
        <v>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5">
        <v>0</v>
      </c>
      <c r="AO44" s="235">
        <v>0</v>
      </c>
    </row>
    <row r="45" spans="3:41" x14ac:dyDescent="0.3">
      <c r="C45" s="235">
        <v>19</v>
      </c>
      <c r="D45" s="235">
        <v>8</v>
      </c>
      <c r="E45" s="235">
        <v>11</v>
      </c>
      <c r="F45" s="235">
        <v>1315.0182020114764</v>
      </c>
      <c r="G45" s="235">
        <v>0</v>
      </c>
      <c r="H45" s="235">
        <v>1315.0182020114764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0</v>
      </c>
      <c r="AO45" s="235">
        <v>0</v>
      </c>
    </row>
    <row r="46" spans="3:41" x14ac:dyDescent="0.3">
      <c r="C46" s="235">
        <v>19</v>
      </c>
      <c r="D46" s="235">
        <v>9</v>
      </c>
      <c r="E46" s="235">
        <v>1</v>
      </c>
      <c r="F46" s="235">
        <v>11.35</v>
      </c>
      <c r="G46" s="235">
        <v>0</v>
      </c>
      <c r="H46" s="235">
        <v>4.3499999999999996</v>
      </c>
      <c r="I46" s="235">
        <v>0</v>
      </c>
      <c r="J46" s="235">
        <v>0</v>
      </c>
      <c r="K46" s="235">
        <v>5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235">
        <v>0</v>
      </c>
      <c r="AJ46" s="235">
        <v>0</v>
      </c>
      <c r="AK46" s="235">
        <v>0</v>
      </c>
      <c r="AL46" s="235">
        <v>0</v>
      </c>
      <c r="AM46" s="235">
        <v>0</v>
      </c>
      <c r="AN46" s="235">
        <v>2</v>
      </c>
      <c r="AO46" s="235">
        <v>0</v>
      </c>
    </row>
    <row r="47" spans="3:41" x14ac:dyDescent="0.3">
      <c r="C47" s="235">
        <v>19</v>
      </c>
      <c r="D47" s="235">
        <v>9</v>
      </c>
      <c r="E47" s="235">
        <v>2</v>
      </c>
      <c r="F47" s="235">
        <v>1852</v>
      </c>
      <c r="G47" s="235">
        <v>0</v>
      </c>
      <c r="H47" s="235">
        <v>664</v>
      </c>
      <c r="I47" s="235">
        <v>0</v>
      </c>
      <c r="J47" s="235">
        <v>0</v>
      </c>
      <c r="K47" s="235">
        <v>852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336</v>
      </c>
      <c r="AO47" s="235">
        <v>0</v>
      </c>
    </row>
    <row r="48" spans="3:41" x14ac:dyDescent="0.3">
      <c r="C48" s="235">
        <v>19</v>
      </c>
      <c r="D48" s="235">
        <v>9</v>
      </c>
      <c r="E48" s="235">
        <v>6</v>
      </c>
      <c r="F48" s="235">
        <v>428606</v>
      </c>
      <c r="G48" s="235">
        <v>0</v>
      </c>
      <c r="H48" s="235">
        <v>246680</v>
      </c>
      <c r="I48" s="235">
        <v>0</v>
      </c>
      <c r="J48" s="235">
        <v>0</v>
      </c>
      <c r="K48" s="235">
        <v>141682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>
        <v>0</v>
      </c>
      <c r="R48" s="235">
        <v>0</v>
      </c>
      <c r="S48" s="235">
        <v>0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40244</v>
      </c>
      <c r="AO48" s="235">
        <v>0</v>
      </c>
    </row>
    <row r="49" spans="3:41" x14ac:dyDescent="0.3">
      <c r="C49" s="235">
        <v>19</v>
      </c>
      <c r="D49" s="235">
        <v>9</v>
      </c>
      <c r="E49" s="235">
        <v>11</v>
      </c>
      <c r="F49" s="235">
        <v>1315.0182020114764</v>
      </c>
      <c r="G49" s="235">
        <v>0</v>
      </c>
      <c r="H49" s="235">
        <v>1315.0182020114764</v>
      </c>
      <c r="I49" s="235">
        <v>0</v>
      </c>
      <c r="J49" s="235">
        <v>0</v>
      </c>
      <c r="K49" s="235">
        <v>0</v>
      </c>
      <c r="L49" s="235">
        <v>0</v>
      </c>
      <c r="M49" s="235">
        <v>0</v>
      </c>
      <c r="N49" s="235">
        <v>0</v>
      </c>
      <c r="O49" s="235">
        <v>0</v>
      </c>
      <c r="P49" s="235">
        <v>0</v>
      </c>
      <c r="Q49" s="235">
        <v>0</v>
      </c>
      <c r="R49" s="235">
        <v>0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0</v>
      </c>
      <c r="AO49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402" t="s">
        <v>1060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1408246</v>
      </c>
      <c r="C3" s="226">
        <f t="shared" ref="C3:R3" si="0">SUBTOTAL(9,C6:C1048576)</f>
        <v>4</v>
      </c>
      <c r="D3" s="226">
        <f>SUBTOTAL(9,D6:D1048576)/2</f>
        <v>1556099</v>
      </c>
      <c r="E3" s="226">
        <f t="shared" si="0"/>
        <v>4.5332644362077668</v>
      </c>
      <c r="F3" s="226">
        <f>SUBTOTAL(9,F6:F1048576)/2</f>
        <v>1767047.9699999997</v>
      </c>
      <c r="G3" s="227">
        <f>IF(B3&lt;&gt;0,F3/B3,"")</f>
        <v>1.2547864293596429</v>
      </c>
      <c r="H3" s="228">
        <f t="shared" si="0"/>
        <v>59303.86</v>
      </c>
      <c r="I3" s="226">
        <f t="shared" si="0"/>
        <v>1</v>
      </c>
      <c r="J3" s="226">
        <f t="shared" si="0"/>
        <v>49542.41</v>
      </c>
      <c r="K3" s="226">
        <f t="shared" si="0"/>
        <v>0.83539941582217414</v>
      </c>
      <c r="L3" s="226">
        <f t="shared" si="0"/>
        <v>50770.570000000007</v>
      </c>
      <c r="M3" s="229">
        <f>IF(H3&lt;&gt;0,L3/H3,"")</f>
        <v>0.85610902899069308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285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621"/>
      <c r="B5" s="622">
        <v>2013</v>
      </c>
      <c r="C5" s="623"/>
      <c r="D5" s="623">
        <v>2014</v>
      </c>
      <c r="E5" s="623"/>
      <c r="F5" s="623">
        <v>2015</v>
      </c>
      <c r="G5" s="624" t="s">
        <v>2</v>
      </c>
      <c r="H5" s="622">
        <v>2013</v>
      </c>
      <c r="I5" s="623"/>
      <c r="J5" s="623">
        <v>2014</v>
      </c>
      <c r="K5" s="623"/>
      <c r="L5" s="623">
        <v>2015</v>
      </c>
      <c r="M5" s="624" t="s">
        <v>2</v>
      </c>
      <c r="N5" s="622">
        <v>2013</v>
      </c>
      <c r="O5" s="623"/>
      <c r="P5" s="623">
        <v>2014</v>
      </c>
      <c r="Q5" s="623"/>
      <c r="R5" s="623">
        <v>2015</v>
      </c>
      <c r="S5" s="624" t="s">
        <v>2</v>
      </c>
    </row>
    <row r="6" spans="1:19" ht="14.4" customHeight="1" x14ac:dyDescent="0.3">
      <c r="A6" s="582" t="s">
        <v>1058</v>
      </c>
      <c r="B6" s="625">
        <v>1377592</v>
      </c>
      <c r="C6" s="551">
        <v>1</v>
      </c>
      <c r="D6" s="625">
        <v>1484080</v>
      </c>
      <c r="E6" s="551">
        <v>1.0773001004651594</v>
      </c>
      <c r="F6" s="625">
        <v>1690752.9699999997</v>
      </c>
      <c r="G6" s="556">
        <v>1.2273249046161707</v>
      </c>
      <c r="H6" s="625">
        <v>59303.86</v>
      </c>
      <c r="I6" s="551">
        <v>1</v>
      </c>
      <c r="J6" s="625">
        <v>49542.41</v>
      </c>
      <c r="K6" s="551">
        <v>0.83539941582217414</v>
      </c>
      <c r="L6" s="625">
        <v>50770.570000000007</v>
      </c>
      <c r="M6" s="556">
        <v>0.85610902899069308</v>
      </c>
      <c r="N6" s="625"/>
      <c r="O6" s="551"/>
      <c r="P6" s="625"/>
      <c r="Q6" s="551"/>
      <c r="R6" s="625"/>
      <c r="S6" s="125"/>
    </row>
    <row r="7" spans="1:19" ht="14.4" customHeight="1" thickBot="1" x14ac:dyDescent="0.35">
      <c r="A7" s="627" t="s">
        <v>1059</v>
      </c>
      <c r="B7" s="626">
        <v>30654</v>
      </c>
      <c r="C7" s="566">
        <v>1</v>
      </c>
      <c r="D7" s="626">
        <v>72019</v>
      </c>
      <c r="E7" s="566">
        <v>2.3494160631565211</v>
      </c>
      <c r="F7" s="626">
        <v>76295</v>
      </c>
      <c r="G7" s="571">
        <v>2.488908462190905</v>
      </c>
      <c r="H7" s="626"/>
      <c r="I7" s="566"/>
      <c r="J7" s="626"/>
      <c r="K7" s="566"/>
      <c r="L7" s="626"/>
      <c r="M7" s="571"/>
      <c r="N7" s="626"/>
      <c r="O7" s="566"/>
      <c r="P7" s="626"/>
      <c r="Q7" s="566"/>
      <c r="R7" s="626"/>
      <c r="S7" s="572"/>
    </row>
    <row r="8" spans="1:19" ht="14.4" customHeight="1" thickBot="1" x14ac:dyDescent="0.35"/>
    <row r="9" spans="1:19" ht="14.4" customHeight="1" x14ac:dyDescent="0.3">
      <c r="A9" s="582" t="s">
        <v>449</v>
      </c>
      <c r="B9" s="625">
        <v>1406264</v>
      </c>
      <c r="C9" s="551">
        <v>1</v>
      </c>
      <c r="D9" s="625">
        <v>1556099</v>
      </c>
      <c r="E9" s="551">
        <v>1.1065482725860862</v>
      </c>
      <c r="F9" s="625">
        <v>1767047.9699999997</v>
      </c>
      <c r="G9" s="556">
        <v>1.256554935630863</v>
      </c>
      <c r="H9" s="625"/>
      <c r="I9" s="551"/>
      <c r="J9" s="625"/>
      <c r="K9" s="551"/>
      <c r="L9" s="625"/>
      <c r="M9" s="556"/>
      <c r="N9" s="625"/>
      <c r="O9" s="551"/>
      <c r="P9" s="625"/>
      <c r="Q9" s="551"/>
      <c r="R9" s="625"/>
      <c r="S9" s="125"/>
    </row>
    <row r="10" spans="1:19" ht="14.4" customHeight="1" thickBot="1" x14ac:dyDescent="0.35">
      <c r="A10" s="627" t="s">
        <v>944</v>
      </c>
      <c r="B10" s="626">
        <v>1982</v>
      </c>
      <c r="C10" s="566">
        <v>1</v>
      </c>
      <c r="D10" s="626"/>
      <c r="E10" s="566"/>
      <c r="F10" s="626"/>
      <c r="G10" s="571"/>
      <c r="H10" s="626"/>
      <c r="I10" s="566"/>
      <c r="J10" s="626"/>
      <c r="K10" s="566"/>
      <c r="L10" s="626"/>
      <c r="M10" s="571"/>
      <c r="N10" s="626"/>
      <c r="O10" s="566"/>
      <c r="P10" s="626"/>
      <c r="Q10" s="566"/>
      <c r="R10" s="626"/>
      <c r="S10" s="572"/>
    </row>
    <row r="11" spans="1:19" ht="14.4" customHeight="1" x14ac:dyDescent="0.3">
      <c r="A11" s="530" t="s">
        <v>611</v>
      </c>
    </row>
    <row r="12" spans="1:19" ht="14.4" customHeight="1" x14ac:dyDescent="0.3">
      <c r="A12" s="531" t="s">
        <v>612</v>
      </c>
    </row>
    <row r="13" spans="1:19" ht="14.4" customHeight="1" x14ac:dyDescent="0.3">
      <c r="A13" s="530" t="s">
        <v>1061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402" t="s">
        <v>1067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9" t="s">
        <v>286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19">
        <f t="shared" ref="B3:G3" si="0">SUBTOTAL(9,B6:B1048576)</f>
        <v>12053</v>
      </c>
      <c r="C3" s="320">
        <f t="shared" si="0"/>
        <v>13889</v>
      </c>
      <c r="D3" s="320">
        <f t="shared" si="0"/>
        <v>15186</v>
      </c>
      <c r="E3" s="228">
        <f t="shared" si="0"/>
        <v>1408246</v>
      </c>
      <c r="F3" s="226">
        <f t="shared" si="0"/>
        <v>1556099</v>
      </c>
      <c r="G3" s="321">
        <f t="shared" si="0"/>
        <v>1767047.9700000002</v>
      </c>
    </row>
    <row r="4" spans="1:7" ht="14.4" customHeight="1" x14ac:dyDescent="0.3">
      <c r="A4" s="403" t="s">
        <v>140</v>
      </c>
      <c r="B4" s="404" t="s">
        <v>261</v>
      </c>
      <c r="C4" s="405"/>
      <c r="D4" s="405"/>
      <c r="E4" s="407" t="s">
        <v>100</v>
      </c>
      <c r="F4" s="408"/>
      <c r="G4" s="409"/>
    </row>
    <row r="5" spans="1:7" ht="14.4" customHeight="1" thickBot="1" x14ac:dyDescent="0.35">
      <c r="A5" s="621"/>
      <c r="B5" s="622">
        <v>2013</v>
      </c>
      <c r="C5" s="623">
        <v>2014</v>
      </c>
      <c r="D5" s="623">
        <v>2015</v>
      </c>
      <c r="E5" s="622">
        <v>2013</v>
      </c>
      <c r="F5" s="623">
        <v>2014</v>
      </c>
      <c r="G5" s="628">
        <v>2015</v>
      </c>
    </row>
    <row r="6" spans="1:7" ht="14.4" customHeight="1" x14ac:dyDescent="0.3">
      <c r="A6" s="582" t="s">
        <v>1062</v>
      </c>
      <c r="B6" s="119"/>
      <c r="C6" s="119"/>
      <c r="D6" s="119">
        <v>7</v>
      </c>
      <c r="E6" s="625"/>
      <c r="F6" s="625"/>
      <c r="G6" s="629">
        <v>339</v>
      </c>
    </row>
    <row r="7" spans="1:7" ht="14.4" customHeight="1" x14ac:dyDescent="0.3">
      <c r="A7" s="583" t="s">
        <v>1063</v>
      </c>
      <c r="B7" s="575"/>
      <c r="C7" s="575">
        <v>1</v>
      </c>
      <c r="D7" s="575"/>
      <c r="E7" s="630"/>
      <c r="F7" s="630">
        <v>35</v>
      </c>
      <c r="G7" s="631"/>
    </row>
    <row r="8" spans="1:7" ht="14.4" customHeight="1" x14ac:dyDescent="0.3">
      <c r="A8" s="583" t="s">
        <v>1064</v>
      </c>
      <c r="B8" s="575">
        <v>998</v>
      </c>
      <c r="C8" s="575">
        <v>3240</v>
      </c>
      <c r="D8" s="575">
        <v>4407</v>
      </c>
      <c r="E8" s="630">
        <v>7099</v>
      </c>
      <c r="F8" s="630">
        <v>175750</v>
      </c>
      <c r="G8" s="631">
        <v>294385.66000000003</v>
      </c>
    </row>
    <row r="9" spans="1:7" ht="14.4" customHeight="1" x14ac:dyDescent="0.3">
      <c r="A9" s="583" t="s">
        <v>614</v>
      </c>
      <c r="B9" s="575">
        <v>4192</v>
      </c>
      <c r="C9" s="575">
        <v>4055</v>
      </c>
      <c r="D9" s="575">
        <v>4078</v>
      </c>
      <c r="E9" s="630">
        <v>403735</v>
      </c>
      <c r="F9" s="630">
        <v>371428</v>
      </c>
      <c r="G9" s="631">
        <v>409197.66000000003</v>
      </c>
    </row>
    <row r="10" spans="1:7" ht="14.4" customHeight="1" x14ac:dyDescent="0.3">
      <c r="A10" s="583" t="s">
        <v>615</v>
      </c>
      <c r="B10" s="575">
        <v>118</v>
      </c>
      <c r="C10" s="575">
        <v>31</v>
      </c>
      <c r="D10" s="575">
        <v>23</v>
      </c>
      <c r="E10" s="630">
        <v>8078</v>
      </c>
      <c r="F10" s="630">
        <v>5187</v>
      </c>
      <c r="G10" s="631">
        <v>3317.33</v>
      </c>
    </row>
    <row r="11" spans="1:7" ht="14.4" customHeight="1" x14ac:dyDescent="0.3">
      <c r="A11" s="583" t="s">
        <v>616</v>
      </c>
      <c r="B11" s="575">
        <v>2615</v>
      </c>
      <c r="C11" s="575">
        <v>2361</v>
      </c>
      <c r="D11" s="575">
        <v>2701</v>
      </c>
      <c r="E11" s="630">
        <v>395515</v>
      </c>
      <c r="F11" s="630">
        <v>365226</v>
      </c>
      <c r="G11" s="631">
        <v>417365.66</v>
      </c>
    </row>
    <row r="12" spans="1:7" ht="14.4" customHeight="1" x14ac:dyDescent="0.3">
      <c r="A12" s="583" t="s">
        <v>617</v>
      </c>
      <c r="B12" s="575">
        <v>104</v>
      </c>
      <c r="C12" s="575">
        <v>102</v>
      </c>
      <c r="D12" s="575">
        <v>93</v>
      </c>
      <c r="E12" s="630">
        <v>9582</v>
      </c>
      <c r="F12" s="630">
        <v>13738</v>
      </c>
      <c r="G12" s="631">
        <v>14518.99</v>
      </c>
    </row>
    <row r="13" spans="1:7" ht="14.4" customHeight="1" x14ac:dyDescent="0.3">
      <c r="A13" s="583" t="s">
        <v>618</v>
      </c>
      <c r="B13" s="575">
        <v>1910</v>
      </c>
      <c r="C13" s="575">
        <v>2366</v>
      </c>
      <c r="D13" s="575">
        <v>2517</v>
      </c>
      <c r="E13" s="630">
        <v>298171</v>
      </c>
      <c r="F13" s="630">
        <v>408333</v>
      </c>
      <c r="G13" s="631">
        <v>465494.33</v>
      </c>
    </row>
    <row r="14" spans="1:7" ht="14.4" customHeight="1" x14ac:dyDescent="0.3">
      <c r="A14" s="583" t="s">
        <v>1065</v>
      </c>
      <c r="B14" s="575"/>
      <c r="C14" s="575">
        <v>1</v>
      </c>
      <c r="D14" s="575"/>
      <c r="E14" s="630"/>
      <c r="F14" s="630">
        <v>0</v>
      </c>
      <c r="G14" s="631"/>
    </row>
    <row r="15" spans="1:7" ht="14.4" customHeight="1" x14ac:dyDescent="0.3">
      <c r="A15" s="583" t="s">
        <v>1066</v>
      </c>
      <c r="B15" s="575">
        <v>434</v>
      </c>
      <c r="C15" s="575"/>
      <c r="D15" s="575"/>
      <c r="E15" s="630">
        <v>45108</v>
      </c>
      <c r="F15" s="630"/>
      <c r="G15" s="631"/>
    </row>
    <row r="16" spans="1:7" ht="14.4" customHeight="1" thickBot="1" x14ac:dyDescent="0.35">
      <c r="A16" s="627" t="s">
        <v>619</v>
      </c>
      <c r="B16" s="577">
        <v>1682</v>
      </c>
      <c r="C16" s="577">
        <v>1732</v>
      </c>
      <c r="D16" s="577">
        <v>1360</v>
      </c>
      <c r="E16" s="626">
        <v>240958</v>
      </c>
      <c r="F16" s="626">
        <v>216402</v>
      </c>
      <c r="G16" s="632">
        <v>162429.34000000003</v>
      </c>
    </row>
    <row r="17" spans="1:1" ht="14.4" customHeight="1" x14ac:dyDescent="0.3">
      <c r="A17" s="530" t="s">
        <v>611</v>
      </c>
    </row>
    <row r="18" spans="1:1" ht="14.4" customHeight="1" x14ac:dyDescent="0.3">
      <c r="A18" s="531" t="s">
        <v>612</v>
      </c>
    </row>
    <row r="19" spans="1:1" ht="14.4" customHeight="1" x14ac:dyDescent="0.3">
      <c r="A19" s="530" t="s">
        <v>1061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1143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325"/>
      <c r="C2" s="134"/>
      <c r="D2" s="318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14368</v>
      </c>
      <c r="G3" s="104">
        <f t="shared" si="0"/>
        <v>1467549.8599999999</v>
      </c>
      <c r="H3" s="74"/>
      <c r="I3" s="74"/>
      <c r="J3" s="104">
        <f t="shared" si="0"/>
        <v>16477.099999999999</v>
      </c>
      <c r="K3" s="104">
        <f t="shared" si="0"/>
        <v>1605641.4100000001</v>
      </c>
      <c r="L3" s="74"/>
      <c r="M3" s="74"/>
      <c r="N3" s="104">
        <f t="shared" si="0"/>
        <v>17923.400000000001</v>
      </c>
      <c r="O3" s="104">
        <f t="shared" si="0"/>
        <v>1817818.54</v>
      </c>
      <c r="P3" s="75">
        <f>IF(G3=0,0,O3/G3)</f>
        <v>1.2386758293854494</v>
      </c>
      <c r="Q3" s="105">
        <f>IF(N3=0,0,O3/N3)</f>
        <v>101.42152381802559</v>
      </c>
    </row>
    <row r="4" spans="1:17" ht="14.4" customHeight="1" x14ac:dyDescent="0.3">
      <c r="A4" s="411" t="s">
        <v>96</v>
      </c>
      <c r="B4" s="418" t="s">
        <v>0</v>
      </c>
      <c r="C4" s="412" t="s">
        <v>97</v>
      </c>
      <c r="D4" s="417" t="s">
        <v>71</v>
      </c>
      <c r="E4" s="413" t="s">
        <v>70</v>
      </c>
      <c r="F4" s="414">
        <v>2013</v>
      </c>
      <c r="G4" s="415"/>
      <c r="H4" s="102"/>
      <c r="I4" s="102"/>
      <c r="J4" s="414">
        <v>2014</v>
      </c>
      <c r="K4" s="415"/>
      <c r="L4" s="102"/>
      <c r="M4" s="102"/>
      <c r="N4" s="414">
        <v>2015</v>
      </c>
      <c r="O4" s="415"/>
      <c r="P4" s="416" t="s">
        <v>2</v>
      </c>
      <c r="Q4" s="410" t="s">
        <v>99</v>
      </c>
    </row>
    <row r="5" spans="1:17" ht="14.4" customHeight="1" thickBot="1" x14ac:dyDescent="0.35">
      <c r="A5" s="633"/>
      <c r="B5" s="634"/>
      <c r="C5" s="635"/>
      <c r="D5" s="636"/>
      <c r="E5" s="637"/>
      <c r="F5" s="638" t="s">
        <v>72</v>
      </c>
      <c r="G5" s="639" t="s">
        <v>14</v>
      </c>
      <c r="H5" s="640"/>
      <c r="I5" s="640"/>
      <c r="J5" s="638" t="s">
        <v>72</v>
      </c>
      <c r="K5" s="639" t="s">
        <v>14</v>
      </c>
      <c r="L5" s="640"/>
      <c r="M5" s="640"/>
      <c r="N5" s="638" t="s">
        <v>72</v>
      </c>
      <c r="O5" s="639" t="s">
        <v>14</v>
      </c>
      <c r="P5" s="641"/>
      <c r="Q5" s="642"/>
    </row>
    <row r="6" spans="1:17" ht="14.4" customHeight="1" x14ac:dyDescent="0.3">
      <c r="A6" s="550" t="s">
        <v>1068</v>
      </c>
      <c r="B6" s="551" t="s">
        <v>449</v>
      </c>
      <c r="C6" s="551" t="s">
        <v>1069</v>
      </c>
      <c r="D6" s="551" t="s">
        <v>1070</v>
      </c>
      <c r="E6" s="551" t="s">
        <v>1071</v>
      </c>
      <c r="F6" s="119">
        <v>335.2</v>
      </c>
      <c r="G6" s="119">
        <v>30566.800000000007</v>
      </c>
      <c r="H6" s="551">
        <v>1</v>
      </c>
      <c r="I6" s="551">
        <v>91.189737470167088</v>
      </c>
      <c r="J6" s="119">
        <v>393.99999999999994</v>
      </c>
      <c r="K6" s="119">
        <v>21603.609999999997</v>
      </c>
      <c r="L6" s="551">
        <v>0.70676714605388824</v>
      </c>
      <c r="M6" s="551">
        <v>54.831497461928933</v>
      </c>
      <c r="N6" s="119">
        <v>411.79999999999984</v>
      </c>
      <c r="O6" s="119">
        <v>22278.379999999997</v>
      </c>
      <c r="P6" s="556">
        <v>0.72884240417708079</v>
      </c>
      <c r="Q6" s="574">
        <v>54.100000000000016</v>
      </c>
    </row>
    <row r="7" spans="1:17" ht="14.4" customHeight="1" x14ac:dyDescent="0.3">
      <c r="A7" s="557" t="s">
        <v>1068</v>
      </c>
      <c r="B7" s="558" t="s">
        <v>449</v>
      </c>
      <c r="C7" s="558" t="s">
        <v>1069</v>
      </c>
      <c r="D7" s="558" t="s">
        <v>1072</v>
      </c>
      <c r="E7" s="558" t="s">
        <v>1073</v>
      </c>
      <c r="F7" s="575">
        <v>4</v>
      </c>
      <c r="G7" s="575">
        <v>486.32</v>
      </c>
      <c r="H7" s="558">
        <v>1</v>
      </c>
      <c r="I7" s="558">
        <v>121.58</v>
      </c>
      <c r="J7" s="575"/>
      <c r="K7" s="575"/>
      <c r="L7" s="558"/>
      <c r="M7" s="558"/>
      <c r="N7" s="575">
        <v>3.4000000000000004</v>
      </c>
      <c r="O7" s="575">
        <v>368.04999999999995</v>
      </c>
      <c r="P7" s="563">
        <v>0.75680621812798154</v>
      </c>
      <c r="Q7" s="576">
        <v>108.24999999999997</v>
      </c>
    </row>
    <row r="8" spans="1:17" ht="14.4" customHeight="1" x14ac:dyDescent="0.3">
      <c r="A8" s="557" t="s">
        <v>1068</v>
      </c>
      <c r="B8" s="558" t="s">
        <v>449</v>
      </c>
      <c r="C8" s="558" t="s">
        <v>1069</v>
      </c>
      <c r="D8" s="558" t="s">
        <v>1074</v>
      </c>
      <c r="E8" s="558" t="s">
        <v>475</v>
      </c>
      <c r="F8" s="575"/>
      <c r="G8" s="575"/>
      <c r="H8" s="558"/>
      <c r="I8" s="558"/>
      <c r="J8" s="575">
        <v>3.1</v>
      </c>
      <c r="K8" s="575">
        <v>423.15</v>
      </c>
      <c r="L8" s="558"/>
      <c r="M8" s="558">
        <v>136.5</v>
      </c>
      <c r="N8" s="575"/>
      <c r="O8" s="575"/>
      <c r="P8" s="563"/>
      <c r="Q8" s="576"/>
    </row>
    <row r="9" spans="1:17" ht="14.4" customHeight="1" x14ac:dyDescent="0.3">
      <c r="A9" s="557" t="s">
        <v>1068</v>
      </c>
      <c r="B9" s="558" t="s">
        <v>449</v>
      </c>
      <c r="C9" s="558" t="s">
        <v>1069</v>
      </c>
      <c r="D9" s="558" t="s">
        <v>1075</v>
      </c>
      <c r="E9" s="558" t="s">
        <v>1076</v>
      </c>
      <c r="F9" s="575"/>
      <c r="G9" s="575"/>
      <c r="H9" s="558"/>
      <c r="I9" s="558"/>
      <c r="J9" s="575">
        <v>1.4</v>
      </c>
      <c r="K9" s="575">
        <v>108.99000000000001</v>
      </c>
      <c r="L9" s="558"/>
      <c r="M9" s="558">
        <v>77.850000000000009</v>
      </c>
      <c r="N9" s="575"/>
      <c r="O9" s="575"/>
      <c r="P9" s="563"/>
      <c r="Q9" s="576"/>
    </row>
    <row r="10" spans="1:17" ht="14.4" customHeight="1" x14ac:dyDescent="0.3">
      <c r="A10" s="557" t="s">
        <v>1068</v>
      </c>
      <c r="B10" s="558" t="s">
        <v>449</v>
      </c>
      <c r="C10" s="558" t="s">
        <v>1069</v>
      </c>
      <c r="D10" s="558" t="s">
        <v>1077</v>
      </c>
      <c r="E10" s="558" t="s">
        <v>1078</v>
      </c>
      <c r="F10" s="575">
        <v>17.600000000000001</v>
      </c>
      <c r="G10" s="575">
        <v>1856.0600000000002</v>
      </c>
      <c r="H10" s="558">
        <v>1</v>
      </c>
      <c r="I10" s="558">
        <v>105.45795454545454</v>
      </c>
      <c r="J10" s="575">
        <v>25.400000000000002</v>
      </c>
      <c r="K10" s="575">
        <v>2677.28</v>
      </c>
      <c r="L10" s="558">
        <v>1.4424533689643653</v>
      </c>
      <c r="M10" s="558">
        <v>105.40472440944882</v>
      </c>
      <c r="N10" s="575">
        <v>17.399999999999999</v>
      </c>
      <c r="O10" s="575">
        <v>1103.82</v>
      </c>
      <c r="P10" s="563">
        <v>0.59471137786493966</v>
      </c>
      <c r="Q10" s="576">
        <v>63.437931034482759</v>
      </c>
    </row>
    <row r="11" spans="1:17" ht="14.4" customHeight="1" x14ac:dyDescent="0.3">
      <c r="A11" s="557" t="s">
        <v>1068</v>
      </c>
      <c r="B11" s="558" t="s">
        <v>449</v>
      </c>
      <c r="C11" s="558" t="s">
        <v>1069</v>
      </c>
      <c r="D11" s="558" t="s">
        <v>1079</v>
      </c>
      <c r="E11" s="558" t="s">
        <v>522</v>
      </c>
      <c r="F11" s="575"/>
      <c r="G11" s="575"/>
      <c r="H11" s="558"/>
      <c r="I11" s="558"/>
      <c r="J11" s="575"/>
      <c r="K11" s="575"/>
      <c r="L11" s="558"/>
      <c r="M11" s="558"/>
      <c r="N11" s="575">
        <v>0.8</v>
      </c>
      <c r="O11" s="575">
        <v>41.12</v>
      </c>
      <c r="P11" s="563"/>
      <c r="Q11" s="576">
        <v>51.399999999999991</v>
      </c>
    </row>
    <row r="12" spans="1:17" ht="14.4" customHeight="1" x14ac:dyDescent="0.3">
      <c r="A12" s="557" t="s">
        <v>1068</v>
      </c>
      <c r="B12" s="558" t="s">
        <v>449</v>
      </c>
      <c r="C12" s="558" t="s">
        <v>1069</v>
      </c>
      <c r="D12" s="558" t="s">
        <v>1080</v>
      </c>
      <c r="E12" s="558" t="s">
        <v>1081</v>
      </c>
      <c r="F12" s="575">
        <v>17.200000000000003</v>
      </c>
      <c r="G12" s="575">
        <v>1902.8000000000002</v>
      </c>
      <c r="H12" s="558">
        <v>1</v>
      </c>
      <c r="I12" s="558">
        <v>110.62790697674419</v>
      </c>
      <c r="J12" s="575">
        <v>17.2</v>
      </c>
      <c r="K12" s="575">
        <v>1902.38</v>
      </c>
      <c r="L12" s="558">
        <v>0.99977927265083033</v>
      </c>
      <c r="M12" s="558">
        <v>110.60348837209304</v>
      </c>
      <c r="N12" s="575">
        <v>18.999999999999996</v>
      </c>
      <c r="O12" s="575">
        <v>3316.5200000000004</v>
      </c>
      <c r="P12" s="563">
        <v>1.7429682573050242</v>
      </c>
      <c r="Q12" s="576">
        <v>174.55368421052637</v>
      </c>
    </row>
    <row r="13" spans="1:17" ht="14.4" customHeight="1" x14ac:dyDescent="0.3">
      <c r="A13" s="557" t="s">
        <v>1068</v>
      </c>
      <c r="B13" s="558" t="s">
        <v>449</v>
      </c>
      <c r="C13" s="558" t="s">
        <v>1069</v>
      </c>
      <c r="D13" s="558" t="s">
        <v>1082</v>
      </c>
      <c r="E13" s="558" t="s">
        <v>1083</v>
      </c>
      <c r="F13" s="575">
        <v>23</v>
      </c>
      <c r="G13" s="575">
        <v>217.35</v>
      </c>
      <c r="H13" s="558">
        <v>1</v>
      </c>
      <c r="I13" s="558">
        <v>9.4499999999999993</v>
      </c>
      <c r="J13" s="575">
        <v>35</v>
      </c>
      <c r="K13" s="575">
        <v>330.75</v>
      </c>
      <c r="L13" s="558">
        <v>1.5217391304347827</v>
      </c>
      <c r="M13" s="558">
        <v>9.4499999999999993</v>
      </c>
      <c r="N13" s="575"/>
      <c r="O13" s="575"/>
      <c r="P13" s="563"/>
      <c r="Q13" s="576"/>
    </row>
    <row r="14" spans="1:17" ht="14.4" customHeight="1" x14ac:dyDescent="0.3">
      <c r="A14" s="557" t="s">
        <v>1068</v>
      </c>
      <c r="B14" s="558" t="s">
        <v>449</v>
      </c>
      <c r="C14" s="558" t="s">
        <v>1069</v>
      </c>
      <c r="D14" s="558" t="s">
        <v>1084</v>
      </c>
      <c r="E14" s="558"/>
      <c r="F14" s="575">
        <v>1653</v>
      </c>
      <c r="G14" s="575">
        <v>6248.3400000000011</v>
      </c>
      <c r="H14" s="558">
        <v>1</v>
      </c>
      <c r="I14" s="558">
        <v>3.7800000000000007</v>
      </c>
      <c r="J14" s="575">
        <v>1089</v>
      </c>
      <c r="K14" s="575">
        <v>4033.2600000000007</v>
      </c>
      <c r="L14" s="558">
        <v>0.64549304295220811</v>
      </c>
      <c r="M14" s="558">
        <v>3.7036363636363641</v>
      </c>
      <c r="N14" s="575"/>
      <c r="O14" s="575"/>
      <c r="P14" s="563"/>
      <c r="Q14" s="576"/>
    </row>
    <row r="15" spans="1:17" ht="14.4" customHeight="1" x14ac:dyDescent="0.3">
      <c r="A15" s="557" t="s">
        <v>1068</v>
      </c>
      <c r="B15" s="558" t="s">
        <v>449</v>
      </c>
      <c r="C15" s="558" t="s">
        <v>1069</v>
      </c>
      <c r="D15" s="558" t="s">
        <v>1085</v>
      </c>
      <c r="E15" s="558" t="s">
        <v>1086</v>
      </c>
      <c r="F15" s="575">
        <v>265</v>
      </c>
      <c r="G15" s="575">
        <v>18026.190000000006</v>
      </c>
      <c r="H15" s="558">
        <v>1</v>
      </c>
      <c r="I15" s="558">
        <v>68.023358490566054</v>
      </c>
      <c r="J15" s="575">
        <v>265</v>
      </c>
      <c r="K15" s="575">
        <v>15748.950000000003</v>
      </c>
      <c r="L15" s="558">
        <v>0.87367047612390625</v>
      </c>
      <c r="M15" s="558">
        <v>59.430000000000007</v>
      </c>
      <c r="N15" s="575">
        <v>297</v>
      </c>
      <c r="O15" s="575">
        <v>16881.480000000003</v>
      </c>
      <c r="P15" s="563">
        <v>0.93649739628840023</v>
      </c>
      <c r="Q15" s="576">
        <v>56.840000000000011</v>
      </c>
    </row>
    <row r="16" spans="1:17" ht="14.4" customHeight="1" x14ac:dyDescent="0.3">
      <c r="A16" s="557" t="s">
        <v>1068</v>
      </c>
      <c r="B16" s="558" t="s">
        <v>449</v>
      </c>
      <c r="C16" s="558" t="s">
        <v>1069</v>
      </c>
      <c r="D16" s="558" t="s">
        <v>1087</v>
      </c>
      <c r="E16" s="558" t="s">
        <v>1088</v>
      </c>
      <c r="F16" s="575"/>
      <c r="G16" s="575"/>
      <c r="H16" s="558"/>
      <c r="I16" s="558"/>
      <c r="J16" s="575">
        <v>758</v>
      </c>
      <c r="K16" s="575">
        <v>2714.0400000000004</v>
      </c>
      <c r="L16" s="558"/>
      <c r="M16" s="558">
        <v>3.5805277044854886</v>
      </c>
      <c r="N16" s="575">
        <v>1988</v>
      </c>
      <c r="O16" s="575">
        <v>6781.2</v>
      </c>
      <c r="P16" s="563"/>
      <c r="Q16" s="576">
        <v>3.411066398390342</v>
      </c>
    </row>
    <row r="17" spans="1:17" ht="14.4" customHeight="1" x14ac:dyDescent="0.3">
      <c r="A17" s="557" t="s">
        <v>1068</v>
      </c>
      <c r="B17" s="558" t="s">
        <v>449</v>
      </c>
      <c r="C17" s="558" t="s">
        <v>1089</v>
      </c>
      <c r="D17" s="558" t="s">
        <v>1090</v>
      </c>
      <c r="E17" s="558" t="s">
        <v>1091</v>
      </c>
      <c r="F17" s="575">
        <v>114</v>
      </c>
      <c r="G17" s="575">
        <v>19266</v>
      </c>
      <c r="H17" s="558">
        <v>1</v>
      </c>
      <c r="I17" s="558">
        <v>169</v>
      </c>
      <c r="J17" s="575">
        <v>77</v>
      </c>
      <c r="K17" s="575">
        <v>13061</v>
      </c>
      <c r="L17" s="558">
        <v>0.67793003218104431</v>
      </c>
      <c r="M17" s="558">
        <v>169.62337662337663</v>
      </c>
      <c r="N17" s="575">
        <v>92</v>
      </c>
      <c r="O17" s="575">
        <v>15732</v>
      </c>
      <c r="P17" s="563">
        <v>0.81656804733727806</v>
      </c>
      <c r="Q17" s="576">
        <v>171</v>
      </c>
    </row>
    <row r="18" spans="1:17" ht="14.4" customHeight="1" x14ac:dyDescent="0.3">
      <c r="A18" s="557" t="s">
        <v>1068</v>
      </c>
      <c r="B18" s="558" t="s">
        <v>449</v>
      </c>
      <c r="C18" s="558" t="s">
        <v>1089</v>
      </c>
      <c r="D18" s="558" t="s">
        <v>1092</v>
      </c>
      <c r="E18" s="558" t="s">
        <v>1093</v>
      </c>
      <c r="F18" s="575">
        <v>56</v>
      </c>
      <c r="G18" s="575">
        <v>6272</v>
      </c>
      <c r="H18" s="558">
        <v>1</v>
      </c>
      <c r="I18" s="558">
        <v>112</v>
      </c>
      <c r="J18" s="575">
        <v>76</v>
      </c>
      <c r="K18" s="575">
        <v>8557</v>
      </c>
      <c r="L18" s="558">
        <v>1.3643176020408163</v>
      </c>
      <c r="M18" s="558">
        <v>112.59210526315789</v>
      </c>
      <c r="N18" s="575">
        <v>33</v>
      </c>
      <c r="O18" s="575">
        <v>3729</v>
      </c>
      <c r="P18" s="563">
        <v>0.59454719387755106</v>
      </c>
      <c r="Q18" s="576">
        <v>113</v>
      </c>
    </row>
    <row r="19" spans="1:17" ht="14.4" customHeight="1" x14ac:dyDescent="0.3">
      <c r="A19" s="557" t="s">
        <v>1068</v>
      </c>
      <c r="B19" s="558" t="s">
        <v>449</v>
      </c>
      <c r="C19" s="558" t="s">
        <v>1089</v>
      </c>
      <c r="D19" s="558" t="s">
        <v>1094</v>
      </c>
      <c r="E19" s="558" t="s">
        <v>1095</v>
      </c>
      <c r="F19" s="575">
        <v>2685</v>
      </c>
      <c r="G19" s="575">
        <v>91290</v>
      </c>
      <c r="H19" s="558">
        <v>1</v>
      </c>
      <c r="I19" s="558">
        <v>34</v>
      </c>
      <c r="J19" s="575">
        <v>2986</v>
      </c>
      <c r="K19" s="575">
        <v>101731</v>
      </c>
      <c r="L19" s="558">
        <v>1.1143717822324462</v>
      </c>
      <c r="M19" s="558">
        <v>34.069323509711992</v>
      </c>
      <c r="N19" s="575">
        <v>2830</v>
      </c>
      <c r="O19" s="575">
        <v>99050</v>
      </c>
      <c r="P19" s="563">
        <v>1.085003833935809</v>
      </c>
      <c r="Q19" s="576">
        <v>35</v>
      </c>
    </row>
    <row r="20" spans="1:17" ht="14.4" customHeight="1" x14ac:dyDescent="0.3">
      <c r="A20" s="557" t="s">
        <v>1068</v>
      </c>
      <c r="B20" s="558" t="s">
        <v>449</v>
      </c>
      <c r="C20" s="558" t="s">
        <v>1089</v>
      </c>
      <c r="D20" s="558" t="s">
        <v>1096</v>
      </c>
      <c r="E20" s="558" t="s">
        <v>1097</v>
      </c>
      <c r="F20" s="575">
        <v>516</v>
      </c>
      <c r="G20" s="575">
        <v>5160</v>
      </c>
      <c r="H20" s="558">
        <v>1</v>
      </c>
      <c r="I20" s="558">
        <v>10</v>
      </c>
      <c r="J20" s="575">
        <v>729</v>
      </c>
      <c r="K20" s="575">
        <v>7250</v>
      </c>
      <c r="L20" s="558">
        <v>1.4050387596899225</v>
      </c>
      <c r="M20" s="558">
        <v>9.9451303155006858</v>
      </c>
      <c r="N20" s="575">
        <v>933</v>
      </c>
      <c r="O20" s="575">
        <v>9330</v>
      </c>
      <c r="P20" s="563">
        <v>1.808139534883721</v>
      </c>
      <c r="Q20" s="576">
        <v>10</v>
      </c>
    </row>
    <row r="21" spans="1:17" ht="14.4" customHeight="1" x14ac:dyDescent="0.3">
      <c r="A21" s="557" t="s">
        <v>1068</v>
      </c>
      <c r="B21" s="558" t="s">
        <v>449</v>
      </c>
      <c r="C21" s="558" t="s">
        <v>1089</v>
      </c>
      <c r="D21" s="558" t="s">
        <v>1098</v>
      </c>
      <c r="E21" s="558" t="s">
        <v>1099</v>
      </c>
      <c r="F21" s="575">
        <v>74</v>
      </c>
      <c r="G21" s="575">
        <v>370</v>
      </c>
      <c r="H21" s="558">
        <v>1</v>
      </c>
      <c r="I21" s="558">
        <v>5</v>
      </c>
      <c r="J21" s="575">
        <v>95</v>
      </c>
      <c r="K21" s="575">
        <v>445</v>
      </c>
      <c r="L21" s="558">
        <v>1.2027027027027026</v>
      </c>
      <c r="M21" s="558">
        <v>4.6842105263157894</v>
      </c>
      <c r="N21" s="575">
        <v>92</v>
      </c>
      <c r="O21" s="575">
        <v>460</v>
      </c>
      <c r="P21" s="563">
        <v>1.2432432432432432</v>
      </c>
      <c r="Q21" s="576">
        <v>5</v>
      </c>
    </row>
    <row r="22" spans="1:17" ht="14.4" customHeight="1" x14ac:dyDescent="0.3">
      <c r="A22" s="557" t="s">
        <v>1068</v>
      </c>
      <c r="B22" s="558" t="s">
        <v>449</v>
      </c>
      <c r="C22" s="558" t="s">
        <v>1089</v>
      </c>
      <c r="D22" s="558" t="s">
        <v>1100</v>
      </c>
      <c r="E22" s="558" t="s">
        <v>1101</v>
      </c>
      <c r="F22" s="575">
        <v>24</v>
      </c>
      <c r="G22" s="575">
        <v>120</v>
      </c>
      <c r="H22" s="558">
        <v>1</v>
      </c>
      <c r="I22" s="558">
        <v>5</v>
      </c>
      <c r="J22" s="575">
        <v>17</v>
      </c>
      <c r="K22" s="575">
        <v>85</v>
      </c>
      <c r="L22" s="558">
        <v>0.70833333333333337</v>
      </c>
      <c r="M22" s="558">
        <v>5</v>
      </c>
      <c r="N22" s="575">
        <v>22</v>
      </c>
      <c r="O22" s="575">
        <v>110</v>
      </c>
      <c r="P22" s="563">
        <v>0.91666666666666663</v>
      </c>
      <c r="Q22" s="576">
        <v>5</v>
      </c>
    </row>
    <row r="23" spans="1:17" ht="14.4" customHeight="1" x14ac:dyDescent="0.3">
      <c r="A23" s="557" t="s">
        <v>1068</v>
      </c>
      <c r="B23" s="558" t="s">
        <v>449</v>
      </c>
      <c r="C23" s="558" t="s">
        <v>1089</v>
      </c>
      <c r="D23" s="558" t="s">
        <v>1102</v>
      </c>
      <c r="E23" s="558" t="s">
        <v>1103</v>
      </c>
      <c r="F23" s="575">
        <v>204</v>
      </c>
      <c r="G23" s="575">
        <v>14076</v>
      </c>
      <c r="H23" s="558">
        <v>1</v>
      </c>
      <c r="I23" s="558">
        <v>69</v>
      </c>
      <c r="J23" s="575">
        <v>202</v>
      </c>
      <c r="K23" s="575">
        <v>14033</v>
      </c>
      <c r="L23" s="558">
        <v>0.99694515487354363</v>
      </c>
      <c r="M23" s="558">
        <v>69.470297029702976</v>
      </c>
      <c r="N23" s="575">
        <v>166</v>
      </c>
      <c r="O23" s="575">
        <v>11620</v>
      </c>
      <c r="P23" s="563">
        <v>0.82551861324239839</v>
      </c>
      <c r="Q23" s="576">
        <v>70</v>
      </c>
    </row>
    <row r="24" spans="1:17" ht="14.4" customHeight="1" x14ac:dyDescent="0.3">
      <c r="A24" s="557" t="s">
        <v>1068</v>
      </c>
      <c r="B24" s="558" t="s">
        <v>449</v>
      </c>
      <c r="C24" s="558" t="s">
        <v>1089</v>
      </c>
      <c r="D24" s="558" t="s">
        <v>1104</v>
      </c>
      <c r="E24" s="558" t="s">
        <v>1105</v>
      </c>
      <c r="F24" s="575"/>
      <c r="G24" s="575"/>
      <c r="H24" s="558"/>
      <c r="I24" s="558"/>
      <c r="J24" s="575"/>
      <c r="K24" s="575"/>
      <c r="L24" s="558"/>
      <c r="M24" s="558"/>
      <c r="N24" s="575">
        <v>99</v>
      </c>
      <c r="O24" s="575">
        <v>3465</v>
      </c>
      <c r="P24" s="563"/>
      <c r="Q24" s="576">
        <v>35</v>
      </c>
    </row>
    <row r="25" spans="1:17" ht="14.4" customHeight="1" x14ac:dyDescent="0.3">
      <c r="A25" s="557" t="s">
        <v>1068</v>
      </c>
      <c r="B25" s="558" t="s">
        <v>449</v>
      </c>
      <c r="C25" s="558" t="s">
        <v>1089</v>
      </c>
      <c r="D25" s="558" t="s">
        <v>1106</v>
      </c>
      <c r="E25" s="558" t="s">
        <v>1107</v>
      </c>
      <c r="F25" s="575">
        <v>1</v>
      </c>
      <c r="G25" s="575">
        <v>117</v>
      </c>
      <c r="H25" s="558">
        <v>1</v>
      </c>
      <c r="I25" s="558">
        <v>117</v>
      </c>
      <c r="J25" s="575">
        <v>46</v>
      </c>
      <c r="K25" s="575">
        <v>4929</v>
      </c>
      <c r="L25" s="558">
        <v>42.128205128205131</v>
      </c>
      <c r="M25" s="558">
        <v>107.15217391304348</v>
      </c>
      <c r="N25" s="575">
        <v>18</v>
      </c>
      <c r="O25" s="575">
        <v>2142</v>
      </c>
      <c r="P25" s="563">
        <v>18.307692307692307</v>
      </c>
      <c r="Q25" s="576">
        <v>119</v>
      </c>
    </row>
    <row r="26" spans="1:17" ht="14.4" customHeight="1" x14ac:dyDescent="0.3">
      <c r="A26" s="557" t="s">
        <v>1068</v>
      </c>
      <c r="B26" s="558" t="s">
        <v>449</v>
      </c>
      <c r="C26" s="558" t="s">
        <v>1089</v>
      </c>
      <c r="D26" s="558" t="s">
        <v>1108</v>
      </c>
      <c r="E26" s="558" t="s">
        <v>1109</v>
      </c>
      <c r="F26" s="575">
        <v>646</v>
      </c>
      <c r="G26" s="575">
        <v>75582</v>
      </c>
      <c r="H26" s="558">
        <v>1</v>
      </c>
      <c r="I26" s="558">
        <v>117</v>
      </c>
      <c r="J26" s="575">
        <v>93</v>
      </c>
      <c r="K26" s="575">
        <v>10881</v>
      </c>
      <c r="L26" s="558">
        <v>0.14396284829721362</v>
      </c>
      <c r="M26" s="558">
        <v>117</v>
      </c>
      <c r="N26" s="575"/>
      <c r="O26" s="575"/>
      <c r="P26" s="563"/>
      <c r="Q26" s="576"/>
    </row>
    <row r="27" spans="1:17" ht="14.4" customHeight="1" x14ac:dyDescent="0.3">
      <c r="A27" s="557" t="s">
        <v>1068</v>
      </c>
      <c r="B27" s="558" t="s">
        <v>449</v>
      </c>
      <c r="C27" s="558" t="s">
        <v>1089</v>
      </c>
      <c r="D27" s="558" t="s">
        <v>1110</v>
      </c>
      <c r="E27" s="558" t="s">
        <v>1111</v>
      </c>
      <c r="F27" s="575">
        <v>141</v>
      </c>
      <c r="G27" s="575">
        <v>22983</v>
      </c>
      <c r="H27" s="558">
        <v>1</v>
      </c>
      <c r="I27" s="558">
        <v>163</v>
      </c>
      <c r="J27" s="575">
        <v>260</v>
      </c>
      <c r="K27" s="575">
        <v>40909</v>
      </c>
      <c r="L27" s="558">
        <v>1.779967802288648</v>
      </c>
      <c r="M27" s="558">
        <v>157.34230769230768</v>
      </c>
      <c r="N27" s="575">
        <v>409</v>
      </c>
      <c r="O27" s="575">
        <v>67485</v>
      </c>
      <c r="P27" s="563">
        <v>2.9363007440281947</v>
      </c>
      <c r="Q27" s="576">
        <v>165</v>
      </c>
    </row>
    <row r="28" spans="1:17" ht="14.4" customHeight="1" x14ac:dyDescent="0.3">
      <c r="A28" s="557" t="s">
        <v>1068</v>
      </c>
      <c r="B28" s="558" t="s">
        <v>449</v>
      </c>
      <c r="C28" s="558" t="s">
        <v>1089</v>
      </c>
      <c r="D28" s="558" t="s">
        <v>1112</v>
      </c>
      <c r="E28" s="558" t="s">
        <v>1113</v>
      </c>
      <c r="F28" s="575">
        <v>7</v>
      </c>
      <c r="G28" s="575">
        <v>0</v>
      </c>
      <c r="H28" s="558"/>
      <c r="I28" s="558">
        <v>0</v>
      </c>
      <c r="J28" s="575">
        <v>9</v>
      </c>
      <c r="K28" s="575">
        <v>0</v>
      </c>
      <c r="L28" s="558"/>
      <c r="M28" s="558">
        <v>0</v>
      </c>
      <c r="N28" s="575"/>
      <c r="O28" s="575"/>
      <c r="P28" s="563"/>
      <c r="Q28" s="576"/>
    </row>
    <row r="29" spans="1:17" ht="14.4" customHeight="1" x14ac:dyDescent="0.3">
      <c r="A29" s="557" t="s">
        <v>1068</v>
      </c>
      <c r="B29" s="558" t="s">
        <v>449</v>
      </c>
      <c r="C29" s="558" t="s">
        <v>1089</v>
      </c>
      <c r="D29" s="558" t="s">
        <v>1114</v>
      </c>
      <c r="E29" s="558" t="s">
        <v>1115</v>
      </c>
      <c r="F29" s="575">
        <v>275</v>
      </c>
      <c r="G29" s="575">
        <v>46200</v>
      </c>
      <c r="H29" s="558">
        <v>1</v>
      </c>
      <c r="I29" s="558">
        <v>168</v>
      </c>
      <c r="J29" s="575">
        <v>403</v>
      </c>
      <c r="K29" s="575">
        <v>67796</v>
      </c>
      <c r="L29" s="558">
        <v>1.4674458874458876</v>
      </c>
      <c r="M29" s="558">
        <v>168.22828784119108</v>
      </c>
      <c r="N29" s="575">
        <v>370</v>
      </c>
      <c r="O29" s="575">
        <v>63270</v>
      </c>
      <c r="P29" s="563">
        <v>1.3694805194805195</v>
      </c>
      <c r="Q29" s="576">
        <v>171</v>
      </c>
    </row>
    <row r="30" spans="1:17" ht="14.4" customHeight="1" x14ac:dyDescent="0.3">
      <c r="A30" s="557" t="s">
        <v>1068</v>
      </c>
      <c r="B30" s="558" t="s">
        <v>449</v>
      </c>
      <c r="C30" s="558" t="s">
        <v>1089</v>
      </c>
      <c r="D30" s="558" t="s">
        <v>1116</v>
      </c>
      <c r="E30" s="558" t="s">
        <v>1117</v>
      </c>
      <c r="F30" s="575">
        <v>1014</v>
      </c>
      <c r="G30" s="575">
        <v>0</v>
      </c>
      <c r="H30" s="558"/>
      <c r="I30" s="558">
        <v>0</v>
      </c>
      <c r="J30" s="575">
        <v>1343</v>
      </c>
      <c r="K30" s="575">
        <v>0</v>
      </c>
      <c r="L30" s="558"/>
      <c r="M30" s="558">
        <v>0</v>
      </c>
      <c r="N30" s="575">
        <v>1723</v>
      </c>
      <c r="O30" s="575">
        <v>21399.97</v>
      </c>
      <c r="P30" s="563"/>
      <c r="Q30" s="576">
        <v>12.420179918746372</v>
      </c>
    </row>
    <row r="31" spans="1:17" ht="14.4" customHeight="1" x14ac:dyDescent="0.3">
      <c r="A31" s="557" t="s">
        <v>1068</v>
      </c>
      <c r="B31" s="558" t="s">
        <v>449</v>
      </c>
      <c r="C31" s="558" t="s">
        <v>1089</v>
      </c>
      <c r="D31" s="558" t="s">
        <v>1118</v>
      </c>
      <c r="E31" s="558" t="s">
        <v>1119</v>
      </c>
      <c r="F31" s="575">
        <v>468</v>
      </c>
      <c r="G31" s="575">
        <v>16380</v>
      </c>
      <c r="H31" s="558">
        <v>1</v>
      </c>
      <c r="I31" s="558">
        <v>35</v>
      </c>
      <c r="J31" s="575">
        <v>603</v>
      </c>
      <c r="K31" s="575">
        <v>21394</v>
      </c>
      <c r="L31" s="558">
        <v>1.3061050061050061</v>
      </c>
      <c r="M31" s="558">
        <v>35.479270315091213</v>
      </c>
      <c r="N31" s="575">
        <v>535</v>
      </c>
      <c r="O31" s="575">
        <v>19260</v>
      </c>
      <c r="P31" s="563">
        <v>1.1758241758241759</v>
      </c>
      <c r="Q31" s="576">
        <v>36</v>
      </c>
    </row>
    <row r="32" spans="1:17" ht="14.4" customHeight="1" x14ac:dyDescent="0.3">
      <c r="A32" s="557" t="s">
        <v>1068</v>
      </c>
      <c r="B32" s="558" t="s">
        <v>449</v>
      </c>
      <c r="C32" s="558" t="s">
        <v>1089</v>
      </c>
      <c r="D32" s="558" t="s">
        <v>1120</v>
      </c>
      <c r="E32" s="558" t="s">
        <v>1121</v>
      </c>
      <c r="F32" s="575"/>
      <c r="G32" s="575"/>
      <c r="H32" s="558"/>
      <c r="I32" s="558"/>
      <c r="J32" s="575">
        <v>2</v>
      </c>
      <c r="K32" s="575">
        <v>0</v>
      </c>
      <c r="L32" s="558"/>
      <c r="M32" s="558">
        <v>0</v>
      </c>
      <c r="N32" s="575"/>
      <c r="O32" s="575"/>
      <c r="P32" s="563"/>
      <c r="Q32" s="576"/>
    </row>
    <row r="33" spans="1:17" ht="14.4" customHeight="1" x14ac:dyDescent="0.3">
      <c r="A33" s="557" t="s">
        <v>1068</v>
      </c>
      <c r="B33" s="558" t="s">
        <v>449</v>
      </c>
      <c r="C33" s="558" t="s">
        <v>1089</v>
      </c>
      <c r="D33" s="558" t="s">
        <v>1122</v>
      </c>
      <c r="E33" s="558" t="s">
        <v>1123</v>
      </c>
      <c r="F33" s="575">
        <v>1947</v>
      </c>
      <c r="G33" s="575">
        <v>274527</v>
      </c>
      <c r="H33" s="558">
        <v>1</v>
      </c>
      <c r="I33" s="558">
        <v>141</v>
      </c>
      <c r="J33" s="575">
        <v>2138</v>
      </c>
      <c r="K33" s="575">
        <v>275371</v>
      </c>
      <c r="L33" s="558">
        <v>1.0030743788406968</v>
      </c>
      <c r="M33" s="558">
        <v>128.79840972871844</v>
      </c>
      <c r="N33" s="575">
        <v>2295</v>
      </c>
      <c r="O33" s="575">
        <v>296055</v>
      </c>
      <c r="P33" s="563">
        <v>1.0784185162115201</v>
      </c>
      <c r="Q33" s="576">
        <v>129</v>
      </c>
    </row>
    <row r="34" spans="1:17" ht="14.4" customHeight="1" x14ac:dyDescent="0.3">
      <c r="A34" s="557" t="s">
        <v>1068</v>
      </c>
      <c r="B34" s="558" t="s">
        <v>449</v>
      </c>
      <c r="C34" s="558" t="s">
        <v>1089</v>
      </c>
      <c r="D34" s="558" t="s">
        <v>1124</v>
      </c>
      <c r="E34" s="558" t="s">
        <v>1125</v>
      </c>
      <c r="F34" s="575">
        <v>660</v>
      </c>
      <c r="G34" s="575">
        <v>45540</v>
      </c>
      <c r="H34" s="558">
        <v>1</v>
      </c>
      <c r="I34" s="558">
        <v>69</v>
      </c>
      <c r="J34" s="575">
        <v>832</v>
      </c>
      <c r="K34" s="575">
        <v>57901</v>
      </c>
      <c r="L34" s="558">
        <v>1.2714317083882301</v>
      </c>
      <c r="M34" s="558">
        <v>69.59254807692308</v>
      </c>
      <c r="N34" s="575">
        <v>1286</v>
      </c>
      <c r="O34" s="575">
        <v>90020</v>
      </c>
      <c r="P34" s="563">
        <v>1.9767237593324549</v>
      </c>
      <c r="Q34" s="576">
        <v>70</v>
      </c>
    </row>
    <row r="35" spans="1:17" ht="14.4" customHeight="1" x14ac:dyDescent="0.3">
      <c r="A35" s="557" t="s">
        <v>1068</v>
      </c>
      <c r="B35" s="558" t="s">
        <v>449</v>
      </c>
      <c r="C35" s="558" t="s">
        <v>1089</v>
      </c>
      <c r="D35" s="558" t="s">
        <v>1126</v>
      </c>
      <c r="E35" s="558" t="s">
        <v>1127</v>
      </c>
      <c r="F35" s="575">
        <v>528</v>
      </c>
      <c r="G35" s="575">
        <v>172656</v>
      </c>
      <c r="H35" s="558">
        <v>1</v>
      </c>
      <c r="I35" s="558">
        <v>327</v>
      </c>
      <c r="J35" s="575">
        <v>725</v>
      </c>
      <c r="K35" s="575">
        <v>237252</v>
      </c>
      <c r="L35" s="558">
        <v>1.3741312204614957</v>
      </c>
      <c r="M35" s="558">
        <v>327.24413793103446</v>
      </c>
      <c r="N35" s="575">
        <v>888</v>
      </c>
      <c r="O35" s="575">
        <v>293928</v>
      </c>
      <c r="P35" s="563">
        <v>1.702390881289964</v>
      </c>
      <c r="Q35" s="576">
        <v>331</v>
      </c>
    </row>
    <row r="36" spans="1:17" ht="14.4" customHeight="1" x14ac:dyDescent="0.3">
      <c r="A36" s="557" t="s">
        <v>1068</v>
      </c>
      <c r="B36" s="558" t="s">
        <v>449</v>
      </c>
      <c r="C36" s="558" t="s">
        <v>1089</v>
      </c>
      <c r="D36" s="558" t="s">
        <v>1128</v>
      </c>
      <c r="E36" s="558" t="s">
        <v>1129</v>
      </c>
      <c r="F36" s="575">
        <v>121</v>
      </c>
      <c r="G36" s="575">
        <v>24926</v>
      </c>
      <c r="H36" s="558">
        <v>1</v>
      </c>
      <c r="I36" s="558">
        <v>206</v>
      </c>
      <c r="J36" s="575">
        <v>281</v>
      </c>
      <c r="K36" s="575">
        <v>57253</v>
      </c>
      <c r="L36" s="558">
        <v>2.296918879884458</v>
      </c>
      <c r="M36" s="558">
        <v>203.7473309608541</v>
      </c>
      <c r="N36" s="575">
        <v>257</v>
      </c>
      <c r="O36" s="575">
        <v>53970</v>
      </c>
      <c r="P36" s="563">
        <v>2.1652090186953381</v>
      </c>
      <c r="Q36" s="576">
        <v>210</v>
      </c>
    </row>
    <row r="37" spans="1:17" ht="14.4" customHeight="1" x14ac:dyDescent="0.3">
      <c r="A37" s="557" t="s">
        <v>1068</v>
      </c>
      <c r="B37" s="558" t="s">
        <v>449</v>
      </c>
      <c r="C37" s="558" t="s">
        <v>1089</v>
      </c>
      <c r="D37" s="558" t="s">
        <v>1130</v>
      </c>
      <c r="E37" s="558" t="s">
        <v>1131</v>
      </c>
      <c r="F37" s="575">
        <v>429</v>
      </c>
      <c r="G37" s="575">
        <v>32604</v>
      </c>
      <c r="H37" s="558">
        <v>1</v>
      </c>
      <c r="I37" s="558">
        <v>76</v>
      </c>
      <c r="J37" s="575">
        <v>550</v>
      </c>
      <c r="K37" s="575">
        <v>41952</v>
      </c>
      <c r="L37" s="558">
        <v>1.2867132867132867</v>
      </c>
      <c r="M37" s="558">
        <v>76.276363636363641</v>
      </c>
      <c r="N37" s="575">
        <v>513</v>
      </c>
      <c r="O37" s="575">
        <v>39501</v>
      </c>
      <c r="P37" s="563">
        <v>1.2115384615384615</v>
      </c>
      <c r="Q37" s="576">
        <v>77</v>
      </c>
    </row>
    <row r="38" spans="1:17" ht="14.4" customHeight="1" x14ac:dyDescent="0.3">
      <c r="A38" s="557" t="s">
        <v>1068</v>
      </c>
      <c r="B38" s="558" t="s">
        <v>449</v>
      </c>
      <c r="C38" s="558" t="s">
        <v>1089</v>
      </c>
      <c r="D38" s="558" t="s">
        <v>1132</v>
      </c>
      <c r="E38" s="558" t="s">
        <v>1133</v>
      </c>
      <c r="F38" s="575">
        <v>24</v>
      </c>
      <c r="G38" s="575">
        <v>624</v>
      </c>
      <c r="H38" s="558">
        <v>1</v>
      </c>
      <c r="I38" s="558">
        <v>26</v>
      </c>
      <c r="J38" s="575">
        <v>20</v>
      </c>
      <c r="K38" s="575">
        <v>531</v>
      </c>
      <c r="L38" s="558">
        <v>0.85096153846153844</v>
      </c>
      <c r="M38" s="558">
        <v>26.55</v>
      </c>
      <c r="N38" s="575">
        <v>45</v>
      </c>
      <c r="O38" s="575">
        <v>1215</v>
      </c>
      <c r="P38" s="563">
        <v>1.9471153846153846</v>
      </c>
      <c r="Q38" s="576">
        <v>27</v>
      </c>
    </row>
    <row r="39" spans="1:17" ht="14.4" customHeight="1" x14ac:dyDescent="0.3">
      <c r="A39" s="557" t="s">
        <v>1068</v>
      </c>
      <c r="B39" s="558" t="s">
        <v>449</v>
      </c>
      <c r="C39" s="558" t="s">
        <v>1089</v>
      </c>
      <c r="D39" s="558" t="s">
        <v>1134</v>
      </c>
      <c r="E39" s="558" t="s">
        <v>1135</v>
      </c>
      <c r="F39" s="575">
        <v>251</v>
      </c>
      <c r="G39" s="575">
        <v>14056</v>
      </c>
      <c r="H39" s="558">
        <v>1</v>
      </c>
      <c r="I39" s="558">
        <v>56</v>
      </c>
      <c r="J39" s="575">
        <v>151</v>
      </c>
      <c r="K39" s="575">
        <v>8558</v>
      </c>
      <c r="L39" s="558">
        <v>0.60885031303357995</v>
      </c>
      <c r="M39" s="558">
        <v>56.675496688741724</v>
      </c>
      <c r="N39" s="575">
        <v>138</v>
      </c>
      <c r="O39" s="575">
        <v>7866</v>
      </c>
      <c r="P39" s="563">
        <v>0.5596186681844052</v>
      </c>
      <c r="Q39" s="576">
        <v>57</v>
      </c>
    </row>
    <row r="40" spans="1:17" ht="14.4" customHeight="1" x14ac:dyDescent="0.3">
      <c r="A40" s="557" t="s">
        <v>1068</v>
      </c>
      <c r="B40" s="558" t="s">
        <v>449</v>
      </c>
      <c r="C40" s="558" t="s">
        <v>1089</v>
      </c>
      <c r="D40" s="558" t="s">
        <v>1136</v>
      </c>
      <c r="E40" s="558" t="s">
        <v>1137</v>
      </c>
      <c r="F40" s="575">
        <v>213</v>
      </c>
      <c r="G40" s="575">
        <v>51120</v>
      </c>
      <c r="H40" s="558">
        <v>1</v>
      </c>
      <c r="I40" s="558">
        <v>240</v>
      </c>
      <c r="J40" s="575">
        <v>172</v>
      </c>
      <c r="K40" s="575">
        <v>41504</v>
      </c>
      <c r="L40" s="558">
        <v>0.81189358372456966</v>
      </c>
      <c r="M40" s="558">
        <v>241.30232558139534</v>
      </c>
      <c r="N40" s="575">
        <v>228</v>
      </c>
      <c r="O40" s="575">
        <v>55404</v>
      </c>
      <c r="P40" s="563">
        <v>1.0838028169014085</v>
      </c>
      <c r="Q40" s="576">
        <v>243</v>
      </c>
    </row>
    <row r="41" spans="1:17" ht="14.4" customHeight="1" x14ac:dyDescent="0.3">
      <c r="A41" s="557" t="s">
        <v>1068</v>
      </c>
      <c r="B41" s="558" t="s">
        <v>449</v>
      </c>
      <c r="C41" s="558" t="s">
        <v>1089</v>
      </c>
      <c r="D41" s="558" t="s">
        <v>1138</v>
      </c>
      <c r="E41" s="558" t="s">
        <v>1139</v>
      </c>
      <c r="F41" s="575">
        <v>401</v>
      </c>
      <c r="G41" s="575">
        <v>258645</v>
      </c>
      <c r="H41" s="558">
        <v>1</v>
      </c>
      <c r="I41" s="558">
        <v>645</v>
      </c>
      <c r="J41" s="575">
        <v>399</v>
      </c>
      <c r="K41" s="575">
        <v>257655</v>
      </c>
      <c r="L41" s="558">
        <v>0.99617235979817897</v>
      </c>
      <c r="M41" s="558">
        <v>645.75187969924809</v>
      </c>
      <c r="N41" s="575">
        <v>452</v>
      </c>
      <c r="O41" s="575">
        <v>295156</v>
      </c>
      <c r="P41" s="563">
        <v>1.1411625973825128</v>
      </c>
      <c r="Q41" s="576">
        <v>653</v>
      </c>
    </row>
    <row r="42" spans="1:17" ht="14.4" customHeight="1" x14ac:dyDescent="0.3">
      <c r="A42" s="557" t="s">
        <v>1068</v>
      </c>
      <c r="B42" s="558" t="s">
        <v>449</v>
      </c>
      <c r="C42" s="558" t="s">
        <v>1089</v>
      </c>
      <c r="D42" s="558" t="s">
        <v>1140</v>
      </c>
      <c r="E42" s="558" t="s">
        <v>1141</v>
      </c>
      <c r="F42" s="575">
        <v>958</v>
      </c>
      <c r="G42" s="575">
        <v>203096</v>
      </c>
      <c r="H42" s="558">
        <v>1</v>
      </c>
      <c r="I42" s="558">
        <v>212</v>
      </c>
      <c r="J42" s="575">
        <v>1016</v>
      </c>
      <c r="K42" s="575">
        <v>215032</v>
      </c>
      <c r="L42" s="558">
        <v>1.0587702367353369</v>
      </c>
      <c r="M42" s="558">
        <v>211.64566929133858</v>
      </c>
      <c r="N42" s="575">
        <v>1119</v>
      </c>
      <c r="O42" s="575">
        <v>240585</v>
      </c>
      <c r="P42" s="563">
        <v>1.184587584196636</v>
      </c>
      <c r="Q42" s="576">
        <v>215</v>
      </c>
    </row>
    <row r="43" spans="1:17" ht="14.4" customHeight="1" x14ac:dyDescent="0.3">
      <c r="A43" s="557" t="s">
        <v>1068</v>
      </c>
      <c r="B43" s="558" t="s">
        <v>944</v>
      </c>
      <c r="C43" s="558" t="s">
        <v>1089</v>
      </c>
      <c r="D43" s="558" t="s">
        <v>1090</v>
      </c>
      <c r="E43" s="558" t="s">
        <v>1091</v>
      </c>
      <c r="F43" s="575">
        <v>6</v>
      </c>
      <c r="G43" s="575">
        <v>1014</v>
      </c>
      <c r="H43" s="558">
        <v>1</v>
      </c>
      <c r="I43" s="558">
        <v>169</v>
      </c>
      <c r="J43" s="575"/>
      <c r="K43" s="575"/>
      <c r="L43" s="558"/>
      <c r="M43" s="558"/>
      <c r="N43" s="575"/>
      <c r="O43" s="575"/>
      <c r="P43" s="563"/>
      <c r="Q43" s="576"/>
    </row>
    <row r="44" spans="1:17" ht="14.4" customHeight="1" x14ac:dyDescent="0.3">
      <c r="A44" s="557" t="s">
        <v>1068</v>
      </c>
      <c r="B44" s="558" t="s">
        <v>944</v>
      </c>
      <c r="C44" s="558" t="s">
        <v>1089</v>
      </c>
      <c r="D44" s="558" t="s">
        <v>1094</v>
      </c>
      <c r="E44" s="558" t="s">
        <v>1095</v>
      </c>
      <c r="F44" s="575">
        <v>12</v>
      </c>
      <c r="G44" s="575">
        <v>408</v>
      </c>
      <c r="H44" s="558">
        <v>1</v>
      </c>
      <c r="I44" s="558">
        <v>34</v>
      </c>
      <c r="J44" s="575"/>
      <c r="K44" s="575"/>
      <c r="L44" s="558"/>
      <c r="M44" s="558"/>
      <c r="N44" s="575"/>
      <c r="O44" s="575"/>
      <c r="P44" s="563"/>
      <c r="Q44" s="576"/>
    </row>
    <row r="45" spans="1:17" ht="14.4" customHeight="1" x14ac:dyDescent="0.3">
      <c r="A45" s="557" t="s">
        <v>1068</v>
      </c>
      <c r="B45" s="558" t="s">
        <v>944</v>
      </c>
      <c r="C45" s="558" t="s">
        <v>1089</v>
      </c>
      <c r="D45" s="558" t="s">
        <v>1118</v>
      </c>
      <c r="E45" s="558" t="s">
        <v>1119</v>
      </c>
      <c r="F45" s="575">
        <v>16</v>
      </c>
      <c r="G45" s="575">
        <v>560</v>
      </c>
      <c r="H45" s="558">
        <v>1</v>
      </c>
      <c r="I45" s="558">
        <v>35</v>
      </c>
      <c r="J45" s="575"/>
      <c r="K45" s="575"/>
      <c r="L45" s="558"/>
      <c r="M45" s="558"/>
      <c r="N45" s="575"/>
      <c r="O45" s="575"/>
      <c r="P45" s="563"/>
      <c r="Q45" s="576"/>
    </row>
    <row r="46" spans="1:17" ht="14.4" customHeight="1" x14ac:dyDescent="0.3">
      <c r="A46" s="557" t="s">
        <v>1142</v>
      </c>
      <c r="B46" s="558" t="s">
        <v>449</v>
      </c>
      <c r="C46" s="558" t="s">
        <v>1089</v>
      </c>
      <c r="D46" s="558" t="s">
        <v>1094</v>
      </c>
      <c r="E46" s="558" t="s">
        <v>1095</v>
      </c>
      <c r="F46" s="575"/>
      <c r="G46" s="575"/>
      <c r="H46" s="558"/>
      <c r="I46" s="558"/>
      <c r="J46" s="575">
        <v>4</v>
      </c>
      <c r="K46" s="575">
        <v>140</v>
      </c>
      <c r="L46" s="558"/>
      <c r="M46" s="558">
        <v>35</v>
      </c>
      <c r="N46" s="575">
        <v>3</v>
      </c>
      <c r="O46" s="575">
        <v>105</v>
      </c>
      <c r="P46" s="563"/>
      <c r="Q46" s="576">
        <v>35</v>
      </c>
    </row>
    <row r="47" spans="1:17" ht="14.4" customHeight="1" x14ac:dyDescent="0.3">
      <c r="A47" s="557" t="s">
        <v>1142</v>
      </c>
      <c r="B47" s="558" t="s">
        <v>449</v>
      </c>
      <c r="C47" s="558" t="s">
        <v>1089</v>
      </c>
      <c r="D47" s="558" t="s">
        <v>1098</v>
      </c>
      <c r="E47" s="558" t="s">
        <v>1099</v>
      </c>
      <c r="F47" s="575"/>
      <c r="G47" s="575"/>
      <c r="H47" s="558"/>
      <c r="I47" s="558"/>
      <c r="J47" s="575">
        <v>1</v>
      </c>
      <c r="K47" s="575">
        <v>5</v>
      </c>
      <c r="L47" s="558"/>
      <c r="M47" s="558">
        <v>5</v>
      </c>
      <c r="N47" s="575"/>
      <c r="O47" s="575"/>
      <c r="P47" s="563"/>
      <c r="Q47" s="576"/>
    </row>
    <row r="48" spans="1:17" ht="14.4" customHeight="1" x14ac:dyDescent="0.3">
      <c r="A48" s="557" t="s">
        <v>1142</v>
      </c>
      <c r="B48" s="558" t="s">
        <v>449</v>
      </c>
      <c r="C48" s="558" t="s">
        <v>1089</v>
      </c>
      <c r="D48" s="558" t="s">
        <v>1108</v>
      </c>
      <c r="E48" s="558" t="s">
        <v>1109</v>
      </c>
      <c r="F48" s="575">
        <v>262</v>
      </c>
      <c r="G48" s="575">
        <v>30654</v>
      </c>
      <c r="H48" s="558">
        <v>1</v>
      </c>
      <c r="I48" s="558">
        <v>117</v>
      </c>
      <c r="J48" s="575">
        <v>655</v>
      </c>
      <c r="K48" s="575">
        <v>71362</v>
      </c>
      <c r="L48" s="558">
        <v>2.3279832974489465</v>
      </c>
      <c r="M48" s="558">
        <v>108.94961832061068</v>
      </c>
      <c r="N48" s="575">
        <v>637</v>
      </c>
      <c r="O48" s="575">
        <v>75803</v>
      </c>
      <c r="P48" s="563">
        <v>2.4728583545377441</v>
      </c>
      <c r="Q48" s="576">
        <v>119</v>
      </c>
    </row>
    <row r="49" spans="1:17" ht="14.4" customHeight="1" x14ac:dyDescent="0.3">
      <c r="A49" s="557" t="s">
        <v>1142</v>
      </c>
      <c r="B49" s="558" t="s">
        <v>449</v>
      </c>
      <c r="C49" s="558" t="s">
        <v>1089</v>
      </c>
      <c r="D49" s="558" t="s">
        <v>1122</v>
      </c>
      <c r="E49" s="558" t="s">
        <v>1123</v>
      </c>
      <c r="F49" s="575"/>
      <c r="G49" s="575"/>
      <c r="H49" s="558"/>
      <c r="I49" s="558"/>
      <c r="J49" s="575">
        <v>4</v>
      </c>
      <c r="K49" s="575">
        <v>512</v>
      </c>
      <c r="L49" s="558"/>
      <c r="M49" s="558">
        <v>128</v>
      </c>
      <c r="N49" s="575">
        <v>3</v>
      </c>
      <c r="O49" s="575">
        <v>387</v>
      </c>
      <c r="P49" s="563"/>
      <c r="Q49" s="576">
        <v>129</v>
      </c>
    </row>
    <row r="50" spans="1:17" ht="14.4" customHeight="1" x14ac:dyDescent="0.3">
      <c r="A50" s="557" t="s">
        <v>1142</v>
      </c>
      <c r="B50" s="558" t="s">
        <v>449</v>
      </c>
      <c r="C50" s="558" t="s">
        <v>1089</v>
      </c>
      <c r="D50" s="558" t="s">
        <v>1130</v>
      </c>
      <c r="E50" s="558" t="s">
        <v>1131</v>
      </c>
      <c r="F50" s="575">
        <v>0</v>
      </c>
      <c r="G50" s="575">
        <v>0</v>
      </c>
      <c r="H50" s="558"/>
      <c r="I50" s="558"/>
      <c r="J50" s="575"/>
      <c r="K50" s="575"/>
      <c r="L50" s="558"/>
      <c r="M50" s="558"/>
      <c r="N50" s="575"/>
      <c r="O50" s="575"/>
      <c r="P50" s="563"/>
      <c r="Q50" s="576"/>
    </row>
    <row r="51" spans="1:17" ht="14.4" customHeight="1" thickBot="1" x14ac:dyDescent="0.35">
      <c r="A51" s="565" t="s">
        <v>1142</v>
      </c>
      <c r="B51" s="566" t="s">
        <v>449</v>
      </c>
      <c r="C51" s="566" t="s">
        <v>1089</v>
      </c>
      <c r="D51" s="566" t="s">
        <v>1136</v>
      </c>
      <c r="E51" s="566" t="s">
        <v>1137</v>
      </c>
      <c r="F51" s="577">
        <v>0</v>
      </c>
      <c r="G51" s="577">
        <v>0</v>
      </c>
      <c r="H51" s="566"/>
      <c r="I51" s="566"/>
      <c r="J51" s="577"/>
      <c r="K51" s="577"/>
      <c r="L51" s="566"/>
      <c r="M51" s="566"/>
      <c r="N51" s="577"/>
      <c r="O51" s="577"/>
      <c r="P51" s="571"/>
      <c r="Q51" s="578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39" t="s">
        <v>130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9424</v>
      </c>
      <c r="C3" s="226">
        <f t="shared" ref="C3:R3" si="0">SUBTOTAL(9,C6:C1048576)</f>
        <v>3</v>
      </c>
      <c r="D3" s="226">
        <f t="shared" si="0"/>
        <v>7716</v>
      </c>
      <c r="E3" s="226">
        <f t="shared" si="0"/>
        <v>2.8473869934107912</v>
      </c>
      <c r="F3" s="226">
        <f t="shared" si="0"/>
        <v>3158</v>
      </c>
      <c r="G3" s="229">
        <f>IF(B3&lt;&gt;0,F3/B3,"")</f>
        <v>0.33510186757215621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403" t="s">
        <v>106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  <c r="N4" s="404" t="s">
        <v>102</v>
      </c>
      <c r="O4" s="405"/>
      <c r="P4" s="405"/>
      <c r="Q4" s="405"/>
      <c r="R4" s="405"/>
      <c r="S4" s="406"/>
    </row>
    <row r="5" spans="1:19" ht="14.4" customHeight="1" thickBot="1" x14ac:dyDescent="0.35">
      <c r="A5" s="621"/>
      <c r="B5" s="622">
        <v>2013</v>
      </c>
      <c r="C5" s="623"/>
      <c r="D5" s="623">
        <v>2014</v>
      </c>
      <c r="E5" s="623"/>
      <c r="F5" s="623">
        <v>2015</v>
      </c>
      <c r="G5" s="624" t="s">
        <v>2</v>
      </c>
      <c r="H5" s="622">
        <v>2013</v>
      </c>
      <c r="I5" s="623"/>
      <c r="J5" s="623">
        <v>2014</v>
      </c>
      <c r="K5" s="623"/>
      <c r="L5" s="623">
        <v>2015</v>
      </c>
      <c r="M5" s="624" t="s">
        <v>2</v>
      </c>
      <c r="N5" s="622">
        <v>2013</v>
      </c>
      <c r="O5" s="623"/>
      <c r="P5" s="623">
        <v>2014</v>
      </c>
      <c r="Q5" s="623"/>
      <c r="R5" s="623">
        <v>2015</v>
      </c>
      <c r="S5" s="624" t="s">
        <v>2</v>
      </c>
    </row>
    <row r="6" spans="1:19" ht="14.4" customHeight="1" x14ac:dyDescent="0.3">
      <c r="A6" s="582" t="s">
        <v>1144</v>
      </c>
      <c r="B6" s="625">
        <v>714</v>
      </c>
      <c r="C6" s="551">
        <v>1</v>
      </c>
      <c r="D6" s="625">
        <v>214</v>
      </c>
      <c r="E6" s="551">
        <v>0.29971988795518206</v>
      </c>
      <c r="F6" s="625"/>
      <c r="G6" s="556"/>
      <c r="H6" s="625"/>
      <c r="I6" s="551"/>
      <c r="J6" s="625"/>
      <c r="K6" s="551"/>
      <c r="L6" s="625"/>
      <c r="M6" s="556"/>
      <c r="N6" s="625"/>
      <c r="O6" s="551"/>
      <c r="P6" s="625"/>
      <c r="Q6" s="551"/>
      <c r="R6" s="625"/>
      <c r="S6" s="125"/>
    </row>
    <row r="7" spans="1:19" ht="14.4" customHeight="1" x14ac:dyDescent="0.3">
      <c r="A7" s="583" t="s">
        <v>1145</v>
      </c>
      <c r="B7" s="630">
        <v>7420</v>
      </c>
      <c r="C7" s="558">
        <v>1</v>
      </c>
      <c r="D7" s="630">
        <v>3500</v>
      </c>
      <c r="E7" s="558">
        <v>0.47169811320754718</v>
      </c>
      <c r="F7" s="630">
        <v>2470</v>
      </c>
      <c r="G7" s="563">
        <v>0.3328840970350404</v>
      </c>
      <c r="H7" s="630"/>
      <c r="I7" s="558"/>
      <c r="J7" s="630"/>
      <c r="K7" s="558"/>
      <c r="L7" s="630"/>
      <c r="M7" s="563"/>
      <c r="N7" s="630"/>
      <c r="O7" s="558"/>
      <c r="P7" s="630"/>
      <c r="Q7" s="558"/>
      <c r="R7" s="630"/>
      <c r="S7" s="564"/>
    </row>
    <row r="8" spans="1:19" ht="14.4" customHeight="1" x14ac:dyDescent="0.3">
      <c r="A8" s="583" t="s">
        <v>1146</v>
      </c>
      <c r="B8" s="630"/>
      <c r="C8" s="558"/>
      <c r="D8" s="630">
        <v>34</v>
      </c>
      <c r="E8" s="558"/>
      <c r="F8" s="630">
        <v>35</v>
      </c>
      <c r="G8" s="563"/>
      <c r="H8" s="630"/>
      <c r="I8" s="558"/>
      <c r="J8" s="630"/>
      <c r="K8" s="558"/>
      <c r="L8" s="630"/>
      <c r="M8" s="563"/>
      <c r="N8" s="630"/>
      <c r="O8" s="558"/>
      <c r="P8" s="630"/>
      <c r="Q8" s="558"/>
      <c r="R8" s="630"/>
      <c r="S8" s="564"/>
    </row>
    <row r="9" spans="1:19" ht="14.4" customHeight="1" x14ac:dyDescent="0.3">
      <c r="A9" s="583" t="s">
        <v>1147</v>
      </c>
      <c r="B9" s="630">
        <v>1290</v>
      </c>
      <c r="C9" s="558">
        <v>1</v>
      </c>
      <c r="D9" s="630">
        <v>2678</v>
      </c>
      <c r="E9" s="558">
        <v>2.075968992248062</v>
      </c>
      <c r="F9" s="630">
        <v>653</v>
      </c>
      <c r="G9" s="563">
        <v>0.50620155038759695</v>
      </c>
      <c r="H9" s="630"/>
      <c r="I9" s="558"/>
      <c r="J9" s="630"/>
      <c r="K9" s="558"/>
      <c r="L9" s="630"/>
      <c r="M9" s="563"/>
      <c r="N9" s="630"/>
      <c r="O9" s="558"/>
      <c r="P9" s="630"/>
      <c r="Q9" s="558"/>
      <c r="R9" s="630"/>
      <c r="S9" s="564"/>
    </row>
    <row r="10" spans="1:19" ht="14.4" customHeight="1" thickBot="1" x14ac:dyDescent="0.35">
      <c r="A10" s="627" t="s">
        <v>1148</v>
      </c>
      <c r="B10" s="626"/>
      <c r="C10" s="566"/>
      <c r="D10" s="626">
        <v>1290</v>
      </c>
      <c r="E10" s="566"/>
      <c r="F10" s="626"/>
      <c r="G10" s="571"/>
      <c r="H10" s="626"/>
      <c r="I10" s="566"/>
      <c r="J10" s="626"/>
      <c r="K10" s="566"/>
      <c r="L10" s="626"/>
      <c r="M10" s="571"/>
      <c r="N10" s="626"/>
      <c r="O10" s="566"/>
      <c r="P10" s="626"/>
      <c r="Q10" s="566"/>
      <c r="R10" s="626"/>
      <c r="S10" s="5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0" t="s">
        <v>1154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83</v>
      </c>
      <c r="G3" s="104">
        <f t="shared" si="0"/>
        <v>9424</v>
      </c>
      <c r="H3" s="104"/>
      <c r="I3" s="104"/>
      <c r="J3" s="104">
        <f t="shared" si="0"/>
        <v>48</v>
      </c>
      <c r="K3" s="104">
        <f t="shared" si="0"/>
        <v>7716</v>
      </c>
      <c r="L3" s="104"/>
      <c r="M3" s="104"/>
      <c r="N3" s="104">
        <f t="shared" si="0"/>
        <v>15</v>
      </c>
      <c r="O3" s="104">
        <f t="shared" si="0"/>
        <v>3158</v>
      </c>
      <c r="P3" s="75">
        <f>IF(G3=0,0,O3/G3)</f>
        <v>0.33510186757215621</v>
      </c>
      <c r="Q3" s="105">
        <f>IF(N3=0,0,O3/N3)</f>
        <v>210.53333333333333</v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98</v>
      </c>
      <c r="E4" s="413" t="s">
        <v>70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35"/>
      <c r="B5" s="633"/>
      <c r="C5" s="635"/>
      <c r="D5" s="643"/>
      <c r="E5" s="637"/>
      <c r="F5" s="644" t="s">
        <v>72</v>
      </c>
      <c r="G5" s="645" t="s">
        <v>14</v>
      </c>
      <c r="H5" s="646"/>
      <c r="I5" s="646"/>
      <c r="J5" s="644" t="s">
        <v>72</v>
      </c>
      <c r="K5" s="645" t="s">
        <v>14</v>
      </c>
      <c r="L5" s="646"/>
      <c r="M5" s="646"/>
      <c r="N5" s="644" t="s">
        <v>72</v>
      </c>
      <c r="O5" s="645" t="s">
        <v>14</v>
      </c>
      <c r="P5" s="647"/>
      <c r="Q5" s="642"/>
    </row>
    <row r="6" spans="1:17" ht="14.4" customHeight="1" x14ac:dyDescent="0.3">
      <c r="A6" s="550" t="s">
        <v>1149</v>
      </c>
      <c r="B6" s="551" t="s">
        <v>1068</v>
      </c>
      <c r="C6" s="551" t="s">
        <v>1089</v>
      </c>
      <c r="D6" s="551" t="s">
        <v>1102</v>
      </c>
      <c r="E6" s="551" t="s">
        <v>1103</v>
      </c>
      <c r="F6" s="119">
        <v>1</v>
      </c>
      <c r="G6" s="119">
        <v>69</v>
      </c>
      <c r="H6" s="119">
        <v>1</v>
      </c>
      <c r="I6" s="119">
        <v>69</v>
      </c>
      <c r="J6" s="119"/>
      <c r="K6" s="119"/>
      <c r="L6" s="119"/>
      <c r="M6" s="119"/>
      <c r="N6" s="119"/>
      <c r="O6" s="119"/>
      <c r="P6" s="556"/>
      <c r="Q6" s="574"/>
    </row>
    <row r="7" spans="1:17" ht="14.4" customHeight="1" x14ac:dyDescent="0.3">
      <c r="A7" s="557" t="s">
        <v>1149</v>
      </c>
      <c r="B7" s="558" t="s">
        <v>1068</v>
      </c>
      <c r="C7" s="558" t="s">
        <v>1089</v>
      </c>
      <c r="D7" s="558" t="s">
        <v>1116</v>
      </c>
      <c r="E7" s="558" t="s">
        <v>1117</v>
      </c>
      <c r="F7" s="575">
        <v>1</v>
      </c>
      <c r="G7" s="575">
        <v>0</v>
      </c>
      <c r="H7" s="575"/>
      <c r="I7" s="575">
        <v>0</v>
      </c>
      <c r="J7" s="575"/>
      <c r="K7" s="575"/>
      <c r="L7" s="575"/>
      <c r="M7" s="575"/>
      <c r="N7" s="575"/>
      <c r="O7" s="575"/>
      <c r="P7" s="563"/>
      <c r="Q7" s="576"/>
    </row>
    <row r="8" spans="1:17" ht="14.4" customHeight="1" x14ac:dyDescent="0.3">
      <c r="A8" s="557" t="s">
        <v>1149</v>
      </c>
      <c r="B8" s="558" t="s">
        <v>1068</v>
      </c>
      <c r="C8" s="558" t="s">
        <v>1089</v>
      </c>
      <c r="D8" s="558" t="s">
        <v>1138</v>
      </c>
      <c r="E8" s="558" t="s">
        <v>1139</v>
      </c>
      <c r="F8" s="575">
        <v>1</v>
      </c>
      <c r="G8" s="575">
        <v>645</v>
      </c>
      <c r="H8" s="575">
        <v>1</v>
      </c>
      <c r="I8" s="575">
        <v>645</v>
      </c>
      <c r="J8" s="575"/>
      <c r="K8" s="575"/>
      <c r="L8" s="575"/>
      <c r="M8" s="575"/>
      <c r="N8" s="575"/>
      <c r="O8" s="575"/>
      <c r="P8" s="563"/>
      <c r="Q8" s="576"/>
    </row>
    <row r="9" spans="1:17" ht="14.4" customHeight="1" x14ac:dyDescent="0.3">
      <c r="A9" s="557" t="s">
        <v>1149</v>
      </c>
      <c r="B9" s="558" t="s">
        <v>1068</v>
      </c>
      <c r="C9" s="558" t="s">
        <v>1089</v>
      </c>
      <c r="D9" s="558" t="s">
        <v>1140</v>
      </c>
      <c r="E9" s="558" t="s">
        <v>1141</v>
      </c>
      <c r="F9" s="575"/>
      <c r="G9" s="575"/>
      <c r="H9" s="575"/>
      <c r="I9" s="575"/>
      <c r="J9" s="575">
        <v>1</v>
      </c>
      <c r="K9" s="575">
        <v>214</v>
      </c>
      <c r="L9" s="575"/>
      <c r="M9" s="575">
        <v>214</v>
      </c>
      <c r="N9" s="575"/>
      <c r="O9" s="575"/>
      <c r="P9" s="563"/>
      <c r="Q9" s="576"/>
    </row>
    <row r="10" spans="1:17" ht="14.4" customHeight="1" x14ac:dyDescent="0.3">
      <c r="A10" s="557" t="s">
        <v>1150</v>
      </c>
      <c r="B10" s="558" t="s">
        <v>1068</v>
      </c>
      <c r="C10" s="558" t="s">
        <v>1089</v>
      </c>
      <c r="D10" s="558" t="s">
        <v>1094</v>
      </c>
      <c r="E10" s="558" t="s">
        <v>1095</v>
      </c>
      <c r="F10" s="575">
        <v>31</v>
      </c>
      <c r="G10" s="575">
        <v>1054</v>
      </c>
      <c r="H10" s="575">
        <v>1</v>
      </c>
      <c r="I10" s="575">
        <v>34</v>
      </c>
      <c r="J10" s="575">
        <v>19</v>
      </c>
      <c r="K10" s="575">
        <v>664</v>
      </c>
      <c r="L10" s="575">
        <v>0.62998102466793171</v>
      </c>
      <c r="M10" s="575">
        <v>34.94736842105263</v>
      </c>
      <c r="N10" s="575">
        <v>3</v>
      </c>
      <c r="O10" s="575">
        <v>105</v>
      </c>
      <c r="P10" s="563">
        <v>9.962049335863378E-2</v>
      </c>
      <c r="Q10" s="576">
        <v>35</v>
      </c>
    </row>
    <row r="11" spans="1:17" ht="14.4" customHeight="1" x14ac:dyDescent="0.3">
      <c r="A11" s="557" t="s">
        <v>1150</v>
      </c>
      <c r="B11" s="558" t="s">
        <v>1068</v>
      </c>
      <c r="C11" s="558" t="s">
        <v>1089</v>
      </c>
      <c r="D11" s="558" t="s">
        <v>1104</v>
      </c>
      <c r="E11" s="558" t="s">
        <v>1105</v>
      </c>
      <c r="F11" s="575"/>
      <c r="G11" s="575"/>
      <c r="H11" s="575"/>
      <c r="I11" s="575"/>
      <c r="J11" s="575"/>
      <c r="K11" s="575"/>
      <c r="L11" s="575"/>
      <c r="M11" s="575"/>
      <c r="N11" s="575">
        <v>1</v>
      </c>
      <c r="O11" s="575">
        <v>35</v>
      </c>
      <c r="P11" s="563"/>
      <c r="Q11" s="576">
        <v>35</v>
      </c>
    </row>
    <row r="12" spans="1:17" ht="14.4" customHeight="1" x14ac:dyDescent="0.3">
      <c r="A12" s="557" t="s">
        <v>1150</v>
      </c>
      <c r="B12" s="558" t="s">
        <v>1068</v>
      </c>
      <c r="C12" s="558" t="s">
        <v>1089</v>
      </c>
      <c r="D12" s="558" t="s">
        <v>1108</v>
      </c>
      <c r="E12" s="558" t="s">
        <v>1109</v>
      </c>
      <c r="F12" s="575">
        <v>38</v>
      </c>
      <c r="G12" s="575">
        <v>4446</v>
      </c>
      <c r="H12" s="575">
        <v>1</v>
      </c>
      <c r="I12" s="575">
        <v>117</v>
      </c>
      <c r="J12" s="575">
        <v>14</v>
      </c>
      <c r="K12" s="575">
        <v>1652</v>
      </c>
      <c r="L12" s="575">
        <v>0.37156995051731895</v>
      </c>
      <c r="M12" s="575">
        <v>118</v>
      </c>
      <c r="N12" s="575"/>
      <c r="O12" s="575"/>
      <c r="P12" s="563"/>
      <c r="Q12" s="576"/>
    </row>
    <row r="13" spans="1:17" ht="14.4" customHeight="1" x14ac:dyDescent="0.3">
      <c r="A13" s="557" t="s">
        <v>1150</v>
      </c>
      <c r="B13" s="558" t="s">
        <v>1068</v>
      </c>
      <c r="C13" s="558" t="s">
        <v>1089</v>
      </c>
      <c r="D13" s="558" t="s">
        <v>1116</v>
      </c>
      <c r="E13" s="558" t="s">
        <v>1117</v>
      </c>
      <c r="F13" s="575"/>
      <c r="G13" s="575"/>
      <c r="H13" s="575"/>
      <c r="I13" s="575"/>
      <c r="J13" s="575"/>
      <c r="K13" s="575"/>
      <c r="L13" s="575"/>
      <c r="M13" s="575"/>
      <c r="N13" s="575">
        <v>1</v>
      </c>
      <c r="O13" s="575">
        <v>0</v>
      </c>
      <c r="P13" s="563"/>
      <c r="Q13" s="576">
        <v>0</v>
      </c>
    </row>
    <row r="14" spans="1:17" ht="14.4" customHeight="1" x14ac:dyDescent="0.3">
      <c r="A14" s="557" t="s">
        <v>1150</v>
      </c>
      <c r="B14" s="558" t="s">
        <v>1068</v>
      </c>
      <c r="C14" s="558" t="s">
        <v>1089</v>
      </c>
      <c r="D14" s="558" t="s">
        <v>1126</v>
      </c>
      <c r="E14" s="558" t="s">
        <v>1127</v>
      </c>
      <c r="F14" s="575"/>
      <c r="G14" s="575"/>
      <c r="H14" s="575"/>
      <c r="I14" s="575"/>
      <c r="J14" s="575">
        <v>1</v>
      </c>
      <c r="K14" s="575">
        <v>327</v>
      </c>
      <c r="L14" s="575"/>
      <c r="M14" s="575">
        <v>327</v>
      </c>
      <c r="N14" s="575">
        <v>1</v>
      </c>
      <c r="O14" s="575">
        <v>331</v>
      </c>
      <c r="P14" s="563"/>
      <c r="Q14" s="576">
        <v>331</v>
      </c>
    </row>
    <row r="15" spans="1:17" ht="14.4" customHeight="1" x14ac:dyDescent="0.3">
      <c r="A15" s="557" t="s">
        <v>1150</v>
      </c>
      <c r="B15" s="558" t="s">
        <v>1068</v>
      </c>
      <c r="C15" s="558" t="s">
        <v>1089</v>
      </c>
      <c r="D15" s="558" t="s">
        <v>1136</v>
      </c>
      <c r="E15" s="558" t="s">
        <v>1137</v>
      </c>
      <c r="F15" s="575">
        <v>8</v>
      </c>
      <c r="G15" s="575">
        <v>1920</v>
      </c>
      <c r="H15" s="575">
        <v>1</v>
      </c>
      <c r="I15" s="575">
        <v>240</v>
      </c>
      <c r="J15" s="575"/>
      <c r="K15" s="575"/>
      <c r="L15" s="575"/>
      <c r="M15" s="575"/>
      <c r="N15" s="575">
        <v>2</v>
      </c>
      <c r="O15" s="575">
        <v>486</v>
      </c>
      <c r="P15" s="563">
        <v>0.25312499999999999</v>
      </c>
      <c r="Q15" s="576">
        <v>243</v>
      </c>
    </row>
    <row r="16" spans="1:17" ht="14.4" customHeight="1" x14ac:dyDescent="0.3">
      <c r="A16" s="557" t="s">
        <v>1150</v>
      </c>
      <c r="B16" s="558" t="s">
        <v>1068</v>
      </c>
      <c r="C16" s="558" t="s">
        <v>1089</v>
      </c>
      <c r="D16" s="558" t="s">
        <v>1138</v>
      </c>
      <c r="E16" s="558" t="s">
        <v>1139</v>
      </c>
      <c r="F16" s="575"/>
      <c r="G16" s="575"/>
      <c r="H16" s="575"/>
      <c r="I16" s="575"/>
      <c r="J16" s="575">
        <v>1</v>
      </c>
      <c r="K16" s="575">
        <v>645</v>
      </c>
      <c r="L16" s="575"/>
      <c r="M16" s="575">
        <v>645</v>
      </c>
      <c r="N16" s="575">
        <v>1</v>
      </c>
      <c r="O16" s="575">
        <v>653</v>
      </c>
      <c r="P16" s="563"/>
      <c r="Q16" s="576">
        <v>653</v>
      </c>
    </row>
    <row r="17" spans="1:17" ht="14.4" customHeight="1" x14ac:dyDescent="0.3">
      <c r="A17" s="557" t="s">
        <v>1150</v>
      </c>
      <c r="B17" s="558" t="s">
        <v>1068</v>
      </c>
      <c r="C17" s="558" t="s">
        <v>1089</v>
      </c>
      <c r="D17" s="558" t="s">
        <v>1140</v>
      </c>
      <c r="E17" s="558" t="s">
        <v>1141</v>
      </c>
      <c r="F17" s="575"/>
      <c r="G17" s="575"/>
      <c r="H17" s="575"/>
      <c r="I17" s="575"/>
      <c r="J17" s="575">
        <v>1</v>
      </c>
      <c r="K17" s="575">
        <v>212</v>
      </c>
      <c r="L17" s="575"/>
      <c r="M17" s="575">
        <v>212</v>
      </c>
      <c r="N17" s="575">
        <v>4</v>
      </c>
      <c r="O17" s="575">
        <v>860</v>
      </c>
      <c r="P17" s="563"/>
      <c r="Q17" s="576">
        <v>215</v>
      </c>
    </row>
    <row r="18" spans="1:17" ht="14.4" customHeight="1" x14ac:dyDescent="0.3">
      <c r="A18" s="557" t="s">
        <v>1151</v>
      </c>
      <c r="B18" s="558" t="s">
        <v>1068</v>
      </c>
      <c r="C18" s="558" t="s">
        <v>1089</v>
      </c>
      <c r="D18" s="558" t="s">
        <v>1094</v>
      </c>
      <c r="E18" s="558" t="s">
        <v>1095</v>
      </c>
      <c r="F18" s="575"/>
      <c r="G18" s="575"/>
      <c r="H18" s="575"/>
      <c r="I18" s="575"/>
      <c r="J18" s="575">
        <v>1</v>
      </c>
      <c r="K18" s="575">
        <v>34</v>
      </c>
      <c r="L18" s="575"/>
      <c r="M18" s="575">
        <v>34</v>
      </c>
      <c r="N18" s="575">
        <v>1</v>
      </c>
      <c r="O18" s="575">
        <v>35</v>
      </c>
      <c r="P18" s="563"/>
      <c r="Q18" s="576">
        <v>35</v>
      </c>
    </row>
    <row r="19" spans="1:17" ht="14.4" customHeight="1" x14ac:dyDescent="0.3">
      <c r="A19" s="557" t="s">
        <v>1152</v>
      </c>
      <c r="B19" s="558" t="s">
        <v>1068</v>
      </c>
      <c r="C19" s="558" t="s">
        <v>1089</v>
      </c>
      <c r="D19" s="558" t="s">
        <v>1094</v>
      </c>
      <c r="E19" s="558" t="s">
        <v>1095</v>
      </c>
      <c r="F19" s="575"/>
      <c r="G19" s="575"/>
      <c r="H19" s="575"/>
      <c r="I19" s="575"/>
      <c r="J19" s="575">
        <v>2</v>
      </c>
      <c r="K19" s="575">
        <v>69</v>
      </c>
      <c r="L19" s="575"/>
      <c r="M19" s="575">
        <v>34.5</v>
      </c>
      <c r="N19" s="575"/>
      <c r="O19" s="575"/>
      <c r="P19" s="563"/>
      <c r="Q19" s="576"/>
    </row>
    <row r="20" spans="1:17" ht="14.4" customHeight="1" x14ac:dyDescent="0.3">
      <c r="A20" s="557" t="s">
        <v>1152</v>
      </c>
      <c r="B20" s="558" t="s">
        <v>1068</v>
      </c>
      <c r="C20" s="558" t="s">
        <v>1089</v>
      </c>
      <c r="D20" s="558" t="s">
        <v>1112</v>
      </c>
      <c r="E20" s="558" t="s">
        <v>1113</v>
      </c>
      <c r="F20" s="575">
        <v>1</v>
      </c>
      <c r="G20" s="575">
        <v>0</v>
      </c>
      <c r="H20" s="575"/>
      <c r="I20" s="575">
        <v>0</v>
      </c>
      <c r="J20" s="575"/>
      <c r="K20" s="575"/>
      <c r="L20" s="575"/>
      <c r="M20" s="575"/>
      <c r="N20" s="575"/>
      <c r="O20" s="575"/>
      <c r="P20" s="563"/>
      <c r="Q20" s="576"/>
    </row>
    <row r="21" spans="1:17" ht="14.4" customHeight="1" x14ac:dyDescent="0.3">
      <c r="A21" s="557" t="s">
        <v>1152</v>
      </c>
      <c r="B21" s="558" t="s">
        <v>1068</v>
      </c>
      <c r="C21" s="558" t="s">
        <v>1089</v>
      </c>
      <c r="D21" s="558" t="s">
        <v>1114</v>
      </c>
      <c r="E21" s="558" t="s">
        <v>1115</v>
      </c>
      <c r="F21" s="575"/>
      <c r="G21" s="575"/>
      <c r="H21" s="575"/>
      <c r="I21" s="575"/>
      <c r="J21" s="575">
        <v>2</v>
      </c>
      <c r="K21" s="575">
        <v>338</v>
      </c>
      <c r="L21" s="575"/>
      <c r="M21" s="575">
        <v>169</v>
      </c>
      <c r="N21" s="575"/>
      <c r="O21" s="575"/>
      <c r="P21" s="563"/>
      <c r="Q21" s="576"/>
    </row>
    <row r="22" spans="1:17" ht="14.4" customHeight="1" x14ac:dyDescent="0.3">
      <c r="A22" s="557" t="s">
        <v>1152</v>
      </c>
      <c r="B22" s="558" t="s">
        <v>1068</v>
      </c>
      <c r="C22" s="558" t="s">
        <v>1089</v>
      </c>
      <c r="D22" s="558" t="s">
        <v>1126</v>
      </c>
      <c r="E22" s="558" t="s">
        <v>1127</v>
      </c>
      <c r="F22" s="575"/>
      <c r="G22" s="575"/>
      <c r="H22" s="575"/>
      <c r="I22" s="575"/>
      <c r="J22" s="575">
        <v>1</v>
      </c>
      <c r="K22" s="575">
        <v>330</v>
      </c>
      <c r="L22" s="575"/>
      <c r="M22" s="575">
        <v>330</v>
      </c>
      <c r="N22" s="575"/>
      <c r="O22" s="575"/>
      <c r="P22" s="563"/>
      <c r="Q22" s="576"/>
    </row>
    <row r="23" spans="1:17" ht="14.4" customHeight="1" x14ac:dyDescent="0.3">
      <c r="A23" s="557" t="s">
        <v>1152</v>
      </c>
      <c r="B23" s="558" t="s">
        <v>1068</v>
      </c>
      <c r="C23" s="558" t="s">
        <v>1089</v>
      </c>
      <c r="D23" s="558" t="s">
        <v>1138</v>
      </c>
      <c r="E23" s="558" t="s">
        <v>1139</v>
      </c>
      <c r="F23" s="575">
        <v>2</v>
      </c>
      <c r="G23" s="575">
        <v>1290</v>
      </c>
      <c r="H23" s="575">
        <v>1</v>
      </c>
      <c r="I23" s="575">
        <v>645</v>
      </c>
      <c r="J23" s="575">
        <v>3</v>
      </c>
      <c r="K23" s="575">
        <v>1941</v>
      </c>
      <c r="L23" s="575">
        <v>1.5046511627906978</v>
      </c>
      <c r="M23" s="575">
        <v>647</v>
      </c>
      <c r="N23" s="575">
        <v>1</v>
      </c>
      <c r="O23" s="575">
        <v>653</v>
      </c>
      <c r="P23" s="563">
        <v>0.50620155038759695</v>
      </c>
      <c r="Q23" s="576">
        <v>653</v>
      </c>
    </row>
    <row r="24" spans="1:17" ht="14.4" customHeight="1" thickBot="1" x14ac:dyDescent="0.35">
      <c r="A24" s="565" t="s">
        <v>1153</v>
      </c>
      <c r="B24" s="566" t="s">
        <v>1068</v>
      </c>
      <c r="C24" s="566" t="s">
        <v>1089</v>
      </c>
      <c r="D24" s="566" t="s">
        <v>1138</v>
      </c>
      <c r="E24" s="566" t="s">
        <v>1139</v>
      </c>
      <c r="F24" s="577"/>
      <c r="G24" s="577"/>
      <c r="H24" s="577"/>
      <c r="I24" s="577"/>
      <c r="J24" s="577">
        <v>2</v>
      </c>
      <c r="K24" s="577">
        <v>1290</v>
      </c>
      <c r="L24" s="577"/>
      <c r="M24" s="577">
        <v>645</v>
      </c>
      <c r="N24" s="577"/>
      <c r="O24" s="577"/>
      <c r="P24" s="571"/>
      <c r="Q24" s="57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39" t="s">
        <v>131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thickBot="1" x14ac:dyDescent="0.35">
      <c r="A2" s="239" t="s">
        <v>286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173</v>
      </c>
      <c r="C3" s="226">
        <f t="shared" ref="C3:L3" si="0">SUBTOTAL(9,C6:C1048576)</f>
        <v>1</v>
      </c>
      <c r="D3" s="226">
        <f t="shared" si="0"/>
        <v>0</v>
      </c>
      <c r="E3" s="226">
        <f t="shared" si="0"/>
        <v>0</v>
      </c>
      <c r="F3" s="226">
        <f t="shared" si="0"/>
        <v>0</v>
      </c>
      <c r="G3" s="229">
        <f>IF(B3&lt;&gt;0,F3/B3,"")</f>
        <v>0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23" t="s">
        <v>95</v>
      </c>
      <c r="B4" s="404" t="s">
        <v>100</v>
      </c>
      <c r="C4" s="405"/>
      <c r="D4" s="405"/>
      <c r="E4" s="405"/>
      <c r="F4" s="405"/>
      <c r="G4" s="406"/>
      <c r="H4" s="404" t="s">
        <v>101</v>
      </c>
      <c r="I4" s="405"/>
      <c r="J4" s="405"/>
      <c r="K4" s="405"/>
      <c r="L4" s="405"/>
      <c r="M4" s="406"/>
    </row>
    <row r="5" spans="1:13" s="212" customFormat="1" ht="14.4" customHeight="1" thickBot="1" x14ac:dyDescent="0.35">
      <c r="A5" s="648"/>
      <c r="B5" s="649">
        <v>2013</v>
      </c>
      <c r="C5" s="650"/>
      <c r="D5" s="650">
        <v>2014</v>
      </c>
      <c r="E5" s="650"/>
      <c r="F5" s="650">
        <v>2015</v>
      </c>
      <c r="G5" s="624" t="s">
        <v>2</v>
      </c>
      <c r="H5" s="649">
        <v>2013</v>
      </c>
      <c r="I5" s="650"/>
      <c r="J5" s="650">
        <v>2014</v>
      </c>
      <c r="K5" s="650"/>
      <c r="L5" s="650">
        <v>2015</v>
      </c>
      <c r="M5" s="624" t="s">
        <v>2</v>
      </c>
    </row>
    <row r="6" spans="1:13" ht="14.4" customHeight="1" thickBot="1" x14ac:dyDescent="0.35">
      <c r="A6" s="653" t="s">
        <v>1155</v>
      </c>
      <c r="B6" s="651">
        <v>173</v>
      </c>
      <c r="C6" s="652">
        <v>1</v>
      </c>
      <c r="D6" s="651"/>
      <c r="E6" s="652"/>
      <c r="F6" s="651"/>
      <c r="G6" s="307"/>
      <c r="H6" s="651"/>
      <c r="I6" s="652"/>
      <c r="J6" s="651"/>
      <c r="K6" s="652"/>
      <c r="L6" s="651"/>
      <c r="M6" s="30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39" t="s">
        <v>1160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9" t="s">
        <v>286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1</v>
      </c>
      <c r="G3" s="107">
        <f t="shared" si="0"/>
        <v>173</v>
      </c>
      <c r="H3" s="108"/>
      <c r="I3" s="108"/>
      <c r="J3" s="103">
        <f t="shared" si="0"/>
        <v>0</v>
      </c>
      <c r="K3" s="107">
        <f t="shared" si="0"/>
        <v>0</v>
      </c>
      <c r="L3" s="108"/>
      <c r="M3" s="108"/>
      <c r="N3" s="103">
        <f t="shared" si="0"/>
        <v>0</v>
      </c>
      <c r="O3" s="107">
        <f t="shared" si="0"/>
        <v>0</v>
      </c>
      <c r="P3" s="88">
        <f>IF(G3=0,"",O3/G3)</f>
        <v>0</v>
      </c>
      <c r="Q3" s="105" t="str">
        <f>IF(N3=0,"",O3/N3)</f>
        <v/>
      </c>
    </row>
    <row r="4" spans="1:17" ht="14.4" customHeight="1" x14ac:dyDescent="0.3">
      <c r="A4" s="412" t="s">
        <v>69</v>
      </c>
      <c r="B4" s="411" t="s">
        <v>96</v>
      </c>
      <c r="C4" s="412" t="s">
        <v>97</v>
      </c>
      <c r="D4" s="421" t="s">
        <v>71</v>
      </c>
      <c r="E4" s="413" t="s">
        <v>11</v>
      </c>
      <c r="F4" s="419">
        <v>2013</v>
      </c>
      <c r="G4" s="420"/>
      <c r="H4" s="106"/>
      <c r="I4" s="106"/>
      <c r="J4" s="419">
        <v>2014</v>
      </c>
      <c r="K4" s="420"/>
      <c r="L4" s="106"/>
      <c r="M4" s="106"/>
      <c r="N4" s="419">
        <v>2015</v>
      </c>
      <c r="O4" s="420"/>
      <c r="P4" s="422" t="s">
        <v>2</v>
      </c>
      <c r="Q4" s="410" t="s">
        <v>99</v>
      </c>
    </row>
    <row r="5" spans="1:17" ht="14.4" customHeight="1" thickBot="1" x14ac:dyDescent="0.35">
      <c r="A5" s="635"/>
      <c r="B5" s="633"/>
      <c r="C5" s="635"/>
      <c r="D5" s="643"/>
      <c r="E5" s="637"/>
      <c r="F5" s="644" t="s">
        <v>72</v>
      </c>
      <c r="G5" s="645" t="s">
        <v>14</v>
      </c>
      <c r="H5" s="646"/>
      <c r="I5" s="646"/>
      <c r="J5" s="644" t="s">
        <v>72</v>
      </c>
      <c r="K5" s="645" t="s">
        <v>14</v>
      </c>
      <c r="L5" s="646"/>
      <c r="M5" s="646"/>
      <c r="N5" s="644" t="s">
        <v>72</v>
      </c>
      <c r="O5" s="645" t="s">
        <v>14</v>
      </c>
      <c r="P5" s="647"/>
      <c r="Q5" s="642"/>
    </row>
    <row r="6" spans="1:17" ht="14.4" customHeight="1" thickBot="1" x14ac:dyDescent="0.35">
      <c r="A6" s="490" t="s">
        <v>1156</v>
      </c>
      <c r="B6" s="652" t="s">
        <v>1157</v>
      </c>
      <c r="C6" s="652" t="s">
        <v>1089</v>
      </c>
      <c r="D6" s="652" t="s">
        <v>1158</v>
      </c>
      <c r="E6" s="652" t="s">
        <v>1159</v>
      </c>
      <c r="F6" s="491">
        <v>1</v>
      </c>
      <c r="G6" s="491">
        <v>173</v>
      </c>
      <c r="H6" s="491">
        <v>1</v>
      </c>
      <c r="I6" s="491">
        <v>173</v>
      </c>
      <c r="J6" s="491"/>
      <c r="K6" s="491"/>
      <c r="L6" s="491"/>
      <c r="M6" s="491"/>
      <c r="N6" s="491"/>
      <c r="O6" s="491"/>
      <c r="P6" s="307"/>
      <c r="Q6" s="49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2015-10-26T15:29:35Z</dcterms:modified>
</cp:coreProperties>
</file>