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M23" i="419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F6" i="419"/>
  <c r="AB6" i="419"/>
  <c r="X6" i="419"/>
  <c r="T6" i="419"/>
  <c r="P6" i="419"/>
  <c r="L6" i="419"/>
  <c r="H6" i="419"/>
  <c r="K6" i="419"/>
  <c r="V6" i="419"/>
  <c r="J6" i="419"/>
  <c r="AH6" i="419"/>
  <c r="AE6" i="419"/>
  <c r="AA6" i="419"/>
  <c r="W6" i="419"/>
  <c r="S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<sst xmlns="http://schemas.openxmlformats.org/spreadsheetml/2006/main" count="2640" uniqueCount="916">
  <si>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</si>
  <si>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</si>
  <si>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</si>
  <si>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</si>
  <si>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</si>
  <si>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</si>
  <si>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</si>
  <si>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</si>
  <si>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</si>
  <si>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</si>
  <si>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</si>
  <si>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</si>
  <si>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</si>
  <si>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</si>
  <si>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</si>
  <si>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</si>
  <si>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</si>
  <si>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</si>
  <si>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</si>
  <si>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</si>
  <si>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</si>
  <si>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</si>
  <si>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</si>
  <si>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</si>
  <si>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</si>
  <si>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</si>
  <si>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</si>
  <si>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</si>
  <si>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</si>
  <si>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</si>
  <si>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</si>
  <si>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</si>
  <si>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</si>
  <si>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</si>
  <si>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</si>
  <si>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</si>
  <si>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</si>
  <si>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</si>
  <si>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</si>
  <si>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</si>
  <si>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</si>
  <si>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</si>
  <si>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</si>
  <si>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</si>
  <si>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</si>
  <si>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</si>
  <si>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</si>
  <si>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</si>
  <si>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</si>
  <si>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</si>
  <si>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</si>
  <si>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</si>
  <si>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</si>
  <si>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</si>
  <si>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</si>
  <si>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</si>
  <si>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</si>
  <si>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</si>
  <si>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</si>
  <si>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</si>
  <si>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</si>
  <si>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</si>
  <si>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</si>
  <si>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</si>
  <si>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</si>
  <si>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</si>
  <si>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</si>
  <si>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</si>
  <si>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</si>
  <si>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</si>
  <si>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</si>
  <si>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</si>
  <si>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</si>
  <si>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</si>
  <si>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</si>
  <si>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</si>
  <si>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</si>
  <si>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</si>
  <si>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</si>
  <si>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</si>
  <si>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</si>
  <si>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</si>
  <si>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</si>
  <si>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</si>
  <si>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</si>
  <si>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</si>
  <si>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</si>
  <si>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</si>
  <si>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</si>
  <si>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</si>
  <si>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</si>
  <si>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</si>
  <si>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</si>
  <si>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</si>
  <si>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</si>
  <si>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</si>
  <si>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</si>
  <si>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</si>
  <si>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</si>
  <si>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</si>
  <si>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</si>
  <si>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</si>
  <si>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</si>
  <si>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</si>
  <si>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</si>
  <si>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</si>
  <si>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</si>
  <si>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</si>
  <si>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</si>
  <si>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</si>
  <si>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</si>
  <si>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</si>
  <si>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</si>
  <si>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</si>
  <si>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</si>
  <si>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</si>
  <si>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</si>
  <si>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</si>
  <si>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</si>
  <si>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</si>
  <si>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</si>
  <si>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</si>
  <si>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</si>
  <si>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</si>
  <si>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</si>
  <si>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</si>
  <si>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</si>
  <si>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</si>
  <si>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</si>
  <si>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</si>
  <si>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</si>
  <si>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</si>
  <si>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</si>
  <si>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</si>
  <si>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</si>
  <si>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</si>
  <si>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</si>
  <si>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</si>
  <si>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</si>
  <si>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</si>
  <si>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</si>
  <si>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</si>
  <si>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</si>
  <si>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</si>
  <si>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</si>
  <si>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</si>
  <si>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</si>
  <si>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</si>
  <si>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</si>
  <si>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</si>
  <si>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</si>
  <si>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</si>
  <si>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</si>
  <si>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</si>
  <si>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</si>
  <si>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</si>
  <si>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</si>
  <si>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</si>
  <si>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</si>
  <si>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</si>
  <si>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</si>
  <si>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</si>
  <si>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</si>
  <si>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</si>
  <si>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</si>
  <si>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</si>
  <si>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</si>
  <si>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</si>
  <si>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</si>
  <si>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</si>
  <si>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</si>
  <si>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</si>
  <si>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</si>
  <si>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</si>
  <si>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</si>
  <si>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</si>
  <si>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</si>
  <si>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</si>
  <si>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</si>
  <si>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</si>
  <si>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</si>
  <si>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</si>
  <si>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</si>
  <si>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</si>
  <si>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</si>
  <si>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</si>
  <si>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</si>
  <si>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</si>
  <si>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</si>
  <si>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</si>
  <si>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</si>
  <si>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</si>
  <si>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</si>
  <si>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</si>
  <si>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</si>
  <si>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</si>
  <si>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</si>
  <si>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</si>
  <si>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</si>
  <si>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</si>
  <si>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</si>
  <si>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</si>
  <si>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</si>
  <si>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</si>
  <si>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</si>
  <si>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</si>
  <si>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</si>
  <si>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</si>
  <si>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</si>
  <si>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</si>
  <si>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</si>
  <si>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</si>
  <si>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</si>
  <si>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</si>
  <si>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</si>
  <si>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</si>
  <si>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</si>
  <si>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</si>
  <si>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</si>
  <si>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</si>
  <si>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</si>
  <si>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</si>
  <si>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</si>
  <si>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</si>
  <si>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</si>
  <si>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</si>
  <si>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</si>
  <si>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</si>
  <si>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</si>
  <si>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</si>
  <si>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</si>
  <si>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</si>
  <si>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</si>
  <si>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</si>
  <si>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</si>
  <si>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</si>
  <si>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</si>
  <si>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</si>
  <si>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</si>
  <si>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</si>
  <si>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</si>
  <si>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</si>
  <si>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</si>
  <si>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</si>
  <si>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</si>
  <si>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</si>
  <si>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</si>
  <si>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</si>
  <si>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</si>
  <si>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</si>
  <si>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</si>
  <si>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</si>
  <si>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</si>
  <si>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</si>
  <si>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</si>
  <si>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</si>
  <si>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</si>
  <si>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</si>
  <si>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</si>
  <si>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</si>
  <si>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</si>
  <si>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</si>
  <si>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</si>
  <si>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</si>
  <si>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</si>
  <si>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</si>
  <si>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</si>
  <si>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</si>
  <si>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</si>
  <si>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</si>
  <si>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</si>
  <si>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</si>
  <si>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</si>
  <si>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</si>
  <si>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</si>
  <si>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</si>
  <si>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</si>
  <si>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</si>
  <si>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</si>
  <si>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</si>
  <si>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</si>
  <si>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</si>
  <si>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</si>
  <si>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</si>
  <si>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</si>
  <si>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</si>
  <si>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</si>
  <si>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</si>
  <si>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</si>
  <si>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</si>
  <si>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</si>
  <si>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</si>
  <si>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</si>
  <si>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</si>
  <si>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</si>
  <si>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</si>
  <si>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</si>
  <si>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</si>
  <si>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</si>
  <si>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</si>
  <si>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</si>
  <si>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</si>
  <si>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</si>
  <si>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</si>
  <si>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</si>
  <si>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</si>
  <si>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</si>
  <si>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</si>
  <si>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</si>
  <si>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</si>
  <si>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</si>
  <si>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</si>
  <si>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</si>
  <si>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</si>
  <si>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</si>
  <si>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</si>
  <si>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</si>
  <si>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</si>
  <si>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</si>
  <si>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</si>
  <si>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</si>
  <si>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</si>
  <si>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</si>
  <si>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</si>
  <si>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</si>
  <si>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</si>
  <si>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</si>
  <si>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</si>
  <si>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</si>
  <si>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</si>
  <si>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</si>
  <si>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</si>
  <si>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</si>
  <si>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</si>
  <si>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</si>
  <si>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</si>
  <si>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</si>
  <si>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</si>
  <si>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</si>
  <si>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</si>
  <si>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</si>
  <si>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</si>
  <si>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</si>
  <si>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</si>
  <si>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</si>
  <si>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</si>
  <si>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</si>
  <si>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</si>
  <si>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</si>
  <si>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</si>
  <si>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</si>
  <si>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</si>
  <si>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</si>
  <si>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</si>
  <si>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</si>
  <si>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</si>
  <si>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</si>
  <si>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</si>
  <si>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</si>
  <si>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</si>
  <si>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</si>
  <si>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</si>
  <si>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</si>
  <si>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</si>
  <si>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</si>
  <si>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</si>
  <si>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</si>
  <si>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</si>
  <si>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</si>
  <si>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</si>
  <si>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</si>
  <si>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</si>
  <si>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</si>
  <si>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</si>
  <si>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</si>
  <si>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</si>
  <si>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</si>
  <si>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</si>
  <si>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</si>
  <si>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</si>
  <si>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</si>
  <si>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</si>
  <si>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</si>
  <si>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</si>
  <si>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</si>
  <si>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</si>
  <si>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</si>
  <si>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</si>
  <si>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</si>
  <si>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</si>
  <si>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</si>
  <si>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</si>
  <si>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</si>
  <si>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</si>
  <si>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</si>
  <si>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</si>
  <si>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</si>
  <si>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</si>
  <si>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</si>
  <si>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</si>
  <si>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</si>
  <si>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</si>
  <si>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</si>
  <si>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</si>
  <si>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</si>
  <si>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</si>
  <si>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</si>
  <si>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</si>
  <si>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</si>
  <si>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</si>
  <si>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</si>
  <si>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</si>
  <si>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</si>
  <si>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</si>
  <si>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</si>
  <si>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</si>
  <si>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</si>
  <si>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</si>
  <si>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</si>
  <si>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</si>
  <si>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</si>
  <si>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</si>
  <si>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</si>
  <si>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</si>
  <si>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</si>
  <si>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</si>
  <si>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</si>
  <si>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</si>
  <si>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</si>
  <si>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</si>
  <si>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</si>
  <si>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</si>
  <si>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</si>
  <si>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</si>
  <si>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</si>
  <si>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</si>
  <si>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</si>
  <si>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</si>
  <si>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</si>
  <si>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</si>
  <si>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</si>
  <si>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</si>
  <si>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</si>
  <si>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</si>
  <si>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</si>
  <si>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</si>
  <si>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</si>
  <si>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</si>
  <si>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</si>
  <si>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</si>
  <si>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</si>
  <si>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</si>
  <si>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</si>
  <si>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</si>
  <si>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</si>
  <si>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</si>
  <si>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</si>
  <si>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</si>
  <si>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</si>
  <si>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</si>
  <si>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</si>
  <si>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</si>
  <si>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</si>
  <si>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</si>
  <si>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</si>
  <si>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</si>
  <si>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</si>
  <si>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</si>
  <si>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</si>
  <si>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</si>
  <si>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</si>
  <si>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</si>
  <si>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</si>
  <si>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</si>
  <si>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</si>
  <si>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</si>
  <si>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</si>
  <si>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</si>
  <si>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</si>
  <si>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</si>
  <si>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</si>
  <si>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</si>
  <si>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</si>
  <si>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</si>
  <si>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</si>
  <si>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P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</si>
  <si>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</si>
  <si>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</si>
  <si>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</si>
  <si>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</si>
  <si>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</si>
  <si>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</si>
  <si>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</si>
  <si>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</si>
  <si>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</si>
  <si>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</si>
  <si>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</si>
  <si>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</si>
  <si>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</si>
  <si>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</si>
  <si>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</si>
  <si>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</si>
  <si>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</si>
  <si>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</si>
  <si>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</si>
  <si>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</si>
  <si>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</si>
  <si>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</si>
  <si>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</si>
  <si>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</si>
  <si>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</si>
  <si>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</si>
  <si>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</si>
  <si>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</si>
  <si>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</si>
  <si>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</si>
  <si>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</si>
  <si>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</si>
  <si>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</si>
  <si>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</si>
  <si>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</si>
  <si>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</si>
  <si>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</si>
  <si>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</si>
  <si>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</si>
  <si>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</si>
  <si>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</si>
  <si>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</si>
  <si>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</si>
  <si>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</si>
  <si>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</si>
  <si>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</si>
  <si>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</si>
  <si>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</si>
  <si>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</si>
  <si>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</si>
  <si>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</si>
  <si>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</si>
  <si>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</si>
  <si>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</si>
  <si>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</si>
  <si>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</si>
  <si>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</si>
  <si>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</si>
  <si>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</si>
  <si>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</si>
  <si>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</si>
  <si>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</si>
  <si>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</si>
  <si>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</si>
  <si>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</si>
  <si>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</si>
  <si>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</si>
  <si>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</si>
  <si>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</si>
  <si>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</si>
  <si>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</si>
  <si>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</si>
  <si>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</si>
  <si>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</si>
  <si>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</si>
  <si>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</si>
  <si>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Diosmin, kombinace</t>
  </si>
  <si>
    <t>14075</t>
  </si>
  <si>
    <t>DETRALEX</t>
  </si>
  <si>
    <t>POR TBL FLM 60X500MG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</si>
  <si>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</si>
  <si>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</si>
  <si>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</si>
  <si>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</si>
  <si>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</si>
  <si>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</si>
  <si>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</si>
  <si>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</si>
  <si>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</si>
  <si>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</si>
  <si>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</si>
  <si>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</si>
  <si>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</si>
  <si>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</si>
  <si>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</si>
  <si>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</si>
  <si>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</si>
  <si>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</si>
  <si>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</si>
  <si>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</si>
  <si>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</si>
  <si>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Pseudoefedrin, kombinace</t>
  </si>
  <si>
    <t>64934</t>
  </si>
  <si>
    <t>CLARINASE REPETABS</t>
  </si>
  <si>
    <t>POR TBL RET 7</t>
  </si>
  <si>
    <t>Cetirizin</t>
  </si>
  <si>
    <t>99600</t>
  </si>
  <si>
    <t>ZODAC</t>
  </si>
  <si>
    <t>POR TBL FLM 90X10MG</t>
  </si>
  <si>
    <t>201992</t>
  </si>
  <si>
    <t>POR TBL FLM 120X500MG</t>
  </si>
  <si>
    <t>Kyselina acetylsalicylová</t>
  </si>
  <si>
    <t>155782</t>
  </si>
  <si>
    <t>GODASAL 100</t>
  </si>
  <si>
    <t>POR TBL NOB 100</t>
  </si>
  <si>
    <t>Losartan</t>
  </si>
  <si>
    <t>13888</t>
  </si>
  <si>
    <t>LOZAP 12,5 ZENTIVA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</si>
  <si>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</si>
  <si>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</si>
  <si>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</si>
  <si>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</si>
  <si>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</si>
  <si>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</si>
  <si>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</si>
  <si>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</si>
  <si>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</si>
  <si>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</si>
  <si>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</si>
  <si>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</si>
  <si>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</si>
  <si>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</si>
  <si>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</si>
  <si>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</si>
  <si>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Dexketoprofen</t>
  </si>
  <si>
    <t>57094</t>
  </si>
  <si>
    <t>DEXOKET 12,5 TABLETY</t>
  </si>
  <si>
    <t>POR TBL FLM 10X12.5MG</t>
  </si>
  <si>
    <t>Drotaverin</t>
  </si>
  <si>
    <t>192729</t>
  </si>
  <si>
    <t>NO-SPA</t>
  </si>
  <si>
    <t>POR TBL NOB 24X40MG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</si>
  <si>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</si>
  <si>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</si>
  <si>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</si>
  <si>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</si>
  <si>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</si>
  <si>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</si>
  <si>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</si>
  <si>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</si>
  <si>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Kolchicin</t>
  </si>
  <si>
    <t>119697</t>
  </si>
  <si>
    <t>COLCHICUM-DISPERT</t>
  </si>
  <si>
    <t>POR TBL OBD 20X500RG</t>
  </si>
  <si>
    <t>13894</t>
  </si>
  <si>
    <t>LOZAP 50 ZENTIVA</t>
  </si>
  <si>
    <t>POR TBL FLM 90X50MG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</si>
  <si>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</si>
  <si>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</si>
  <si>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</si>
  <si>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</si>
  <si>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</si>
  <si>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</si>
  <si>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</si>
  <si>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</si>
  <si>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</si>
  <si>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</si>
  <si>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</si>
  <si>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</si>
  <si>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</si>
  <si>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</si>
  <si>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</si>
  <si>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</si>
  <si>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Omeprazol</t>
  </si>
  <si>
    <t>132530</t>
  </si>
  <si>
    <t>HELICID 20</t>
  </si>
  <si>
    <t>POR CPS ETD 28X20MG</t>
  </si>
  <si>
    <t>Progvanil, kombinace</t>
  </si>
  <si>
    <t>30690</t>
  </si>
  <si>
    <t>MALARONE</t>
  </si>
  <si>
    <t>POR TBL FLM 12</t>
  </si>
  <si>
    <t>Tramadol</t>
  </si>
  <si>
    <t>84262</t>
  </si>
  <si>
    <t>TRALGIT GTT.</t>
  </si>
  <si>
    <t>POR GTT SOL 1X96ML</t>
  </si>
  <si>
    <t>Ambroxol</t>
  </si>
  <si>
    <t>45325</t>
  </si>
  <si>
    <t>MUCOSOLVAN</t>
  </si>
  <si>
    <t>POR TBL NOB 50X30MG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</si>
  <si>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</si>
  <si>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</si>
  <si>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</si>
  <si>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</si>
  <si>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</si>
  <si>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</si>
  <si>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</si>
  <si>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</si>
  <si>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Klarithromycin</t>
  </si>
  <si>
    <t>53853</t>
  </si>
  <si>
    <t>KLACID 500</t>
  </si>
  <si>
    <t>POR TBL FLM 14X500MG</t>
  </si>
  <si>
    <t>Klopidogrel</t>
  </si>
  <si>
    <t>169252</t>
  </si>
  <si>
    <t>TROMBEX 75 MG POTAHOVANÉ TABLETY</t>
  </si>
  <si>
    <t>POR TBL FLM 90X75MG</t>
  </si>
  <si>
    <t>Ramipril a diuretika</t>
  </si>
  <si>
    <t>125099</t>
  </si>
  <si>
    <t>TRITAZIDE 5 MG/25 MG</t>
  </si>
  <si>
    <t>POR TBL NOB 28</t>
  </si>
  <si>
    <t>Zolpidem</t>
  </si>
  <si>
    <t>163145</t>
  </si>
  <si>
    <t>HYPNOGEN</t>
  </si>
  <si>
    <t>Diklofenak</t>
  </si>
  <si>
    <t>75632</t>
  </si>
  <si>
    <t>DICLOFENAC AL RETARD</t>
  </si>
  <si>
    <t>POR TBL RET 50X100MG</t>
  </si>
  <si>
    <t>122136</t>
  </si>
  <si>
    <t>METFIREX 1 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</si>
  <si>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</si>
  <si>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</si>
  <si>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</si>
  <si>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</si>
  <si>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</si>
  <si>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</si>
  <si>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80/12,5 MG</t>
  </si>
  <si>
    <t>POR TBL NOB 98</t>
  </si>
  <si>
    <t>26578</t>
  </si>
  <si>
    <t>Mefenoxalon</t>
  </si>
  <si>
    <t>85656</t>
  </si>
  <si>
    <t>DORSIFLEX 200 MG</t>
  </si>
  <si>
    <t>POR TBL NOB 30X200MG</t>
  </si>
  <si>
    <t>Sodná sůl metamizolu</t>
  </si>
  <si>
    <t>55823</t>
  </si>
  <si>
    <t>NOVALGIN TABLETY</t>
  </si>
  <si>
    <t>POR TBL FLM 20X500MG</t>
  </si>
  <si>
    <t>16286</t>
  </si>
  <si>
    <t>STILNOX</t>
  </si>
  <si>
    <t>POR TBL FLM 20X10MG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</si>
  <si>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</si>
  <si>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</si>
  <si>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</si>
  <si>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</si>
  <si>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C09BA05 - Ramipril a diuretika</t>
  </si>
  <si>
    <t>A10BA02 - Metformin</t>
  </si>
  <si>
    <t>N02AX02 - Tramadol</t>
  </si>
  <si>
    <t>H02AB04 - Methylprednisolon</t>
  </si>
  <si>
    <t>H03AA01 - Levothyroxin, sodná sůl</t>
  </si>
  <si>
    <t>J01FA09 - Klarithromycin</t>
  </si>
  <si>
    <t>C09CA01 - Losartan</t>
  </si>
  <si>
    <t>R06AE07 - Cetirizin</t>
  </si>
  <si>
    <t>C09DA01 - Losartan a diuretika</t>
  </si>
  <si>
    <t>C10AA07 - Rosuvastatin</t>
  </si>
  <si>
    <t>H03AA01</t>
  </si>
  <si>
    <t>C09CA01</t>
  </si>
  <si>
    <t>C10AA07</t>
  </si>
  <si>
    <t>R06AE07</t>
  </si>
  <si>
    <t>A10BA02</t>
  </si>
  <si>
    <t>C09DA01</t>
  </si>
  <si>
    <t>N02AX02</t>
  </si>
  <si>
    <t>B01AC04</t>
  </si>
  <si>
    <t>C09BA05</t>
  </si>
  <si>
    <t>J01FA09</t>
  </si>
  <si>
    <t>H02AB04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</si>
  <si>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</si>
  <si>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</si>
  <si>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</si>
  <si>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</si>
  <si>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</si>
  <si>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</si>
  <si>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</si>
  <si>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</si>
  <si>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ZB404</t>
  </si>
  <si>
    <t>Náplast cosmos 8 cm x 1 m 5403353</t>
  </si>
  <si>
    <t>ZC100</t>
  </si>
  <si>
    <t>Vata buničitá dělená 2 role / 500 ks 40 x 50 mm 1230200310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</si>
  <si>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</si>
  <si>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</si>
  <si>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</si>
  <si>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</si>
  <si>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</si>
  <si>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</si>
  <si>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</si>
  <si>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</si>
  <si>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</si>
  <si>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</si>
  <si>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</si>
  <si>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</si>
  <si>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ZB776</t>
  </si>
  <si>
    <t>Zkumavka zelená 3 ml 454082</t>
  </si>
  <si>
    <t>ZB777</t>
  </si>
  <si>
    <t>Zkumavka červená 4 ml gel 454071</t>
  </si>
  <si>
    <t>ZI179</t>
  </si>
  <si>
    <t>Zkumavka s mediem+ flovakovaný tampon eSwab růžový 490CE.A</t>
  </si>
  <si>
    <t>ZI180</t>
  </si>
  <si>
    <t>Zkumavka s mediem+ flovakovaný tampon eSwab minitip oranžový 491CE.A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</si>
  <si>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</si>
  <si>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</si>
  <si>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</si>
  <si>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</si>
  <si>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</si>
  <si>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</si>
  <si>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</si>
  <si>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</si>
  <si>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</si>
  <si>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</si>
  <si>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</si>
  <si>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</si>
  <si>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</si>
  <si>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</si>
  <si>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</si>
  <si>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</si>
  <si>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</si>
  <si>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</si>
  <si>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ZA728</t>
  </si>
  <si>
    <t>Lopatka lékařská nesterilní dřevěná ústní bal. á 100 ks 1320100655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</si>
  <si>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</si>
  <si>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</si>
  <si>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</si>
  <si>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</si>
  <si>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</si>
  <si>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</si>
  <si>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ZC769</t>
  </si>
  <si>
    <t>Hadička spojovací HS 1,8 x 450LL 606301-ND</t>
  </si>
  <si>
    <t>ZI182</t>
  </si>
  <si>
    <t>Zkumavka + aplikátor s chem.stabilizátorem UriSwab žlutá 802CE.A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</si>
  <si>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</si>
  <si>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</si>
  <si>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</si>
  <si>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</si>
  <si>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</si>
  <si>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</si>
  <si>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</si>
  <si>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</si>
  <si>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</si>
  <si>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</si>
  <si>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</si>
  <si>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</si>
  <si>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</si>
  <si>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</si>
  <si>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</si>
  <si>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</si>
  <si>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</si>
  <si>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</si>
  <si>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</si>
  <si>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</si>
  <si>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</si>
  <si>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</si>
  <si>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</si>
  <si>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</si>
  <si>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</si>
  <si>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</si>
  <si>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</si>
  <si>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</si>
  <si>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</si>
  <si>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</si>
  <si>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</si>
  <si>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</si>
  <si>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</si>
  <si>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</si>
  <si>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</si>
  <si>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</si>
  <si>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</si>
  <si>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</si>
  <si>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</si>
  <si>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</si>
  <si>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</si>
  <si>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</si>
  <si>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</si>
  <si>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</si>
  <si>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</si>
  <si>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</si>
  <si>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</si>
  <si>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</si>
  <si>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</si>
  <si>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</si>
  <si>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</si>
  <si>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</si>
  <si>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</si>
  <si>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</si>
  <si>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</si>
  <si>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</si>
  <si>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</si>
  <si>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</si>
  <si>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</si>
  <si>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</si>
  <si>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</si>
  <si>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</si>
  <si>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</si>
  <si>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</si>
  <si>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</si>
  <si>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</si>
  <si>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</si>
  <si>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</si>
  <si>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</si>
  <si>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</si>
  <si>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</si>
  <si>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</si>
  <si>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</si>
  <si>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</si>
  <si>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</si>
  <si>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</si>
  <si>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</si>
  <si>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</si>
  <si>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</si>
  <si>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</si>
  <si>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</si>
  <si>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</si>
  <si>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</si>
  <si>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</si>
  <si>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</si>
  <si>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</si>
  <si>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</si>
  <si>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</si>
  <si>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</si>
  <si>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</si>
  <si>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</si>
  <si>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</si>
  <si>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</si>
  <si>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</si>
  <si>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</si>
  <si>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</si>
  <si>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</si>
  <si>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</si>
  <si>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</si>
  <si>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</si>
  <si>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03</t>
  </si>
  <si>
    <t>05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</si>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</sst>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0.27505688484716212</c:v>
                </c:pt>
                <c:pt idx="1">
                  <c:v>0.25633176484765058</c:v>
                </c:pt>
                <c:pt idx="2">
                  <c:v>0.26064811969188778</c:v>
                </c:pt>
                <c:pt idx="3">
                  <c:v>0.25507965896810347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29752"/>
        <c:axId val="2497053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0.21891411385103729</c:v>
                </c:pt>
                <c:pt idx="1">
                  <c:v>0.21891411385103729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05784"/>
        <c:axId val="249707352"/>
      </c:scatterChart>
      <c:catAx>
        <c:axId val="95632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970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705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6329752"/>
        <c:crosses val="autoZero"/>
        <c:crossBetween val="between"/>
      </c:valAx>
      <c:valAx>
        <c:axId val="249705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9707352"/>
        <c:crosses val="max"/>
        <c:crossBetween val="midCat"/>
      </c:valAx>
      <c:valAx>
        <c:axId val="249707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9705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282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538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9" t="s">
        <v>245</v>
      </c>
      <c r="C15" s="47" t="s">
        <v>255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725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726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749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824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828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832</v>
      </c>
      <c r="C27" s="47" t="s">
        <v>258</v>
      </c>
    </row>
    <row r="28" spans="1:3" ht="14.4" customHeight="1" x14ac:dyDescent="0.3">
      <c r="A28" s="147" t="str">
        <f t="shared" si="4"/>
        <v>ZV Vykáz.-A Detail</v>
      </c>
      <c r="B28" s="90" t="s">
        <v>906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915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287.3</v>
      </c>
      <c r="K3" s="44">
        <f>IF(M3=0,0,J3/M3)</f>
        <v>1</v>
      </c>
      <c r="L3" s="43">
        <f>SUBTOTAL(9,L6:L1048576)</f>
        <v>2</v>
      </c>
      <c r="M3" s="45">
        <f>SUBTOTAL(9,M6:M1048576)</f>
        <v>287.3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434</v>
      </c>
      <c r="B6" s="496" t="s">
        <v>536</v>
      </c>
      <c r="C6" s="496" t="s">
        <v>487</v>
      </c>
      <c r="D6" s="496" t="s">
        <v>488</v>
      </c>
      <c r="E6" s="496" t="s">
        <v>537</v>
      </c>
      <c r="F6" s="484"/>
      <c r="G6" s="484"/>
      <c r="H6" s="303">
        <v>0</v>
      </c>
      <c r="I6" s="484">
        <v>2</v>
      </c>
      <c r="J6" s="484">
        <v>287.3</v>
      </c>
      <c r="K6" s="303">
        <v>1</v>
      </c>
      <c r="L6" s="484">
        <v>2</v>
      </c>
      <c r="M6" s="485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282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98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44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247</v>
      </c>
      <c r="C4" s="377"/>
      <c r="D4" s="377"/>
      <c r="E4" s="378"/>
      <c r="F4" s="373" t="s">
        <v>252</v>
      </c>
      <c r="G4" s="374"/>
      <c r="H4" s="374"/>
      <c r="I4" s="375"/>
      <c r="J4" s="376" t="s">
        <v>253</v>
      </c>
      <c r="K4" s="377"/>
      <c r="L4" s="377"/>
      <c r="M4" s="378"/>
      <c r="N4" s="373" t="s">
        <v>254</v>
      </c>
      <c r="O4" s="374"/>
      <c r="P4" s="374"/>
      <c r="Q4" s="375"/>
    </row>
    <row r="5" spans="1:17" ht="14.4" customHeight="1" thickBot="1" x14ac:dyDescent="0.35">
      <c r="A5" s="497" t="s">
        <v>246</v>
      </c>
      <c r="B5" s="498" t="s">
        <v>248</v>
      </c>
      <c r="C5" s="498" t="s">
        <v>249</v>
      </c>
      <c r="D5" s="498" t="s">
        <v>250</v>
      </c>
      <c r="E5" s="499" t="s">
        <v>251</v>
      </c>
      <c r="F5" s="500" t="s">
        <v>248</v>
      </c>
      <c r="G5" s="501" t="s">
        <v>249</v>
      </c>
      <c r="H5" s="501" t="s">
        <v>250</v>
      </c>
      <c r="I5" s="502" t="s">
        <v>251</v>
      </c>
      <c r="J5" s="498" t="s">
        <v>248</v>
      </c>
      <c r="K5" s="498" t="s">
        <v>249</v>
      </c>
      <c r="L5" s="498" t="s">
        <v>250</v>
      </c>
      <c r="M5" s="499" t="s">
        <v>251</v>
      </c>
      <c r="N5" s="500" t="s">
        <v>248</v>
      </c>
      <c r="O5" s="501" t="s">
        <v>249</v>
      </c>
      <c r="P5" s="501" t="s">
        <v>250</v>
      </c>
      <c r="Q5" s="502" t="s">
        <v>251</v>
      </c>
    </row>
    <row r="6" spans="1:17" ht="14.4" customHeight="1" x14ac:dyDescent="0.3">
      <c r="A6" s="507" t="s">
        <v>539</v>
      </c>
      <c r="B6" s="513"/>
      <c r="C6" s="462"/>
      <c r="D6" s="462"/>
      <c r="E6" s="463"/>
      <c r="F6" s="510"/>
      <c r="G6" s="481"/>
      <c r="H6" s="481"/>
      <c r="I6" s="516"/>
      <c r="J6" s="513"/>
      <c r="K6" s="462"/>
      <c r="L6" s="462"/>
      <c r="M6" s="463"/>
      <c r="N6" s="510"/>
      <c r="O6" s="481"/>
      <c r="P6" s="481"/>
      <c r="Q6" s="503"/>
    </row>
    <row r="7" spans="1:17" ht="14.4" customHeight="1" x14ac:dyDescent="0.3">
      <c r="A7" s="508" t="s">
        <v>540</v>
      </c>
      <c r="B7" s="514">
        <v>70</v>
      </c>
      <c r="C7" s="468"/>
      <c r="D7" s="468"/>
      <c r="E7" s="469"/>
      <c r="F7" s="511">
        <v>1</v>
      </c>
      <c r="G7" s="504">
        <v>0</v>
      </c>
      <c r="H7" s="504">
        <v>0</v>
      </c>
      <c r="I7" s="517">
        <v>0</v>
      </c>
      <c r="J7" s="514">
        <v>35</v>
      </c>
      <c r="K7" s="468"/>
      <c r="L7" s="468"/>
      <c r="M7" s="469"/>
      <c r="N7" s="511">
        <v>1</v>
      </c>
      <c r="O7" s="504">
        <v>0</v>
      </c>
      <c r="P7" s="504">
        <v>0</v>
      </c>
      <c r="Q7" s="505">
        <v>0</v>
      </c>
    </row>
    <row r="8" spans="1:17" ht="14.4" customHeight="1" thickBot="1" x14ac:dyDescent="0.35">
      <c r="A8" s="509" t="s">
        <v>541</v>
      </c>
      <c r="B8" s="515">
        <v>28</v>
      </c>
      <c r="C8" s="474"/>
      <c r="D8" s="474"/>
      <c r="E8" s="475"/>
      <c r="F8" s="512">
        <v>1</v>
      </c>
      <c r="G8" s="482">
        <v>0</v>
      </c>
      <c r="H8" s="482">
        <v>0</v>
      </c>
      <c r="I8" s="518">
        <v>0</v>
      </c>
      <c r="J8" s="515">
        <v>9</v>
      </c>
      <c r="K8" s="474"/>
      <c r="L8" s="474"/>
      <c r="M8" s="475"/>
      <c r="N8" s="512">
        <v>1</v>
      </c>
      <c r="O8" s="482">
        <v>0</v>
      </c>
      <c r="P8" s="482">
        <v>0</v>
      </c>
      <c r="Q8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282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19</v>
      </c>
      <c r="B5" s="447" t="s">
        <v>429</v>
      </c>
      <c r="C5" s="450">
        <v>15956.370000000003</v>
      </c>
      <c r="D5" s="450">
        <v>157</v>
      </c>
      <c r="E5" s="450">
        <v>10679.7</v>
      </c>
      <c r="F5" s="519">
        <v>0.66930636479349626</v>
      </c>
      <c r="G5" s="450">
        <v>119</v>
      </c>
      <c r="H5" s="519">
        <v>0.7579617834394905</v>
      </c>
      <c r="I5" s="450">
        <v>5276.670000000001</v>
      </c>
      <c r="J5" s="519">
        <v>0.33069363520650374</v>
      </c>
      <c r="K5" s="450">
        <v>38</v>
      </c>
      <c r="L5" s="519">
        <v>0.24203821656050956</v>
      </c>
      <c r="M5" s="450" t="s">
        <v>69</v>
      </c>
      <c r="N5" s="151"/>
    </row>
    <row r="6" spans="1:14" ht="14.4" customHeight="1" x14ac:dyDescent="0.3">
      <c r="A6" s="446">
        <v>19</v>
      </c>
      <c r="B6" s="447" t="s">
        <v>542</v>
      </c>
      <c r="C6" s="450">
        <v>15956.370000000003</v>
      </c>
      <c r="D6" s="450">
        <v>157</v>
      </c>
      <c r="E6" s="450">
        <v>10679.7</v>
      </c>
      <c r="F6" s="519">
        <v>0.66930636479349626</v>
      </c>
      <c r="G6" s="450">
        <v>119</v>
      </c>
      <c r="H6" s="519">
        <v>0.7579617834394905</v>
      </c>
      <c r="I6" s="450">
        <v>5276.670000000001</v>
      </c>
      <c r="J6" s="519">
        <v>0.33069363520650374</v>
      </c>
      <c r="K6" s="450">
        <v>38</v>
      </c>
      <c r="L6" s="519">
        <v>0.24203821656050956</v>
      </c>
      <c r="M6" s="450" t="s">
        <v>1</v>
      </c>
      <c r="N6" s="151"/>
    </row>
    <row r="7" spans="1:14" ht="14.4" customHeight="1" x14ac:dyDescent="0.3">
      <c r="A7" s="446" t="s">
        <v>428</v>
      </c>
      <c r="B7" s="447" t="s">
        <v>3</v>
      </c>
      <c r="C7" s="450">
        <v>15956.370000000003</v>
      </c>
      <c r="D7" s="450">
        <v>157</v>
      </c>
      <c r="E7" s="450">
        <v>10679.7</v>
      </c>
      <c r="F7" s="519">
        <v>0.66930636479349626</v>
      </c>
      <c r="G7" s="450">
        <v>119</v>
      </c>
      <c r="H7" s="519">
        <v>0.7579617834394905</v>
      </c>
      <c r="I7" s="450">
        <v>5276.670000000001</v>
      </c>
      <c r="J7" s="519">
        <v>0.33069363520650374</v>
      </c>
      <c r="K7" s="450">
        <v>38</v>
      </c>
      <c r="L7" s="519">
        <v>0.24203821656050956</v>
      </c>
      <c r="M7" s="450" t="s">
        <v>433</v>
      </c>
      <c r="N7" s="151"/>
    </row>
    <row r="9" spans="1:14" ht="14.4" customHeight="1" x14ac:dyDescent="0.3">
      <c r="A9" s="446">
        <v>19</v>
      </c>
      <c r="B9" s="447" t="s">
        <v>429</v>
      </c>
      <c r="C9" s="450" t="s">
        <v>430</v>
      </c>
      <c r="D9" s="450" t="s">
        <v>430</v>
      </c>
      <c r="E9" s="450" t="s">
        <v>430</v>
      </c>
      <c r="F9" s="519" t="s">
        <v>430</v>
      </c>
      <c r="G9" s="450" t="s">
        <v>430</v>
      </c>
      <c r="H9" s="519" t="s">
        <v>430</v>
      </c>
      <c r="I9" s="450" t="s">
        <v>430</v>
      </c>
      <c r="J9" s="519" t="s">
        <v>430</v>
      </c>
      <c r="K9" s="450" t="s">
        <v>430</v>
      </c>
      <c r="L9" s="519" t="s">
        <v>430</v>
      </c>
      <c r="M9" s="450" t="s">
        <v>69</v>
      </c>
      <c r="N9" s="151"/>
    </row>
    <row r="10" spans="1:14" ht="14.4" customHeight="1" x14ac:dyDescent="0.3">
      <c r="A10" s="446" t="s">
        <v>543</v>
      </c>
      <c r="B10" s="447" t="s">
        <v>542</v>
      </c>
      <c r="C10" s="450">
        <v>15956.370000000003</v>
      </c>
      <c r="D10" s="450">
        <v>157</v>
      </c>
      <c r="E10" s="450">
        <v>10679.7</v>
      </c>
      <c r="F10" s="519">
        <v>0.66930636479349626</v>
      </c>
      <c r="G10" s="450">
        <v>119</v>
      </c>
      <c r="H10" s="519">
        <v>0.7579617834394905</v>
      </c>
      <c r="I10" s="450">
        <v>5276.670000000001</v>
      </c>
      <c r="J10" s="519">
        <v>0.33069363520650374</v>
      </c>
      <c r="K10" s="450">
        <v>38</v>
      </c>
      <c r="L10" s="519">
        <v>0.24203821656050956</v>
      </c>
      <c r="M10" s="450" t="s">
        <v>1</v>
      </c>
      <c r="N10" s="151"/>
    </row>
    <row r="11" spans="1:14" ht="14.4" customHeight="1" x14ac:dyDescent="0.3">
      <c r="A11" s="446" t="s">
        <v>543</v>
      </c>
      <c r="B11" s="447" t="s">
        <v>544</v>
      </c>
      <c r="C11" s="450">
        <v>15956.370000000003</v>
      </c>
      <c r="D11" s="450">
        <v>157</v>
      </c>
      <c r="E11" s="450">
        <v>10679.7</v>
      </c>
      <c r="F11" s="519">
        <v>0.66930636479349626</v>
      </c>
      <c r="G11" s="450">
        <v>119</v>
      </c>
      <c r="H11" s="519">
        <v>0.7579617834394905</v>
      </c>
      <c r="I11" s="450">
        <v>5276.670000000001</v>
      </c>
      <c r="J11" s="519">
        <v>0.33069363520650374</v>
      </c>
      <c r="K11" s="450">
        <v>38</v>
      </c>
      <c r="L11" s="519">
        <v>0.24203821656050956</v>
      </c>
      <c r="M11" s="450" t="s">
        <v>437</v>
      </c>
      <c r="N11" s="151"/>
    </row>
    <row r="12" spans="1:14" ht="14.4" customHeight="1" x14ac:dyDescent="0.3">
      <c r="A12" s="446" t="s">
        <v>430</v>
      </c>
      <c r="B12" s="447" t="s">
        <v>430</v>
      </c>
      <c r="C12" s="450" t="s">
        <v>430</v>
      </c>
      <c r="D12" s="450" t="s">
        <v>430</v>
      </c>
      <c r="E12" s="450" t="s">
        <v>430</v>
      </c>
      <c r="F12" s="519" t="s">
        <v>430</v>
      </c>
      <c r="G12" s="450" t="s">
        <v>430</v>
      </c>
      <c r="H12" s="519" t="s">
        <v>430</v>
      </c>
      <c r="I12" s="450" t="s">
        <v>430</v>
      </c>
      <c r="J12" s="519" t="s">
        <v>430</v>
      </c>
      <c r="K12" s="450" t="s">
        <v>430</v>
      </c>
      <c r="L12" s="519" t="s">
        <v>430</v>
      </c>
      <c r="M12" s="450" t="s">
        <v>438</v>
      </c>
      <c r="N12" s="151"/>
    </row>
    <row r="13" spans="1:14" ht="14.4" customHeight="1" x14ac:dyDescent="0.3">
      <c r="A13" s="446" t="s">
        <v>428</v>
      </c>
      <c r="B13" s="447" t="s">
        <v>432</v>
      </c>
      <c r="C13" s="450">
        <v>15956.370000000003</v>
      </c>
      <c r="D13" s="450">
        <v>157</v>
      </c>
      <c r="E13" s="450">
        <v>10679.7</v>
      </c>
      <c r="F13" s="519">
        <v>0.66930636479349626</v>
      </c>
      <c r="G13" s="450">
        <v>119</v>
      </c>
      <c r="H13" s="519">
        <v>0.7579617834394905</v>
      </c>
      <c r="I13" s="450">
        <v>5276.670000000001</v>
      </c>
      <c r="J13" s="519">
        <v>0.33069363520650374</v>
      </c>
      <c r="K13" s="450">
        <v>38</v>
      </c>
      <c r="L13" s="519">
        <v>0.24203821656050956</v>
      </c>
      <c r="M13" s="450" t="s">
        <v>433</v>
      </c>
      <c r="N13" s="151"/>
    </row>
    <row r="14" spans="1:14" ht="14.4" customHeight="1" x14ac:dyDescent="0.3">
      <c r="A14" s="520" t="s">
        <v>545</v>
      </c>
    </row>
    <row r="15" spans="1:14" ht="14.4" customHeight="1" x14ac:dyDescent="0.3">
      <c r="A15" s="521" t="s">
        <v>546</v>
      </c>
    </row>
    <row r="16" spans="1:14" ht="14.4" customHeight="1" x14ac:dyDescent="0.3">
      <c r="A16" s="520" t="s">
        <v>547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282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7" t="s">
        <v>136</v>
      </c>
      <c r="B4" s="498" t="s">
        <v>19</v>
      </c>
      <c r="C4" s="525"/>
      <c r="D4" s="498" t="s">
        <v>20</v>
      </c>
      <c r="E4" s="525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22" t="s">
        <v>548</v>
      </c>
      <c r="B5" s="513">
        <v>9116.0399999999991</v>
      </c>
      <c r="C5" s="459">
        <v>1</v>
      </c>
      <c r="D5" s="526">
        <v>112</v>
      </c>
      <c r="E5" s="495" t="s">
        <v>548</v>
      </c>
      <c r="F5" s="513">
        <v>7142.3499999999985</v>
      </c>
      <c r="G5" s="481">
        <v>0.78349261302056583</v>
      </c>
      <c r="H5" s="462">
        <v>89</v>
      </c>
      <c r="I5" s="503">
        <v>0.7946428571428571</v>
      </c>
      <c r="J5" s="531">
        <v>1973.6900000000007</v>
      </c>
      <c r="K5" s="481">
        <v>0.21650738697943417</v>
      </c>
      <c r="L5" s="462">
        <v>23</v>
      </c>
      <c r="M5" s="503">
        <v>0.20535714285714285</v>
      </c>
    </row>
    <row r="6" spans="1:13" ht="14.4" customHeight="1" x14ac:dyDescent="0.3">
      <c r="A6" s="523" t="s">
        <v>549</v>
      </c>
      <c r="B6" s="514">
        <v>1297.74</v>
      </c>
      <c r="C6" s="465">
        <v>1</v>
      </c>
      <c r="D6" s="527">
        <v>3</v>
      </c>
      <c r="E6" s="529" t="s">
        <v>549</v>
      </c>
      <c r="F6" s="514">
        <v>1297.74</v>
      </c>
      <c r="G6" s="504">
        <v>1</v>
      </c>
      <c r="H6" s="468">
        <v>3</v>
      </c>
      <c r="I6" s="505">
        <v>1</v>
      </c>
      <c r="J6" s="532"/>
      <c r="K6" s="504">
        <v>0</v>
      </c>
      <c r="L6" s="468"/>
      <c r="M6" s="505">
        <v>0</v>
      </c>
    </row>
    <row r="7" spans="1:13" ht="14.4" customHeight="1" x14ac:dyDescent="0.3">
      <c r="A7" s="523" t="s">
        <v>550</v>
      </c>
      <c r="B7" s="514">
        <v>2134.4</v>
      </c>
      <c r="C7" s="465">
        <v>1</v>
      </c>
      <c r="D7" s="527">
        <v>20</v>
      </c>
      <c r="E7" s="529" t="s">
        <v>550</v>
      </c>
      <c r="F7" s="514">
        <v>1224.71</v>
      </c>
      <c r="G7" s="504">
        <v>0.5737959145427286</v>
      </c>
      <c r="H7" s="468">
        <v>15</v>
      </c>
      <c r="I7" s="505">
        <v>0.75</v>
      </c>
      <c r="J7" s="532">
        <v>909.69</v>
      </c>
      <c r="K7" s="504">
        <v>0.4262040854572714</v>
      </c>
      <c r="L7" s="468">
        <v>5</v>
      </c>
      <c r="M7" s="505">
        <v>0.25</v>
      </c>
    </row>
    <row r="8" spans="1:13" ht="14.4" customHeight="1" x14ac:dyDescent="0.3">
      <c r="A8" s="523" t="s">
        <v>551</v>
      </c>
      <c r="B8" s="514">
        <v>1126.6300000000001</v>
      </c>
      <c r="C8" s="465">
        <v>1</v>
      </c>
      <c r="D8" s="527">
        <v>8</v>
      </c>
      <c r="E8" s="529" t="s">
        <v>551</v>
      </c>
      <c r="F8" s="514">
        <v>667.34</v>
      </c>
      <c r="G8" s="504">
        <v>0.59233288657323169</v>
      </c>
      <c r="H8" s="468">
        <v>6</v>
      </c>
      <c r="I8" s="505">
        <v>0.75</v>
      </c>
      <c r="J8" s="532">
        <v>459.28999999999996</v>
      </c>
      <c r="K8" s="504">
        <v>0.40766711342676826</v>
      </c>
      <c r="L8" s="468">
        <v>2</v>
      </c>
      <c r="M8" s="505">
        <v>0.25</v>
      </c>
    </row>
    <row r="9" spans="1:13" ht="14.4" customHeight="1" x14ac:dyDescent="0.3">
      <c r="A9" s="523" t="s">
        <v>552</v>
      </c>
      <c r="B9" s="514">
        <v>1783.72</v>
      </c>
      <c r="C9" s="465">
        <v>1</v>
      </c>
      <c r="D9" s="527">
        <v>4</v>
      </c>
      <c r="E9" s="529" t="s">
        <v>552</v>
      </c>
      <c r="F9" s="514"/>
      <c r="G9" s="504">
        <v>0</v>
      </c>
      <c r="H9" s="468"/>
      <c r="I9" s="505">
        <v>0</v>
      </c>
      <c r="J9" s="532">
        <v>1783.72</v>
      </c>
      <c r="K9" s="504">
        <v>1</v>
      </c>
      <c r="L9" s="468">
        <v>4</v>
      </c>
      <c r="M9" s="505">
        <v>1</v>
      </c>
    </row>
    <row r="10" spans="1:13" ht="14.4" customHeight="1" thickBot="1" x14ac:dyDescent="0.35">
      <c r="A10" s="524" t="s">
        <v>553</v>
      </c>
      <c r="B10" s="515">
        <v>497.84000000000003</v>
      </c>
      <c r="C10" s="471">
        <v>1</v>
      </c>
      <c r="D10" s="528">
        <v>10</v>
      </c>
      <c r="E10" s="530" t="s">
        <v>553</v>
      </c>
      <c r="F10" s="515">
        <v>347.56</v>
      </c>
      <c r="G10" s="482">
        <v>0.69813594729230266</v>
      </c>
      <c r="H10" s="474">
        <v>6</v>
      </c>
      <c r="I10" s="506">
        <v>0.6</v>
      </c>
      <c r="J10" s="533">
        <v>150.28</v>
      </c>
      <c r="K10" s="482">
        <v>0.30186405270769723</v>
      </c>
      <c r="L10" s="474">
        <v>4</v>
      </c>
      <c r="M10" s="506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725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282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15956.369999999997</v>
      </c>
      <c r="N3" s="66">
        <f>SUBTOTAL(9,N7:N1048576)</f>
        <v>330</v>
      </c>
      <c r="O3" s="66">
        <f>SUBTOTAL(9,O7:O1048576)</f>
        <v>157</v>
      </c>
      <c r="P3" s="66">
        <f>SUBTOTAL(9,P7:P1048576)</f>
        <v>10679.700000000004</v>
      </c>
      <c r="Q3" s="67">
        <f>IF(M3=0,0,P3/M3)</f>
        <v>0.6693063647934967</v>
      </c>
      <c r="R3" s="66">
        <f>SUBTOTAL(9,R7:R1048576)</f>
        <v>244</v>
      </c>
      <c r="S3" s="67">
        <f>IF(N3=0,0,R3/N3)</f>
        <v>0.73939393939393938</v>
      </c>
      <c r="T3" s="66">
        <f>SUBTOTAL(9,T7:T1048576)</f>
        <v>119</v>
      </c>
      <c r="U3" s="68">
        <f>IF(O3=0,0,T3/O3)</f>
        <v>0.7579617834394905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152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19</v>
      </c>
      <c r="B7" s="540" t="s">
        <v>429</v>
      </c>
      <c r="C7" s="540" t="s">
        <v>543</v>
      </c>
      <c r="D7" s="541" t="s">
        <v>724</v>
      </c>
      <c r="E7" s="542" t="s">
        <v>548</v>
      </c>
      <c r="F7" s="540" t="s">
        <v>542</v>
      </c>
      <c r="G7" s="540" t="s">
        <v>554</v>
      </c>
      <c r="H7" s="540" t="s">
        <v>430</v>
      </c>
      <c r="I7" s="540" t="s">
        <v>555</v>
      </c>
      <c r="J7" s="540" t="s">
        <v>556</v>
      </c>
      <c r="K7" s="540" t="s">
        <v>557</v>
      </c>
      <c r="L7" s="543">
        <v>0</v>
      </c>
      <c r="M7" s="543">
        <v>0</v>
      </c>
      <c r="N7" s="540">
        <v>2</v>
      </c>
      <c r="O7" s="544">
        <v>1</v>
      </c>
      <c r="P7" s="543">
        <v>0</v>
      </c>
      <c r="Q7" s="545"/>
      <c r="R7" s="540">
        <v>2</v>
      </c>
      <c r="S7" s="545">
        <v>1</v>
      </c>
      <c r="T7" s="544">
        <v>1</v>
      </c>
      <c r="U7" s="122">
        <v>1</v>
      </c>
    </row>
    <row r="8" spans="1:21" ht="14.4" customHeight="1" x14ac:dyDescent="0.3">
      <c r="A8" s="546">
        <v>19</v>
      </c>
      <c r="B8" s="547" t="s">
        <v>429</v>
      </c>
      <c r="C8" s="547" t="s">
        <v>543</v>
      </c>
      <c r="D8" s="548" t="s">
        <v>724</v>
      </c>
      <c r="E8" s="549" t="s">
        <v>548</v>
      </c>
      <c r="F8" s="547" t="s">
        <v>542</v>
      </c>
      <c r="G8" s="547" t="s">
        <v>558</v>
      </c>
      <c r="H8" s="547" t="s">
        <v>430</v>
      </c>
      <c r="I8" s="547" t="s">
        <v>559</v>
      </c>
      <c r="J8" s="547" t="s">
        <v>560</v>
      </c>
      <c r="K8" s="547" t="s">
        <v>561</v>
      </c>
      <c r="L8" s="550">
        <v>150.04</v>
      </c>
      <c r="M8" s="550">
        <v>300.08</v>
      </c>
      <c r="N8" s="547">
        <v>2</v>
      </c>
      <c r="O8" s="551">
        <v>1</v>
      </c>
      <c r="P8" s="550">
        <v>300.08</v>
      </c>
      <c r="Q8" s="552">
        <v>1</v>
      </c>
      <c r="R8" s="547">
        <v>2</v>
      </c>
      <c r="S8" s="552">
        <v>1</v>
      </c>
      <c r="T8" s="551">
        <v>1</v>
      </c>
      <c r="U8" s="553">
        <v>1</v>
      </c>
    </row>
    <row r="9" spans="1:21" ht="14.4" customHeight="1" x14ac:dyDescent="0.3">
      <c r="A9" s="546">
        <v>19</v>
      </c>
      <c r="B9" s="547" t="s">
        <v>429</v>
      </c>
      <c r="C9" s="547" t="s">
        <v>543</v>
      </c>
      <c r="D9" s="548" t="s">
        <v>724</v>
      </c>
      <c r="E9" s="549" t="s">
        <v>548</v>
      </c>
      <c r="F9" s="547" t="s">
        <v>542</v>
      </c>
      <c r="G9" s="547" t="s">
        <v>558</v>
      </c>
      <c r="H9" s="547" t="s">
        <v>430</v>
      </c>
      <c r="I9" s="547" t="s">
        <v>559</v>
      </c>
      <c r="J9" s="547" t="s">
        <v>560</v>
      </c>
      <c r="K9" s="547" t="s">
        <v>561</v>
      </c>
      <c r="L9" s="550">
        <v>154.36000000000001</v>
      </c>
      <c r="M9" s="550">
        <v>308.72000000000003</v>
      </c>
      <c r="N9" s="547">
        <v>2</v>
      </c>
      <c r="O9" s="551">
        <v>1.5</v>
      </c>
      <c r="P9" s="550">
        <v>308.72000000000003</v>
      </c>
      <c r="Q9" s="552">
        <v>1</v>
      </c>
      <c r="R9" s="547">
        <v>2</v>
      </c>
      <c r="S9" s="552">
        <v>1</v>
      </c>
      <c r="T9" s="551">
        <v>1.5</v>
      </c>
      <c r="U9" s="553">
        <v>1</v>
      </c>
    </row>
    <row r="10" spans="1:21" ht="14.4" customHeight="1" x14ac:dyDescent="0.3">
      <c r="A10" s="546">
        <v>19</v>
      </c>
      <c r="B10" s="547" t="s">
        <v>429</v>
      </c>
      <c r="C10" s="547" t="s">
        <v>543</v>
      </c>
      <c r="D10" s="548" t="s">
        <v>724</v>
      </c>
      <c r="E10" s="549" t="s">
        <v>548</v>
      </c>
      <c r="F10" s="547" t="s">
        <v>542</v>
      </c>
      <c r="G10" s="547" t="s">
        <v>562</v>
      </c>
      <c r="H10" s="547" t="s">
        <v>430</v>
      </c>
      <c r="I10" s="547" t="s">
        <v>563</v>
      </c>
      <c r="J10" s="547" t="s">
        <v>564</v>
      </c>
      <c r="K10" s="547" t="s">
        <v>565</v>
      </c>
      <c r="L10" s="550">
        <v>110.28</v>
      </c>
      <c r="M10" s="550">
        <v>330.84000000000003</v>
      </c>
      <c r="N10" s="547">
        <v>3</v>
      </c>
      <c r="O10" s="551">
        <v>1</v>
      </c>
      <c r="P10" s="550">
        <v>330.84000000000003</v>
      </c>
      <c r="Q10" s="552">
        <v>1</v>
      </c>
      <c r="R10" s="547">
        <v>3</v>
      </c>
      <c r="S10" s="552">
        <v>1</v>
      </c>
      <c r="T10" s="551">
        <v>1</v>
      </c>
      <c r="U10" s="553">
        <v>1</v>
      </c>
    </row>
    <row r="11" spans="1:21" ht="14.4" customHeight="1" x14ac:dyDescent="0.3">
      <c r="A11" s="546">
        <v>19</v>
      </c>
      <c r="B11" s="547" t="s">
        <v>429</v>
      </c>
      <c r="C11" s="547" t="s">
        <v>543</v>
      </c>
      <c r="D11" s="548" t="s">
        <v>724</v>
      </c>
      <c r="E11" s="549" t="s">
        <v>548</v>
      </c>
      <c r="F11" s="547" t="s">
        <v>542</v>
      </c>
      <c r="G11" s="547" t="s">
        <v>566</v>
      </c>
      <c r="H11" s="547" t="s">
        <v>430</v>
      </c>
      <c r="I11" s="547" t="s">
        <v>567</v>
      </c>
      <c r="J11" s="547" t="s">
        <v>568</v>
      </c>
      <c r="K11" s="547" t="s">
        <v>569</v>
      </c>
      <c r="L11" s="550">
        <v>40.01</v>
      </c>
      <c r="M11" s="550">
        <v>1720.4299999999998</v>
      </c>
      <c r="N11" s="547">
        <v>43</v>
      </c>
      <c r="O11" s="551">
        <v>20.5</v>
      </c>
      <c r="P11" s="550">
        <v>1400.35</v>
      </c>
      <c r="Q11" s="552">
        <v>0.81395348837209303</v>
      </c>
      <c r="R11" s="547">
        <v>35</v>
      </c>
      <c r="S11" s="552">
        <v>0.81395348837209303</v>
      </c>
      <c r="T11" s="551">
        <v>17</v>
      </c>
      <c r="U11" s="553">
        <v>0.82926829268292679</v>
      </c>
    </row>
    <row r="12" spans="1:21" ht="14.4" customHeight="1" x14ac:dyDescent="0.3">
      <c r="A12" s="546">
        <v>19</v>
      </c>
      <c r="B12" s="547" t="s">
        <v>429</v>
      </c>
      <c r="C12" s="547" t="s">
        <v>543</v>
      </c>
      <c r="D12" s="548" t="s">
        <v>724</v>
      </c>
      <c r="E12" s="549" t="s">
        <v>548</v>
      </c>
      <c r="F12" s="547" t="s">
        <v>542</v>
      </c>
      <c r="G12" s="547" t="s">
        <v>566</v>
      </c>
      <c r="H12" s="547" t="s">
        <v>430</v>
      </c>
      <c r="I12" s="547" t="s">
        <v>567</v>
      </c>
      <c r="J12" s="547" t="s">
        <v>568</v>
      </c>
      <c r="K12" s="547" t="s">
        <v>569</v>
      </c>
      <c r="L12" s="550">
        <v>44.59</v>
      </c>
      <c r="M12" s="550">
        <v>6331.78</v>
      </c>
      <c r="N12" s="547">
        <v>142</v>
      </c>
      <c r="O12" s="551">
        <v>69</v>
      </c>
      <c r="P12" s="550">
        <v>4726.5399999999991</v>
      </c>
      <c r="Q12" s="552">
        <v>0.74647887323943651</v>
      </c>
      <c r="R12" s="547">
        <v>106</v>
      </c>
      <c r="S12" s="552">
        <v>0.74647887323943662</v>
      </c>
      <c r="T12" s="551">
        <v>51</v>
      </c>
      <c r="U12" s="553">
        <v>0.73913043478260865</v>
      </c>
    </row>
    <row r="13" spans="1:21" ht="14.4" customHeight="1" x14ac:dyDescent="0.3">
      <c r="A13" s="546">
        <v>19</v>
      </c>
      <c r="B13" s="547" t="s">
        <v>429</v>
      </c>
      <c r="C13" s="547" t="s">
        <v>543</v>
      </c>
      <c r="D13" s="548" t="s">
        <v>724</v>
      </c>
      <c r="E13" s="549" t="s">
        <v>548</v>
      </c>
      <c r="F13" s="547" t="s">
        <v>542</v>
      </c>
      <c r="G13" s="547" t="s">
        <v>570</v>
      </c>
      <c r="H13" s="547" t="s">
        <v>485</v>
      </c>
      <c r="I13" s="547" t="s">
        <v>571</v>
      </c>
      <c r="J13" s="547" t="s">
        <v>572</v>
      </c>
      <c r="K13" s="547" t="s">
        <v>573</v>
      </c>
      <c r="L13" s="550">
        <v>48.37</v>
      </c>
      <c r="M13" s="550">
        <v>48.37</v>
      </c>
      <c r="N13" s="547">
        <v>1</v>
      </c>
      <c r="O13" s="551">
        <v>1</v>
      </c>
      <c r="P13" s="550"/>
      <c r="Q13" s="552">
        <v>0</v>
      </c>
      <c r="R13" s="547"/>
      <c r="S13" s="552">
        <v>0</v>
      </c>
      <c r="T13" s="551"/>
      <c r="U13" s="553">
        <v>0</v>
      </c>
    </row>
    <row r="14" spans="1:21" ht="14.4" customHeight="1" x14ac:dyDescent="0.3">
      <c r="A14" s="546">
        <v>19</v>
      </c>
      <c r="B14" s="547" t="s">
        <v>429</v>
      </c>
      <c r="C14" s="547" t="s">
        <v>543</v>
      </c>
      <c r="D14" s="548" t="s">
        <v>724</v>
      </c>
      <c r="E14" s="549" t="s">
        <v>548</v>
      </c>
      <c r="F14" s="547" t="s">
        <v>542</v>
      </c>
      <c r="G14" s="547" t="s">
        <v>574</v>
      </c>
      <c r="H14" s="547" t="s">
        <v>430</v>
      </c>
      <c r="I14" s="547" t="s">
        <v>575</v>
      </c>
      <c r="J14" s="547" t="s">
        <v>576</v>
      </c>
      <c r="K14" s="547" t="s">
        <v>577</v>
      </c>
      <c r="L14" s="550">
        <v>0</v>
      </c>
      <c r="M14" s="550">
        <v>0</v>
      </c>
      <c r="N14" s="547">
        <v>4</v>
      </c>
      <c r="O14" s="551">
        <v>2</v>
      </c>
      <c r="P14" s="550">
        <v>0</v>
      </c>
      <c r="Q14" s="552"/>
      <c r="R14" s="547">
        <v>4</v>
      </c>
      <c r="S14" s="552">
        <v>1</v>
      </c>
      <c r="T14" s="551">
        <v>2</v>
      </c>
      <c r="U14" s="553">
        <v>1</v>
      </c>
    </row>
    <row r="15" spans="1:21" ht="14.4" customHeight="1" x14ac:dyDescent="0.3">
      <c r="A15" s="546">
        <v>19</v>
      </c>
      <c r="B15" s="547" t="s">
        <v>429</v>
      </c>
      <c r="C15" s="547" t="s">
        <v>543</v>
      </c>
      <c r="D15" s="548" t="s">
        <v>724</v>
      </c>
      <c r="E15" s="549" t="s">
        <v>548</v>
      </c>
      <c r="F15" s="547" t="s">
        <v>542</v>
      </c>
      <c r="G15" s="547" t="s">
        <v>578</v>
      </c>
      <c r="H15" s="547" t="s">
        <v>430</v>
      </c>
      <c r="I15" s="547" t="s">
        <v>579</v>
      </c>
      <c r="J15" s="547" t="s">
        <v>580</v>
      </c>
      <c r="K15" s="547" t="s">
        <v>581</v>
      </c>
      <c r="L15" s="550">
        <v>75.819999999999993</v>
      </c>
      <c r="M15" s="550">
        <v>75.819999999999993</v>
      </c>
      <c r="N15" s="547">
        <v>1</v>
      </c>
      <c r="O15" s="551">
        <v>1</v>
      </c>
      <c r="P15" s="550">
        <v>75.819999999999993</v>
      </c>
      <c r="Q15" s="552">
        <v>1</v>
      </c>
      <c r="R15" s="547">
        <v>1</v>
      </c>
      <c r="S15" s="552">
        <v>1</v>
      </c>
      <c r="T15" s="551">
        <v>1</v>
      </c>
      <c r="U15" s="553">
        <v>1</v>
      </c>
    </row>
    <row r="16" spans="1:21" ht="14.4" customHeight="1" x14ac:dyDescent="0.3">
      <c r="A16" s="546">
        <v>19</v>
      </c>
      <c r="B16" s="547" t="s">
        <v>429</v>
      </c>
      <c r="C16" s="547" t="s">
        <v>543</v>
      </c>
      <c r="D16" s="548" t="s">
        <v>724</v>
      </c>
      <c r="E16" s="549" t="s">
        <v>548</v>
      </c>
      <c r="F16" s="547" t="s">
        <v>542</v>
      </c>
      <c r="G16" s="547" t="s">
        <v>582</v>
      </c>
      <c r="H16" s="547" t="s">
        <v>430</v>
      </c>
      <c r="I16" s="547" t="s">
        <v>583</v>
      </c>
      <c r="J16" s="547" t="s">
        <v>584</v>
      </c>
      <c r="K16" s="547" t="s">
        <v>585</v>
      </c>
      <c r="L16" s="550">
        <v>0</v>
      </c>
      <c r="M16" s="550">
        <v>0</v>
      </c>
      <c r="N16" s="547">
        <v>4</v>
      </c>
      <c r="O16" s="551">
        <v>1.5</v>
      </c>
      <c r="P16" s="550">
        <v>0</v>
      </c>
      <c r="Q16" s="552"/>
      <c r="R16" s="547">
        <v>4</v>
      </c>
      <c r="S16" s="552">
        <v>1</v>
      </c>
      <c r="T16" s="551">
        <v>1.5</v>
      </c>
      <c r="U16" s="553">
        <v>1</v>
      </c>
    </row>
    <row r="17" spans="1:21" ht="14.4" customHeight="1" x14ac:dyDescent="0.3">
      <c r="A17" s="546">
        <v>19</v>
      </c>
      <c r="B17" s="547" t="s">
        <v>429</v>
      </c>
      <c r="C17" s="547" t="s">
        <v>543</v>
      </c>
      <c r="D17" s="548" t="s">
        <v>724</v>
      </c>
      <c r="E17" s="549" t="s">
        <v>548</v>
      </c>
      <c r="F17" s="547" t="s">
        <v>542</v>
      </c>
      <c r="G17" s="547" t="s">
        <v>582</v>
      </c>
      <c r="H17" s="547" t="s">
        <v>430</v>
      </c>
      <c r="I17" s="547" t="s">
        <v>586</v>
      </c>
      <c r="J17" s="547" t="s">
        <v>584</v>
      </c>
      <c r="K17" s="547" t="s">
        <v>585</v>
      </c>
      <c r="L17" s="550">
        <v>0</v>
      </c>
      <c r="M17" s="550">
        <v>0</v>
      </c>
      <c r="N17" s="547">
        <v>30</v>
      </c>
      <c r="O17" s="551">
        <v>12</v>
      </c>
      <c r="P17" s="550">
        <v>0</v>
      </c>
      <c r="Q17" s="552"/>
      <c r="R17" s="547">
        <v>28</v>
      </c>
      <c r="S17" s="552">
        <v>0.93333333333333335</v>
      </c>
      <c r="T17" s="551">
        <v>11.5</v>
      </c>
      <c r="U17" s="553">
        <v>0.95833333333333337</v>
      </c>
    </row>
    <row r="18" spans="1:21" ht="14.4" customHeight="1" x14ac:dyDescent="0.3">
      <c r="A18" s="546">
        <v>19</v>
      </c>
      <c r="B18" s="547" t="s">
        <v>429</v>
      </c>
      <c r="C18" s="547" t="s">
        <v>543</v>
      </c>
      <c r="D18" s="548" t="s">
        <v>724</v>
      </c>
      <c r="E18" s="549" t="s">
        <v>548</v>
      </c>
      <c r="F18" s="547" t="s">
        <v>542</v>
      </c>
      <c r="G18" s="547" t="s">
        <v>587</v>
      </c>
      <c r="H18" s="547" t="s">
        <v>430</v>
      </c>
      <c r="I18" s="547" t="s">
        <v>588</v>
      </c>
      <c r="J18" s="547" t="s">
        <v>589</v>
      </c>
      <c r="K18" s="547" t="s">
        <v>590</v>
      </c>
      <c r="L18" s="550">
        <v>0</v>
      </c>
      <c r="M18" s="550">
        <v>0</v>
      </c>
      <c r="N18" s="547">
        <v>1</v>
      </c>
      <c r="O18" s="551">
        <v>0.5</v>
      </c>
      <c r="P18" s="550">
        <v>0</v>
      </c>
      <c r="Q18" s="552"/>
      <c r="R18" s="547">
        <v>1</v>
      </c>
      <c r="S18" s="552">
        <v>1</v>
      </c>
      <c r="T18" s="551">
        <v>0.5</v>
      </c>
      <c r="U18" s="553">
        <v>1</v>
      </c>
    </row>
    <row r="19" spans="1:21" ht="14.4" customHeight="1" x14ac:dyDescent="0.3">
      <c r="A19" s="546">
        <v>19</v>
      </c>
      <c r="B19" s="547" t="s">
        <v>429</v>
      </c>
      <c r="C19" s="547" t="s">
        <v>543</v>
      </c>
      <c r="D19" s="548" t="s">
        <v>724</v>
      </c>
      <c r="E19" s="549" t="s">
        <v>549</v>
      </c>
      <c r="F19" s="547" t="s">
        <v>542</v>
      </c>
      <c r="G19" s="547" t="s">
        <v>558</v>
      </c>
      <c r="H19" s="547" t="s">
        <v>430</v>
      </c>
      <c r="I19" s="547" t="s">
        <v>559</v>
      </c>
      <c r="J19" s="547" t="s">
        <v>560</v>
      </c>
      <c r="K19" s="547" t="s">
        <v>561</v>
      </c>
      <c r="L19" s="550">
        <v>154.36000000000001</v>
      </c>
      <c r="M19" s="550">
        <v>308.72000000000003</v>
      </c>
      <c r="N19" s="547">
        <v>2</v>
      </c>
      <c r="O19" s="551">
        <v>0.5</v>
      </c>
      <c r="P19" s="550">
        <v>308.72000000000003</v>
      </c>
      <c r="Q19" s="552">
        <v>1</v>
      </c>
      <c r="R19" s="547">
        <v>2</v>
      </c>
      <c r="S19" s="552">
        <v>1</v>
      </c>
      <c r="T19" s="551">
        <v>0.5</v>
      </c>
      <c r="U19" s="553">
        <v>1</v>
      </c>
    </row>
    <row r="20" spans="1:21" ht="14.4" customHeight="1" x14ac:dyDescent="0.3">
      <c r="A20" s="546">
        <v>19</v>
      </c>
      <c r="B20" s="547" t="s">
        <v>429</v>
      </c>
      <c r="C20" s="547" t="s">
        <v>543</v>
      </c>
      <c r="D20" s="548" t="s">
        <v>724</v>
      </c>
      <c r="E20" s="549" t="s">
        <v>549</v>
      </c>
      <c r="F20" s="547" t="s">
        <v>542</v>
      </c>
      <c r="G20" s="547" t="s">
        <v>591</v>
      </c>
      <c r="H20" s="547" t="s">
        <v>485</v>
      </c>
      <c r="I20" s="547" t="s">
        <v>592</v>
      </c>
      <c r="J20" s="547" t="s">
        <v>593</v>
      </c>
      <c r="K20" s="547" t="s">
        <v>594</v>
      </c>
      <c r="L20" s="550">
        <v>340.97</v>
      </c>
      <c r="M20" s="550">
        <v>340.97</v>
      </c>
      <c r="N20" s="547">
        <v>1</v>
      </c>
      <c r="O20" s="551">
        <v>0.5</v>
      </c>
      <c r="P20" s="550">
        <v>340.97</v>
      </c>
      <c r="Q20" s="552">
        <v>1</v>
      </c>
      <c r="R20" s="547">
        <v>1</v>
      </c>
      <c r="S20" s="552">
        <v>1</v>
      </c>
      <c r="T20" s="551">
        <v>0.5</v>
      </c>
      <c r="U20" s="553">
        <v>1</v>
      </c>
    </row>
    <row r="21" spans="1:21" ht="14.4" customHeight="1" x14ac:dyDescent="0.3">
      <c r="A21" s="546">
        <v>19</v>
      </c>
      <c r="B21" s="547" t="s">
        <v>429</v>
      </c>
      <c r="C21" s="547" t="s">
        <v>543</v>
      </c>
      <c r="D21" s="548" t="s">
        <v>724</v>
      </c>
      <c r="E21" s="549" t="s">
        <v>549</v>
      </c>
      <c r="F21" s="547" t="s">
        <v>542</v>
      </c>
      <c r="G21" s="547" t="s">
        <v>562</v>
      </c>
      <c r="H21" s="547" t="s">
        <v>430</v>
      </c>
      <c r="I21" s="547" t="s">
        <v>595</v>
      </c>
      <c r="J21" s="547" t="s">
        <v>564</v>
      </c>
      <c r="K21" s="547" t="s">
        <v>596</v>
      </c>
      <c r="L21" s="550">
        <v>220.56</v>
      </c>
      <c r="M21" s="550">
        <v>220.56</v>
      </c>
      <c r="N21" s="547">
        <v>1</v>
      </c>
      <c r="O21" s="551">
        <v>0.5</v>
      </c>
      <c r="P21" s="550">
        <v>220.56</v>
      </c>
      <c r="Q21" s="552">
        <v>1</v>
      </c>
      <c r="R21" s="547">
        <v>1</v>
      </c>
      <c r="S21" s="552">
        <v>1</v>
      </c>
      <c r="T21" s="551">
        <v>0.5</v>
      </c>
      <c r="U21" s="553">
        <v>1</v>
      </c>
    </row>
    <row r="22" spans="1:21" ht="14.4" customHeight="1" x14ac:dyDescent="0.3">
      <c r="A22" s="546">
        <v>19</v>
      </c>
      <c r="B22" s="547" t="s">
        <v>429</v>
      </c>
      <c r="C22" s="547" t="s">
        <v>543</v>
      </c>
      <c r="D22" s="548" t="s">
        <v>724</v>
      </c>
      <c r="E22" s="549" t="s">
        <v>549</v>
      </c>
      <c r="F22" s="547" t="s">
        <v>542</v>
      </c>
      <c r="G22" s="547" t="s">
        <v>597</v>
      </c>
      <c r="H22" s="547" t="s">
        <v>430</v>
      </c>
      <c r="I22" s="547" t="s">
        <v>598</v>
      </c>
      <c r="J22" s="547" t="s">
        <v>599</v>
      </c>
      <c r="K22" s="547" t="s">
        <v>600</v>
      </c>
      <c r="L22" s="550">
        <v>52.75</v>
      </c>
      <c r="M22" s="550">
        <v>52.75</v>
      </c>
      <c r="N22" s="547">
        <v>1</v>
      </c>
      <c r="O22" s="551">
        <v>0.5</v>
      </c>
      <c r="P22" s="550">
        <v>52.75</v>
      </c>
      <c r="Q22" s="552">
        <v>1</v>
      </c>
      <c r="R22" s="547">
        <v>1</v>
      </c>
      <c r="S22" s="552">
        <v>1</v>
      </c>
      <c r="T22" s="551">
        <v>0.5</v>
      </c>
      <c r="U22" s="553">
        <v>1</v>
      </c>
    </row>
    <row r="23" spans="1:21" ht="14.4" customHeight="1" x14ac:dyDescent="0.3">
      <c r="A23" s="546">
        <v>19</v>
      </c>
      <c r="B23" s="547" t="s">
        <v>429</v>
      </c>
      <c r="C23" s="547" t="s">
        <v>543</v>
      </c>
      <c r="D23" s="548" t="s">
        <v>724</v>
      </c>
      <c r="E23" s="549" t="s">
        <v>549</v>
      </c>
      <c r="F23" s="547" t="s">
        <v>542</v>
      </c>
      <c r="G23" s="547" t="s">
        <v>601</v>
      </c>
      <c r="H23" s="547" t="s">
        <v>485</v>
      </c>
      <c r="I23" s="547" t="s">
        <v>602</v>
      </c>
      <c r="J23" s="547" t="s">
        <v>603</v>
      </c>
      <c r="K23" s="547" t="s">
        <v>604</v>
      </c>
      <c r="L23" s="550">
        <v>0</v>
      </c>
      <c r="M23" s="550">
        <v>0</v>
      </c>
      <c r="N23" s="547">
        <v>1</v>
      </c>
      <c r="O23" s="551">
        <v>0.5</v>
      </c>
      <c r="P23" s="550">
        <v>0</v>
      </c>
      <c r="Q23" s="552"/>
      <c r="R23" s="547">
        <v>1</v>
      </c>
      <c r="S23" s="552">
        <v>1</v>
      </c>
      <c r="T23" s="551">
        <v>0.5</v>
      </c>
      <c r="U23" s="553">
        <v>1</v>
      </c>
    </row>
    <row r="24" spans="1:21" ht="14.4" customHeight="1" x14ac:dyDescent="0.3">
      <c r="A24" s="546">
        <v>19</v>
      </c>
      <c r="B24" s="547" t="s">
        <v>429</v>
      </c>
      <c r="C24" s="547" t="s">
        <v>543</v>
      </c>
      <c r="D24" s="548" t="s">
        <v>724</v>
      </c>
      <c r="E24" s="549" t="s">
        <v>549</v>
      </c>
      <c r="F24" s="547" t="s">
        <v>542</v>
      </c>
      <c r="G24" s="547" t="s">
        <v>605</v>
      </c>
      <c r="H24" s="547" t="s">
        <v>485</v>
      </c>
      <c r="I24" s="547" t="s">
        <v>606</v>
      </c>
      <c r="J24" s="547" t="s">
        <v>607</v>
      </c>
      <c r="K24" s="547" t="s">
        <v>594</v>
      </c>
      <c r="L24" s="550">
        <v>374.74</v>
      </c>
      <c r="M24" s="550">
        <v>374.74</v>
      </c>
      <c r="N24" s="547">
        <v>1</v>
      </c>
      <c r="O24" s="551">
        <v>0.5</v>
      </c>
      <c r="P24" s="550">
        <v>374.74</v>
      </c>
      <c r="Q24" s="552">
        <v>1</v>
      </c>
      <c r="R24" s="547">
        <v>1</v>
      </c>
      <c r="S24" s="552">
        <v>1</v>
      </c>
      <c r="T24" s="551">
        <v>0.5</v>
      </c>
      <c r="U24" s="553">
        <v>1</v>
      </c>
    </row>
    <row r="25" spans="1:21" ht="14.4" customHeight="1" x14ac:dyDescent="0.3">
      <c r="A25" s="546">
        <v>19</v>
      </c>
      <c r="B25" s="547" t="s">
        <v>429</v>
      </c>
      <c r="C25" s="547" t="s">
        <v>543</v>
      </c>
      <c r="D25" s="548" t="s">
        <v>724</v>
      </c>
      <c r="E25" s="549" t="s">
        <v>550</v>
      </c>
      <c r="F25" s="547" t="s">
        <v>542</v>
      </c>
      <c r="G25" s="547" t="s">
        <v>608</v>
      </c>
      <c r="H25" s="547" t="s">
        <v>430</v>
      </c>
      <c r="I25" s="547" t="s">
        <v>609</v>
      </c>
      <c r="J25" s="547" t="s">
        <v>610</v>
      </c>
      <c r="K25" s="547" t="s">
        <v>611</v>
      </c>
      <c r="L25" s="550">
        <v>96.84</v>
      </c>
      <c r="M25" s="550">
        <v>96.84</v>
      </c>
      <c r="N25" s="547">
        <v>1</v>
      </c>
      <c r="O25" s="551">
        <v>1</v>
      </c>
      <c r="P25" s="550">
        <v>96.84</v>
      </c>
      <c r="Q25" s="552">
        <v>1</v>
      </c>
      <c r="R25" s="547">
        <v>1</v>
      </c>
      <c r="S25" s="552">
        <v>1</v>
      </c>
      <c r="T25" s="551">
        <v>1</v>
      </c>
      <c r="U25" s="553">
        <v>1</v>
      </c>
    </row>
    <row r="26" spans="1:21" ht="14.4" customHeight="1" x14ac:dyDescent="0.3">
      <c r="A26" s="546">
        <v>19</v>
      </c>
      <c r="B26" s="547" t="s">
        <v>429</v>
      </c>
      <c r="C26" s="547" t="s">
        <v>543</v>
      </c>
      <c r="D26" s="548" t="s">
        <v>724</v>
      </c>
      <c r="E26" s="549" t="s">
        <v>550</v>
      </c>
      <c r="F26" s="547" t="s">
        <v>542</v>
      </c>
      <c r="G26" s="547" t="s">
        <v>612</v>
      </c>
      <c r="H26" s="547" t="s">
        <v>430</v>
      </c>
      <c r="I26" s="547" t="s">
        <v>613</v>
      </c>
      <c r="J26" s="547" t="s">
        <v>614</v>
      </c>
      <c r="K26" s="547" t="s">
        <v>615</v>
      </c>
      <c r="L26" s="550">
        <v>49.87</v>
      </c>
      <c r="M26" s="550">
        <v>49.87</v>
      </c>
      <c r="N26" s="547">
        <v>1</v>
      </c>
      <c r="O26" s="551">
        <v>0.5</v>
      </c>
      <c r="P26" s="550">
        <v>49.87</v>
      </c>
      <c r="Q26" s="552">
        <v>1</v>
      </c>
      <c r="R26" s="547">
        <v>1</v>
      </c>
      <c r="S26" s="552">
        <v>1</v>
      </c>
      <c r="T26" s="551">
        <v>0.5</v>
      </c>
      <c r="U26" s="553">
        <v>1</v>
      </c>
    </row>
    <row r="27" spans="1:21" ht="14.4" customHeight="1" x14ac:dyDescent="0.3">
      <c r="A27" s="546">
        <v>19</v>
      </c>
      <c r="B27" s="547" t="s">
        <v>429</v>
      </c>
      <c r="C27" s="547" t="s">
        <v>543</v>
      </c>
      <c r="D27" s="548" t="s">
        <v>724</v>
      </c>
      <c r="E27" s="549" t="s">
        <v>550</v>
      </c>
      <c r="F27" s="547" t="s">
        <v>542</v>
      </c>
      <c r="G27" s="547" t="s">
        <v>616</v>
      </c>
      <c r="H27" s="547" t="s">
        <v>430</v>
      </c>
      <c r="I27" s="547" t="s">
        <v>617</v>
      </c>
      <c r="J27" s="547" t="s">
        <v>618</v>
      </c>
      <c r="K27" s="547" t="s">
        <v>619</v>
      </c>
      <c r="L27" s="550">
        <v>42.85</v>
      </c>
      <c r="M27" s="550">
        <v>42.85</v>
      </c>
      <c r="N27" s="547">
        <v>1</v>
      </c>
      <c r="O27" s="551">
        <v>0.5</v>
      </c>
      <c r="P27" s="550"/>
      <c r="Q27" s="552">
        <v>0</v>
      </c>
      <c r="R27" s="547"/>
      <c r="S27" s="552">
        <v>0</v>
      </c>
      <c r="T27" s="551"/>
      <c r="U27" s="553">
        <v>0</v>
      </c>
    </row>
    <row r="28" spans="1:21" ht="14.4" customHeight="1" x14ac:dyDescent="0.3">
      <c r="A28" s="546">
        <v>19</v>
      </c>
      <c r="B28" s="547" t="s">
        <v>429</v>
      </c>
      <c r="C28" s="547" t="s">
        <v>543</v>
      </c>
      <c r="D28" s="548" t="s">
        <v>724</v>
      </c>
      <c r="E28" s="549" t="s">
        <v>550</v>
      </c>
      <c r="F28" s="547" t="s">
        <v>542</v>
      </c>
      <c r="G28" s="547" t="s">
        <v>558</v>
      </c>
      <c r="H28" s="547" t="s">
        <v>430</v>
      </c>
      <c r="I28" s="547" t="s">
        <v>559</v>
      </c>
      <c r="J28" s="547" t="s">
        <v>560</v>
      </c>
      <c r="K28" s="547" t="s">
        <v>561</v>
      </c>
      <c r="L28" s="550">
        <v>154.36000000000001</v>
      </c>
      <c r="M28" s="550">
        <v>154.36000000000001</v>
      </c>
      <c r="N28" s="547">
        <v>1</v>
      </c>
      <c r="O28" s="551">
        <v>1</v>
      </c>
      <c r="P28" s="550">
        <v>154.36000000000001</v>
      </c>
      <c r="Q28" s="552">
        <v>1</v>
      </c>
      <c r="R28" s="547">
        <v>1</v>
      </c>
      <c r="S28" s="552">
        <v>1</v>
      </c>
      <c r="T28" s="551">
        <v>1</v>
      </c>
      <c r="U28" s="553">
        <v>1</v>
      </c>
    </row>
    <row r="29" spans="1:21" ht="14.4" customHeight="1" x14ac:dyDescent="0.3">
      <c r="A29" s="546">
        <v>19</v>
      </c>
      <c r="B29" s="547" t="s">
        <v>429</v>
      </c>
      <c r="C29" s="547" t="s">
        <v>543</v>
      </c>
      <c r="D29" s="548" t="s">
        <v>724</v>
      </c>
      <c r="E29" s="549" t="s">
        <v>550</v>
      </c>
      <c r="F29" s="547" t="s">
        <v>542</v>
      </c>
      <c r="G29" s="547" t="s">
        <v>620</v>
      </c>
      <c r="H29" s="547" t="s">
        <v>430</v>
      </c>
      <c r="I29" s="547" t="s">
        <v>621</v>
      </c>
      <c r="J29" s="547" t="s">
        <v>622</v>
      </c>
      <c r="K29" s="547" t="s">
        <v>623</v>
      </c>
      <c r="L29" s="550">
        <v>0</v>
      </c>
      <c r="M29" s="550">
        <v>0</v>
      </c>
      <c r="N29" s="547">
        <v>1</v>
      </c>
      <c r="O29" s="551">
        <v>0.5</v>
      </c>
      <c r="P29" s="550">
        <v>0</v>
      </c>
      <c r="Q29" s="552"/>
      <c r="R29" s="547">
        <v>1</v>
      </c>
      <c r="S29" s="552">
        <v>1</v>
      </c>
      <c r="T29" s="551">
        <v>0.5</v>
      </c>
      <c r="U29" s="553">
        <v>1</v>
      </c>
    </row>
    <row r="30" spans="1:21" ht="14.4" customHeight="1" x14ac:dyDescent="0.3">
      <c r="A30" s="546">
        <v>19</v>
      </c>
      <c r="B30" s="547" t="s">
        <v>429</v>
      </c>
      <c r="C30" s="547" t="s">
        <v>543</v>
      </c>
      <c r="D30" s="548" t="s">
        <v>724</v>
      </c>
      <c r="E30" s="549" t="s">
        <v>550</v>
      </c>
      <c r="F30" s="547" t="s">
        <v>542</v>
      </c>
      <c r="G30" s="547" t="s">
        <v>624</v>
      </c>
      <c r="H30" s="547" t="s">
        <v>430</v>
      </c>
      <c r="I30" s="547" t="s">
        <v>625</v>
      </c>
      <c r="J30" s="547" t="s">
        <v>626</v>
      </c>
      <c r="K30" s="547" t="s">
        <v>627</v>
      </c>
      <c r="L30" s="550">
        <v>49.63</v>
      </c>
      <c r="M30" s="550">
        <v>49.63</v>
      </c>
      <c r="N30" s="547">
        <v>1</v>
      </c>
      <c r="O30" s="551">
        <v>0.5</v>
      </c>
      <c r="P30" s="550"/>
      <c r="Q30" s="552">
        <v>0</v>
      </c>
      <c r="R30" s="547"/>
      <c r="S30" s="552">
        <v>0</v>
      </c>
      <c r="T30" s="551"/>
      <c r="U30" s="553">
        <v>0</v>
      </c>
    </row>
    <row r="31" spans="1:21" ht="14.4" customHeight="1" x14ac:dyDescent="0.3">
      <c r="A31" s="546">
        <v>19</v>
      </c>
      <c r="B31" s="547" t="s">
        <v>429</v>
      </c>
      <c r="C31" s="547" t="s">
        <v>543</v>
      </c>
      <c r="D31" s="548" t="s">
        <v>724</v>
      </c>
      <c r="E31" s="549" t="s">
        <v>550</v>
      </c>
      <c r="F31" s="547" t="s">
        <v>542</v>
      </c>
      <c r="G31" s="547" t="s">
        <v>628</v>
      </c>
      <c r="H31" s="547" t="s">
        <v>430</v>
      </c>
      <c r="I31" s="547" t="s">
        <v>629</v>
      </c>
      <c r="J31" s="547" t="s">
        <v>630</v>
      </c>
      <c r="K31" s="547" t="s">
        <v>631</v>
      </c>
      <c r="L31" s="550">
        <v>0</v>
      </c>
      <c r="M31" s="550">
        <v>0</v>
      </c>
      <c r="N31" s="547">
        <v>2</v>
      </c>
      <c r="O31" s="551">
        <v>2</v>
      </c>
      <c r="P31" s="550">
        <v>0</v>
      </c>
      <c r="Q31" s="552"/>
      <c r="R31" s="547">
        <v>2</v>
      </c>
      <c r="S31" s="552">
        <v>1</v>
      </c>
      <c r="T31" s="551">
        <v>2</v>
      </c>
      <c r="U31" s="553">
        <v>1</v>
      </c>
    </row>
    <row r="32" spans="1:21" ht="14.4" customHeight="1" x14ac:dyDescent="0.3">
      <c r="A32" s="546">
        <v>19</v>
      </c>
      <c r="B32" s="547" t="s">
        <v>429</v>
      </c>
      <c r="C32" s="547" t="s">
        <v>543</v>
      </c>
      <c r="D32" s="548" t="s">
        <v>724</v>
      </c>
      <c r="E32" s="549" t="s">
        <v>550</v>
      </c>
      <c r="F32" s="547" t="s">
        <v>542</v>
      </c>
      <c r="G32" s="547" t="s">
        <v>632</v>
      </c>
      <c r="H32" s="547" t="s">
        <v>430</v>
      </c>
      <c r="I32" s="547" t="s">
        <v>633</v>
      </c>
      <c r="J32" s="547" t="s">
        <v>634</v>
      </c>
      <c r="K32" s="547" t="s">
        <v>635</v>
      </c>
      <c r="L32" s="550">
        <v>9.2799999999999994</v>
      </c>
      <c r="M32" s="550">
        <v>9.2799999999999994</v>
      </c>
      <c r="N32" s="547">
        <v>1</v>
      </c>
      <c r="O32" s="551">
        <v>0.5</v>
      </c>
      <c r="P32" s="550"/>
      <c r="Q32" s="552">
        <v>0</v>
      </c>
      <c r="R32" s="547"/>
      <c r="S32" s="552">
        <v>0</v>
      </c>
      <c r="T32" s="551"/>
      <c r="U32" s="553">
        <v>0</v>
      </c>
    </row>
    <row r="33" spans="1:21" ht="14.4" customHeight="1" x14ac:dyDescent="0.3">
      <c r="A33" s="546">
        <v>19</v>
      </c>
      <c r="B33" s="547" t="s">
        <v>429</v>
      </c>
      <c r="C33" s="547" t="s">
        <v>543</v>
      </c>
      <c r="D33" s="548" t="s">
        <v>724</v>
      </c>
      <c r="E33" s="549" t="s">
        <v>550</v>
      </c>
      <c r="F33" s="547" t="s">
        <v>542</v>
      </c>
      <c r="G33" s="547" t="s">
        <v>636</v>
      </c>
      <c r="H33" s="547" t="s">
        <v>430</v>
      </c>
      <c r="I33" s="547" t="s">
        <v>637</v>
      </c>
      <c r="J33" s="547" t="s">
        <v>638</v>
      </c>
      <c r="K33" s="547" t="s">
        <v>639</v>
      </c>
      <c r="L33" s="550">
        <v>156.19</v>
      </c>
      <c r="M33" s="550">
        <v>156.19</v>
      </c>
      <c r="N33" s="547">
        <v>1</v>
      </c>
      <c r="O33" s="551">
        <v>1</v>
      </c>
      <c r="P33" s="550">
        <v>156.19</v>
      </c>
      <c r="Q33" s="552">
        <v>1</v>
      </c>
      <c r="R33" s="547">
        <v>1</v>
      </c>
      <c r="S33" s="552">
        <v>1</v>
      </c>
      <c r="T33" s="551">
        <v>1</v>
      </c>
      <c r="U33" s="553">
        <v>1</v>
      </c>
    </row>
    <row r="34" spans="1:21" ht="14.4" customHeight="1" x14ac:dyDescent="0.3">
      <c r="A34" s="546">
        <v>19</v>
      </c>
      <c r="B34" s="547" t="s">
        <v>429</v>
      </c>
      <c r="C34" s="547" t="s">
        <v>543</v>
      </c>
      <c r="D34" s="548" t="s">
        <v>724</v>
      </c>
      <c r="E34" s="549" t="s">
        <v>550</v>
      </c>
      <c r="F34" s="547" t="s">
        <v>542</v>
      </c>
      <c r="G34" s="547" t="s">
        <v>566</v>
      </c>
      <c r="H34" s="547" t="s">
        <v>430</v>
      </c>
      <c r="I34" s="547" t="s">
        <v>567</v>
      </c>
      <c r="J34" s="547" t="s">
        <v>568</v>
      </c>
      <c r="K34" s="547" t="s">
        <v>569</v>
      </c>
      <c r="L34" s="550">
        <v>44.59</v>
      </c>
      <c r="M34" s="550">
        <v>535.08000000000004</v>
      </c>
      <c r="N34" s="547">
        <v>12</v>
      </c>
      <c r="O34" s="551">
        <v>5.5</v>
      </c>
      <c r="P34" s="550">
        <v>535.08000000000004</v>
      </c>
      <c r="Q34" s="552">
        <v>1</v>
      </c>
      <c r="R34" s="547">
        <v>12</v>
      </c>
      <c r="S34" s="552">
        <v>1</v>
      </c>
      <c r="T34" s="551">
        <v>5.5</v>
      </c>
      <c r="U34" s="553">
        <v>1</v>
      </c>
    </row>
    <row r="35" spans="1:21" ht="14.4" customHeight="1" x14ac:dyDescent="0.3">
      <c r="A35" s="546">
        <v>19</v>
      </c>
      <c r="B35" s="547" t="s">
        <v>429</v>
      </c>
      <c r="C35" s="547" t="s">
        <v>543</v>
      </c>
      <c r="D35" s="548" t="s">
        <v>724</v>
      </c>
      <c r="E35" s="549" t="s">
        <v>550</v>
      </c>
      <c r="F35" s="547" t="s">
        <v>542</v>
      </c>
      <c r="G35" s="547" t="s">
        <v>601</v>
      </c>
      <c r="H35" s="547" t="s">
        <v>485</v>
      </c>
      <c r="I35" s="547" t="s">
        <v>640</v>
      </c>
      <c r="J35" s="547" t="s">
        <v>641</v>
      </c>
      <c r="K35" s="547" t="s">
        <v>642</v>
      </c>
      <c r="L35" s="550">
        <v>0</v>
      </c>
      <c r="M35" s="550">
        <v>0</v>
      </c>
      <c r="N35" s="547">
        <v>1</v>
      </c>
      <c r="O35" s="551">
        <v>0.5</v>
      </c>
      <c r="P35" s="550"/>
      <c r="Q35" s="552"/>
      <c r="R35" s="547"/>
      <c r="S35" s="552">
        <v>0</v>
      </c>
      <c r="T35" s="551"/>
      <c r="U35" s="553">
        <v>0</v>
      </c>
    </row>
    <row r="36" spans="1:21" ht="14.4" customHeight="1" x14ac:dyDescent="0.3">
      <c r="A36" s="546">
        <v>19</v>
      </c>
      <c r="B36" s="547" t="s">
        <v>429</v>
      </c>
      <c r="C36" s="547" t="s">
        <v>543</v>
      </c>
      <c r="D36" s="548" t="s">
        <v>724</v>
      </c>
      <c r="E36" s="549" t="s">
        <v>550</v>
      </c>
      <c r="F36" s="547" t="s">
        <v>542</v>
      </c>
      <c r="G36" s="547" t="s">
        <v>643</v>
      </c>
      <c r="H36" s="547" t="s">
        <v>485</v>
      </c>
      <c r="I36" s="547" t="s">
        <v>644</v>
      </c>
      <c r="J36" s="547" t="s">
        <v>645</v>
      </c>
      <c r="K36" s="547" t="s">
        <v>646</v>
      </c>
      <c r="L36" s="550">
        <v>77.790000000000006</v>
      </c>
      <c r="M36" s="550">
        <v>77.790000000000006</v>
      </c>
      <c r="N36" s="547">
        <v>1</v>
      </c>
      <c r="O36" s="551">
        <v>0.5</v>
      </c>
      <c r="P36" s="550"/>
      <c r="Q36" s="552">
        <v>0</v>
      </c>
      <c r="R36" s="547"/>
      <c r="S36" s="552">
        <v>0</v>
      </c>
      <c r="T36" s="551"/>
      <c r="U36" s="553">
        <v>0</v>
      </c>
    </row>
    <row r="37" spans="1:21" ht="14.4" customHeight="1" x14ac:dyDescent="0.3">
      <c r="A37" s="546">
        <v>19</v>
      </c>
      <c r="B37" s="547" t="s">
        <v>429</v>
      </c>
      <c r="C37" s="547" t="s">
        <v>543</v>
      </c>
      <c r="D37" s="548" t="s">
        <v>724</v>
      </c>
      <c r="E37" s="549" t="s">
        <v>550</v>
      </c>
      <c r="F37" s="547" t="s">
        <v>542</v>
      </c>
      <c r="G37" s="547" t="s">
        <v>647</v>
      </c>
      <c r="H37" s="547" t="s">
        <v>430</v>
      </c>
      <c r="I37" s="547" t="s">
        <v>648</v>
      </c>
      <c r="J37" s="547" t="s">
        <v>649</v>
      </c>
      <c r="K37" s="547" t="s">
        <v>650</v>
      </c>
      <c r="L37" s="550">
        <v>232.37</v>
      </c>
      <c r="M37" s="550">
        <v>232.37</v>
      </c>
      <c r="N37" s="547">
        <v>1</v>
      </c>
      <c r="O37" s="551">
        <v>1</v>
      </c>
      <c r="P37" s="550">
        <v>232.37</v>
      </c>
      <c r="Q37" s="552">
        <v>1</v>
      </c>
      <c r="R37" s="547">
        <v>1</v>
      </c>
      <c r="S37" s="552">
        <v>1</v>
      </c>
      <c r="T37" s="551">
        <v>1</v>
      </c>
      <c r="U37" s="553">
        <v>1</v>
      </c>
    </row>
    <row r="38" spans="1:21" ht="14.4" customHeight="1" x14ac:dyDescent="0.3">
      <c r="A38" s="546">
        <v>19</v>
      </c>
      <c r="B38" s="547" t="s">
        <v>429</v>
      </c>
      <c r="C38" s="547" t="s">
        <v>543</v>
      </c>
      <c r="D38" s="548" t="s">
        <v>724</v>
      </c>
      <c r="E38" s="549" t="s">
        <v>550</v>
      </c>
      <c r="F38" s="547" t="s">
        <v>542</v>
      </c>
      <c r="G38" s="547" t="s">
        <v>651</v>
      </c>
      <c r="H38" s="547" t="s">
        <v>485</v>
      </c>
      <c r="I38" s="547" t="s">
        <v>652</v>
      </c>
      <c r="J38" s="547" t="s">
        <v>653</v>
      </c>
      <c r="K38" s="547" t="s">
        <v>654</v>
      </c>
      <c r="L38" s="550">
        <v>101.68</v>
      </c>
      <c r="M38" s="550">
        <v>101.68</v>
      </c>
      <c r="N38" s="547">
        <v>1</v>
      </c>
      <c r="O38" s="551">
        <v>0.5</v>
      </c>
      <c r="P38" s="550"/>
      <c r="Q38" s="552">
        <v>0</v>
      </c>
      <c r="R38" s="547"/>
      <c r="S38" s="552">
        <v>0</v>
      </c>
      <c r="T38" s="551"/>
      <c r="U38" s="553">
        <v>0</v>
      </c>
    </row>
    <row r="39" spans="1:21" ht="14.4" customHeight="1" x14ac:dyDescent="0.3">
      <c r="A39" s="546">
        <v>19</v>
      </c>
      <c r="B39" s="547" t="s">
        <v>429</v>
      </c>
      <c r="C39" s="547" t="s">
        <v>543</v>
      </c>
      <c r="D39" s="548" t="s">
        <v>724</v>
      </c>
      <c r="E39" s="549" t="s">
        <v>550</v>
      </c>
      <c r="F39" s="547" t="s">
        <v>542</v>
      </c>
      <c r="G39" s="547" t="s">
        <v>655</v>
      </c>
      <c r="H39" s="547" t="s">
        <v>430</v>
      </c>
      <c r="I39" s="547" t="s">
        <v>656</v>
      </c>
      <c r="J39" s="547" t="s">
        <v>657</v>
      </c>
      <c r="K39" s="547" t="s">
        <v>658</v>
      </c>
      <c r="L39" s="550">
        <v>234.07</v>
      </c>
      <c r="M39" s="550">
        <v>234.07</v>
      </c>
      <c r="N39" s="547">
        <v>1</v>
      </c>
      <c r="O39" s="551">
        <v>0.5</v>
      </c>
      <c r="P39" s="550"/>
      <c r="Q39" s="552">
        <v>0</v>
      </c>
      <c r="R39" s="547"/>
      <c r="S39" s="552">
        <v>0</v>
      </c>
      <c r="T39" s="551"/>
      <c r="U39" s="553">
        <v>0</v>
      </c>
    </row>
    <row r="40" spans="1:21" ht="14.4" customHeight="1" x14ac:dyDescent="0.3">
      <c r="A40" s="546">
        <v>19</v>
      </c>
      <c r="B40" s="547" t="s">
        <v>429</v>
      </c>
      <c r="C40" s="547" t="s">
        <v>543</v>
      </c>
      <c r="D40" s="548" t="s">
        <v>724</v>
      </c>
      <c r="E40" s="549" t="s">
        <v>550</v>
      </c>
      <c r="F40" s="547" t="s">
        <v>542</v>
      </c>
      <c r="G40" s="547" t="s">
        <v>659</v>
      </c>
      <c r="H40" s="547" t="s">
        <v>430</v>
      </c>
      <c r="I40" s="547" t="s">
        <v>660</v>
      </c>
      <c r="J40" s="547" t="s">
        <v>661</v>
      </c>
      <c r="K40" s="547" t="s">
        <v>662</v>
      </c>
      <c r="L40" s="550">
        <v>93.71</v>
      </c>
      <c r="M40" s="550">
        <v>93.71</v>
      </c>
      <c r="N40" s="547">
        <v>1</v>
      </c>
      <c r="O40" s="551">
        <v>0.5</v>
      </c>
      <c r="P40" s="550"/>
      <c r="Q40" s="552">
        <v>0</v>
      </c>
      <c r="R40" s="547"/>
      <c r="S40" s="552">
        <v>0</v>
      </c>
      <c r="T40" s="551"/>
      <c r="U40" s="553">
        <v>0</v>
      </c>
    </row>
    <row r="41" spans="1:21" ht="14.4" customHeight="1" x14ac:dyDescent="0.3">
      <c r="A41" s="546">
        <v>19</v>
      </c>
      <c r="B41" s="547" t="s">
        <v>429</v>
      </c>
      <c r="C41" s="547" t="s">
        <v>543</v>
      </c>
      <c r="D41" s="548" t="s">
        <v>724</v>
      </c>
      <c r="E41" s="549" t="s">
        <v>550</v>
      </c>
      <c r="F41" s="547" t="s">
        <v>542</v>
      </c>
      <c r="G41" s="547" t="s">
        <v>582</v>
      </c>
      <c r="H41" s="547" t="s">
        <v>430</v>
      </c>
      <c r="I41" s="547" t="s">
        <v>583</v>
      </c>
      <c r="J41" s="547" t="s">
        <v>584</v>
      </c>
      <c r="K41" s="547" t="s">
        <v>585</v>
      </c>
      <c r="L41" s="550">
        <v>0</v>
      </c>
      <c r="M41" s="550">
        <v>0</v>
      </c>
      <c r="N41" s="547">
        <v>2</v>
      </c>
      <c r="O41" s="551">
        <v>0.5</v>
      </c>
      <c r="P41" s="550">
        <v>0</v>
      </c>
      <c r="Q41" s="552"/>
      <c r="R41" s="547">
        <v>2</v>
      </c>
      <c r="S41" s="552">
        <v>1</v>
      </c>
      <c r="T41" s="551">
        <v>0.5</v>
      </c>
      <c r="U41" s="553">
        <v>1</v>
      </c>
    </row>
    <row r="42" spans="1:21" ht="14.4" customHeight="1" x14ac:dyDescent="0.3">
      <c r="A42" s="546">
        <v>19</v>
      </c>
      <c r="B42" s="547" t="s">
        <v>429</v>
      </c>
      <c r="C42" s="547" t="s">
        <v>543</v>
      </c>
      <c r="D42" s="548" t="s">
        <v>724</v>
      </c>
      <c r="E42" s="549" t="s">
        <v>550</v>
      </c>
      <c r="F42" s="547" t="s">
        <v>542</v>
      </c>
      <c r="G42" s="547" t="s">
        <v>582</v>
      </c>
      <c r="H42" s="547" t="s">
        <v>430</v>
      </c>
      <c r="I42" s="547" t="s">
        <v>586</v>
      </c>
      <c r="J42" s="547" t="s">
        <v>584</v>
      </c>
      <c r="K42" s="547" t="s">
        <v>585</v>
      </c>
      <c r="L42" s="550">
        <v>0</v>
      </c>
      <c r="M42" s="550">
        <v>0</v>
      </c>
      <c r="N42" s="547">
        <v>2</v>
      </c>
      <c r="O42" s="551">
        <v>1</v>
      </c>
      <c r="P42" s="550">
        <v>0</v>
      </c>
      <c r="Q42" s="552"/>
      <c r="R42" s="547">
        <v>2</v>
      </c>
      <c r="S42" s="552">
        <v>1</v>
      </c>
      <c r="T42" s="551">
        <v>1</v>
      </c>
      <c r="U42" s="553">
        <v>1</v>
      </c>
    </row>
    <row r="43" spans="1:21" ht="14.4" customHeight="1" x14ac:dyDescent="0.3">
      <c r="A43" s="546">
        <v>19</v>
      </c>
      <c r="B43" s="547" t="s">
        <v>429</v>
      </c>
      <c r="C43" s="547" t="s">
        <v>543</v>
      </c>
      <c r="D43" s="548" t="s">
        <v>724</v>
      </c>
      <c r="E43" s="549" t="s">
        <v>550</v>
      </c>
      <c r="F43" s="547" t="s">
        <v>542</v>
      </c>
      <c r="G43" s="547" t="s">
        <v>663</v>
      </c>
      <c r="H43" s="547" t="s">
        <v>430</v>
      </c>
      <c r="I43" s="547" t="s">
        <v>664</v>
      </c>
      <c r="J43" s="547" t="s">
        <v>665</v>
      </c>
      <c r="K43" s="547" t="s">
        <v>666</v>
      </c>
      <c r="L43" s="550">
        <v>0</v>
      </c>
      <c r="M43" s="550">
        <v>0</v>
      </c>
      <c r="N43" s="547">
        <v>1</v>
      </c>
      <c r="O43" s="551">
        <v>1</v>
      </c>
      <c r="P43" s="550">
        <v>0</v>
      </c>
      <c r="Q43" s="552"/>
      <c r="R43" s="547">
        <v>1</v>
      </c>
      <c r="S43" s="552">
        <v>1</v>
      </c>
      <c r="T43" s="551">
        <v>1</v>
      </c>
      <c r="U43" s="553">
        <v>1</v>
      </c>
    </row>
    <row r="44" spans="1:21" ht="14.4" customHeight="1" x14ac:dyDescent="0.3">
      <c r="A44" s="546">
        <v>19</v>
      </c>
      <c r="B44" s="547" t="s">
        <v>429</v>
      </c>
      <c r="C44" s="547" t="s">
        <v>543</v>
      </c>
      <c r="D44" s="548" t="s">
        <v>724</v>
      </c>
      <c r="E44" s="549" t="s">
        <v>550</v>
      </c>
      <c r="F44" s="547" t="s">
        <v>542</v>
      </c>
      <c r="G44" s="547" t="s">
        <v>667</v>
      </c>
      <c r="H44" s="547" t="s">
        <v>485</v>
      </c>
      <c r="I44" s="547" t="s">
        <v>668</v>
      </c>
      <c r="J44" s="547" t="s">
        <v>669</v>
      </c>
      <c r="K44" s="547" t="s">
        <v>670</v>
      </c>
      <c r="L44" s="550">
        <v>300.68</v>
      </c>
      <c r="M44" s="550">
        <v>300.68</v>
      </c>
      <c r="N44" s="547">
        <v>1</v>
      </c>
      <c r="O44" s="551">
        <v>1</v>
      </c>
      <c r="P44" s="550"/>
      <c r="Q44" s="552">
        <v>0</v>
      </c>
      <c r="R44" s="547"/>
      <c r="S44" s="552">
        <v>0</v>
      </c>
      <c r="T44" s="551"/>
      <c r="U44" s="553">
        <v>0</v>
      </c>
    </row>
    <row r="45" spans="1:21" ht="14.4" customHeight="1" x14ac:dyDescent="0.3">
      <c r="A45" s="546">
        <v>19</v>
      </c>
      <c r="B45" s="547" t="s">
        <v>429</v>
      </c>
      <c r="C45" s="547" t="s">
        <v>543</v>
      </c>
      <c r="D45" s="548" t="s">
        <v>724</v>
      </c>
      <c r="E45" s="549" t="s">
        <v>551</v>
      </c>
      <c r="F45" s="547" t="s">
        <v>542</v>
      </c>
      <c r="G45" s="547" t="s">
        <v>671</v>
      </c>
      <c r="H45" s="547" t="s">
        <v>430</v>
      </c>
      <c r="I45" s="547" t="s">
        <v>672</v>
      </c>
      <c r="J45" s="547" t="s">
        <v>673</v>
      </c>
      <c r="K45" s="547" t="s">
        <v>674</v>
      </c>
      <c r="L45" s="550">
        <v>0</v>
      </c>
      <c r="M45" s="550">
        <v>0</v>
      </c>
      <c r="N45" s="547">
        <v>1</v>
      </c>
      <c r="O45" s="551">
        <v>0.5</v>
      </c>
      <c r="P45" s="550">
        <v>0</v>
      </c>
      <c r="Q45" s="552"/>
      <c r="R45" s="547">
        <v>1</v>
      </c>
      <c r="S45" s="552">
        <v>1</v>
      </c>
      <c r="T45" s="551">
        <v>0.5</v>
      </c>
      <c r="U45" s="553">
        <v>1</v>
      </c>
    </row>
    <row r="46" spans="1:21" ht="14.4" customHeight="1" x14ac:dyDescent="0.3">
      <c r="A46" s="546">
        <v>19</v>
      </c>
      <c r="B46" s="547" t="s">
        <v>429</v>
      </c>
      <c r="C46" s="547" t="s">
        <v>543</v>
      </c>
      <c r="D46" s="548" t="s">
        <v>724</v>
      </c>
      <c r="E46" s="549" t="s">
        <v>551</v>
      </c>
      <c r="F46" s="547" t="s">
        <v>542</v>
      </c>
      <c r="G46" s="547" t="s">
        <v>675</v>
      </c>
      <c r="H46" s="547" t="s">
        <v>430</v>
      </c>
      <c r="I46" s="547" t="s">
        <v>676</v>
      </c>
      <c r="J46" s="547" t="s">
        <v>677</v>
      </c>
      <c r="K46" s="547" t="s">
        <v>678</v>
      </c>
      <c r="L46" s="550">
        <v>79.48</v>
      </c>
      <c r="M46" s="550">
        <v>158.96</v>
      </c>
      <c r="N46" s="547">
        <v>2</v>
      </c>
      <c r="O46" s="551">
        <v>1</v>
      </c>
      <c r="P46" s="550"/>
      <c r="Q46" s="552">
        <v>0</v>
      </c>
      <c r="R46" s="547"/>
      <c r="S46" s="552">
        <v>0</v>
      </c>
      <c r="T46" s="551"/>
      <c r="U46" s="553">
        <v>0</v>
      </c>
    </row>
    <row r="47" spans="1:21" ht="14.4" customHeight="1" x14ac:dyDescent="0.3">
      <c r="A47" s="546">
        <v>19</v>
      </c>
      <c r="B47" s="547" t="s">
        <v>429</v>
      </c>
      <c r="C47" s="547" t="s">
        <v>543</v>
      </c>
      <c r="D47" s="548" t="s">
        <v>724</v>
      </c>
      <c r="E47" s="549" t="s">
        <v>551</v>
      </c>
      <c r="F47" s="547" t="s">
        <v>542</v>
      </c>
      <c r="G47" s="547" t="s">
        <v>679</v>
      </c>
      <c r="H47" s="547" t="s">
        <v>430</v>
      </c>
      <c r="I47" s="547" t="s">
        <v>680</v>
      </c>
      <c r="J47" s="547" t="s">
        <v>681</v>
      </c>
      <c r="K47" s="547" t="s">
        <v>682</v>
      </c>
      <c r="L47" s="550">
        <v>45.05</v>
      </c>
      <c r="M47" s="550">
        <v>90.1</v>
      </c>
      <c r="N47" s="547">
        <v>2</v>
      </c>
      <c r="O47" s="551">
        <v>1</v>
      </c>
      <c r="P47" s="550">
        <v>90.1</v>
      </c>
      <c r="Q47" s="552">
        <v>1</v>
      </c>
      <c r="R47" s="547">
        <v>2</v>
      </c>
      <c r="S47" s="552">
        <v>1</v>
      </c>
      <c r="T47" s="551">
        <v>1</v>
      </c>
      <c r="U47" s="553">
        <v>1</v>
      </c>
    </row>
    <row r="48" spans="1:21" ht="14.4" customHeight="1" x14ac:dyDescent="0.3">
      <c r="A48" s="546">
        <v>19</v>
      </c>
      <c r="B48" s="547" t="s">
        <v>429</v>
      </c>
      <c r="C48" s="547" t="s">
        <v>543</v>
      </c>
      <c r="D48" s="548" t="s">
        <v>724</v>
      </c>
      <c r="E48" s="549" t="s">
        <v>551</v>
      </c>
      <c r="F48" s="547" t="s">
        <v>542</v>
      </c>
      <c r="G48" s="547" t="s">
        <v>628</v>
      </c>
      <c r="H48" s="547" t="s">
        <v>430</v>
      </c>
      <c r="I48" s="547" t="s">
        <v>629</v>
      </c>
      <c r="J48" s="547" t="s">
        <v>630</v>
      </c>
      <c r="K48" s="547" t="s">
        <v>631</v>
      </c>
      <c r="L48" s="550">
        <v>0</v>
      </c>
      <c r="M48" s="550">
        <v>0</v>
      </c>
      <c r="N48" s="547">
        <v>2</v>
      </c>
      <c r="O48" s="551">
        <v>0.5</v>
      </c>
      <c r="P48" s="550">
        <v>0</v>
      </c>
      <c r="Q48" s="552"/>
      <c r="R48" s="547">
        <v>2</v>
      </c>
      <c r="S48" s="552">
        <v>1</v>
      </c>
      <c r="T48" s="551">
        <v>0.5</v>
      </c>
      <c r="U48" s="553">
        <v>1</v>
      </c>
    </row>
    <row r="49" spans="1:21" ht="14.4" customHeight="1" x14ac:dyDescent="0.3">
      <c r="A49" s="546">
        <v>19</v>
      </c>
      <c r="B49" s="547" t="s">
        <v>429</v>
      </c>
      <c r="C49" s="547" t="s">
        <v>543</v>
      </c>
      <c r="D49" s="548" t="s">
        <v>724</v>
      </c>
      <c r="E49" s="549" t="s">
        <v>551</v>
      </c>
      <c r="F49" s="547" t="s">
        <v>542</v>
      </c>
      <c r="G49" s="547" t="s">
        <v>683</v>
      </c>
      <c r="H49" s="547" t="s">
        <v>430</v>
      </c>
      <c r="I49" s="547" t="s">
        <v>684</v>
      </c>
      <c r="J49" s="547" t="s">
        <v>685</v>
      </c>
      <c r="K49" s="547" t="s">
        <v>686</v>
      </c>
      <c r="L49" s="550">
        <v>111.72</v>
      </c>
      <c r="M49" s="550">
        <v>335.15999999999997</v>
      </c>
      <c r="N49" s="547">
        <v>3</v>
      </c>
      <c r="O49" s="551">
        <v>2</v>
      </c>
      <c r="P49" s="550">
        <v>335.15999999999997</v>
      </c>
      <c r="Q49" s="552">
        <v>1</v>
      </c>
      <c r="R49" s="547">
        <v>3</v>
      </c>
      <c r="S49" s="552">
        <v>1</v>
      </c>
      <c r="T49" s="551">
        <v>2</v>
      </c>
      <c r="U49" s="553">
        <v>1</v>
      </c>
    </row>
    <row r="50" spans="1:21" ht="14.4" customHeight="1" x14ac:dyDescent="0.3">
      <c r="A50" s="546">
        <v>19</v>
      </c>
      <c r="B50" s="547" t="s">
        <v>429</v>
      </c>
      <c r="C50" s="547" t="s">
        <v>543</v>
      </c>
      <c r="D50" s="548" t="s">
        <v>724</v>
      </c>
      <c r="E50" s="549" t="s">
        <v>551</v>
      </c>
      <c r="F50" s="547" t="s">
        <v>542</v>
      </c>
      <c r="G50" s="547" t="s">
        <v>687</v>
      </c>
      <c r="H50" s="547" t="s">
        <v>430</v>
      </c>
      <c r="I50" s="547" t="s">
        <v>688</v>
      </c>
      <c r="J50" s="547" t="s">
        <v>689</v>
      </c>
      <c r="K50" s="547" t="s">
        <v>690</v>
      </c>
      <c r="L50" s="550">
        <v>300.33</v>
      </c>
      <c r="M50" s="550">
        <v>300.33</v>
      </c>
      <c r="N50" s="547">
        <v>1</v>
      </c>
      <c r="O50" s="551">
        <v>1</v>
      </c>
      <c r="P50" s="550"/>
      <c r="Q50" s="552">
        <v>0</v>
      </c>
      <c r="R50" s="547"/>
      <c r="S50" s="552">
        <v>0</v>
      </c>
      <c r="T50" s="551"/>
      <c r="U50" s="553">
        <v>0</v>
      </c>
    </row>
    <row r="51" spans="1:21" ht="14.4" customHeight="1" x14ac:dyDescent="0.3">
      <c r="A51" s="546">
        <v>19</v>
      </c>
      <c r="B51" s="547" t="s">
        <v>429</v>
      </c>
      <c r="C51" s="547" t="s">
        <v>543</v>
      </c>
      <c r="D51" s="548" t="s">
        <v>724</v>
      </c>
      <c r="E51" s="549" t="s">
        <v>551</v>
      </c>
      <c r="F51" s="547" t="s">
        <v>542</v>
      </c>
      <c r="G51" s="547" t="s">
        <v>691</v>
      </c>
      <c r="H51" s="547" t="s">
        <v>430</v>
      </c>
      <c r="I51" s="547" t="s">
        <v>692</v>
      </c>
      <c r="J51" s="547" t="s">
        <v>693</v>
      </c>
      <c r="K51" s="547" t="s">
        <v>694</v>
      </c>
      <c r="L51" s="550">
        <v>121.04</v>
      </c>
      <c r="M51" s="550">
        <v>242.08</v>
      </c>
      <c r="N51" s="547">
        <v>2</v>
      </c>
      <c r="O51" s="551">
        <v>1</v>
      </c>
      <c r="P51" s="550">
        <v>242.08</v>
      </c>
      <c r="Q51" s="552">
        <v>1</v>
      </c>
      <c r="R51" s="547">
        <v>2</v>
      </c>
      <c r="S51" s="552">
        <v>1</v>
      </c>
      <c r="T51" s="551">
        <v>1</v>
      </c>
      <c r="U51" s="553">
        <v>1</v>
      </c>
    </row>
    <row r="52" spans="1:21" ht="14.4" customHeight="1" x14ac:dyDescent="0.3">
      <c r="A52" s="546">
        <v>19</v>
      </c>
      <c r="B52" s="547" t="s">
        <v>429</v>
      </c>
      <c r="C52" s="547" t="s">
        <v>543</v>
      </c>
      <c r="D52" s="548" t="s">
        <v>724</v>
      </c>
      <c r="E52" s="549" t="s">
        <v>551</v>
      </c>
      <c r="F52" s="547" t="s">
        <v>542</v>
      </c>
      <c r="G52" s="547" t="s">
        <v>695</v>
      </c>
      <c r="H52" s="547" t="s">
        <v>430</v>
      </c>
      <c r="I52" s="547" t="s">
        <v>696</v>
      </c>
      <c r="J52" s="547" t="s">
        <v>697</v>
      </c>
      <c r="K52" s="547" t="s">
        <v>635</v>
      </c>
      <c r="L52" s="550">
        <v>0</v>
      </c>
      <c r="M52" s="550">
        <v>0</v>
      </c>
      <c r="N52" s="547">
        <v>2</v>
      </c>
      <c r="O52" s="551">
        <v>1</v>
      </c>
      <c r="P52" s="550">
        <v>0</v>
      </c>
      <c r="Q52" s="552"/>
      <c r="R52" s="547">
        <v>2</v>
      </c>
      <c r="S52" s="552">
        <v>1</v>
      </c>
      <c r="T52" s="551">
        <v>1</v>
      </c>
      <c r="U52" s="553">
        <v>1</v>
      </c>
    </row>
    <row r="53" spans="1:21" ht="14.4" customHeight="1" x14ac:dyDescent="0.3">
      <c r="A53" s="546">
        <v>19</v>
      </c>
      <c r="B53" s="547" t="s">
        <v>429</v>
      </c>
      <c r="C53" s="547" t="s">
        <v>543</v>
      </c>
      <c r="D53" s="548" t="s">
        <v>724</v>
      </c>
      <c r="E53" s="549" t="s">
        <v>552</v>
      </c>
      <c r="F53" s="547" t="s">
        <v>542</v>
      </c>
      <c r="G53" s="547" t="s">
        <v>698</v>
      </c>
      <c r="H53" s="547" t="s">
        <v>430</v>
      </c>
      <c r="I53" s="547" t="s">
        <v>699</v>
      </c>
      <c r="J53" s="547" t="s">
        <v>700</v>
      </c>
      <c r="K53" s="547" t="s">
        <v>701</v>
      </c>
      <c r="L53" s="550">
        <v>161.4</v>
      </c>
      <c r="M53" s="550">
        <v>322.8</v>
      </c>
      <c r="N53" s="547">
        <v>2</v>
      </c>
      <c r="O53" s="551">
        <v>0.5</v>
      </c>
      <c r="P53" s="550"/>
      <c r="Q53" s="552">
        <v>0</v>
      </c>
      <c r="R53" s="547"/>
      <c r="S53" s="552">
        <v>0</v>
      </c>
      <c r="T53" s="551"/>
      <c r="U53" s="553">
        <v>0</v>
      </c>
    </row>
    <row r="54" spans="1:21" ht="14.4" customHeight="1" x14ac:dyDescent="0.3">
      <c r="A54" s="546">
        <v>19</v>
      </c>
      <c r="B54" s="547" t="s">
        <v>429</v>
      </c>
      <c r="C54" s="547" t="s">
        <v>543</v>
      </c>
      <c r="D54" s="548" t="s">
        <v>724</v>
      </c>
      <c r="E54" s="549" t="s">
        <v>552</v>
      </c>
      <c r="F54" s="547" t="s">
        <v>542</v>
      </c>
      <c r="G54" s="547" t="s">
        <v>651</v>
      </c>
      <c r="H54" s="547" t="s">
        <v>485</v>
      </c>
      <c r="I54" s="547" t="s">
        <v>702</v>
      </c>
      <c r="J54" s="547" t="s">
        <v>703</v>
      </c>
      <c r="K54" s="547" t="s">
        <v>654</v>
      </c>
      <c r="L54" s="550">
        <v>101.68</v>
      </c>
      <c r="M54" s="550">
        <v>508.40000000000003</v>
      </c>
      <c r="N54" s="547">
        <v>5</v>
      </c>
      <c r="O54" s="551">
        <v>1</v>
      </c>
      <c r="P54" s="550"/>
      <c r="Q54" s="552">
        <v>0</v>
      </c>
      <c r="R54" s="547"/>
      <c r="S54" s="552">
        <v>0</v>
      </c>
      <c r="T54" s="551"/>
      <c r="U54" s="553">
        <v>0</v>
      </c>
    </row>
    <row r="55" spans="1:21" ht="14.4" customHeight="1" x14ac:dyDescent="0.3">
      <c r="A55" s="546">
        <v>19</v>
      </c>
      <c r="B55" s="547" t="s">
        <v>429</v>
      </c>
      <c r="C55" s="547" t="s">
        <v>543</v>
      </c>
      <c r="D55" s="548" t="s">
        <v>724</v>
      </c>
      <c r="E55" s="549" t="s">
        <v>552</v>
      </c>
      <c r="F55" s="547" t="s">
        <v>542</v>
      </c>
      <c r="G55" s="547" t="s">
        <v>704</v>
      </c>
      <c r="H55" s="547" t="s">
        <v>485</v>
      </c>
      <c r="I55" s="547" t="s">
        <v>705</v>
      </c>
      <c r="J55" s="547" t="s">
        <v>706</v>
      </c>
      <c r="K55" s="547" t="s">
        <v>707</v>
      </c>
      <c r="L55" s="550">
        <v>37.159999999999997</v>
      </c>
      <c r="M55" s="550">
        <v>111.47999999999999</v>
      </c>
      <c r="N55" s="547">
        <v>3</v>
      </c>
      <c r="O55" s="551">
        <v>0.5</v>
      </c>
      <c r="P55" s="550"/>
      <c r="Q55" s="552">
        <v>0</v>
      </c>
      <c r="R55" s="547"/>
      <c r="S55" s="552">
        <v>0</v>
      </c>
      <c r="T55" s="551"/>
      <c r="U55" s="553">
        <v>0</v>
      </c>
    </row>
    <row r="56" spans="1:21" ht="14.4" customHeight="1" x14ac:dyDescent="0.3">
      <c r="A56" s="546">
        <v>19</v>
      </c>
      <c r="B56" s="547" t="s">
        <v>429</v>
      </c>
      <c r="C56" s="547" t="s">
        <v>543</v>
      </c>
      <c r="D56" s="548" t="s">
        <v>724</v>
      </c>
      <c r="E56" s="549" t="s">
        <v>552</v>
      </c>
      <c r="F56" s="547" t="s">
        <v>542</v>
      </c>
      <c r="G56" s="547" t="s">
        <v>655</v>
      </c>
      <c r="H56" s="547" t="s">
        <v>430</v>
      </c>
      <c r="I56" s="547" t="s">
        <v>656</v>
      </c>
      <c r="J56" s="547" t="s">
        <v>657</v>
      </c>
      <c r="K56" s="547" t="s">
        <v>658</v>
      </c>
      <c r="L56" s="550">
        <v>234.07</v>
      </c>
      <c r="M56" s="550">
        <v>468.14</v>
      </c>
      <c r="N56" s="547">
        <v>2</v>
      </c>
      <c r="O56" s="551">
        <v>1</v>
      </c>
      <c r="P56" s="550"/>
      <c r="Q56" s="552">
        <v>0</v>
      </c>
      <c r="R56" s="547"/>
      <c r="S56" s="552">
        <v>0</v>
      </c>
      <c r="T56" s="551"/>
      <c r="U56" s="553">
        <v>0</v>
      </c>
    </row>
    <row r="57" spans="1:21" ht="14.4" customHeight="1" x14ac:dyDescent="0.3">
      <c r="A57" s="546">
        <v>19</v>
      </c>
      <c r="B57" s="547" t="s">
        <v>429</v>
      </c>
      <c r="C57" s="547" t="s">
        <v>543</v>
      </c>
      <c r="D57" s="548" t="s">
        <v>724</v>
      </c>
      <c r="E57" s="549" t="s">
        <v>552</v>
      </c>
      <c r="F57" s="547" t="s">
        <v>542</v>
      </c>
      <c r="G57" s="547" t="s">
        <v>708</v>
      </c>
      <c r="H57" s="547" t="s">
        <v>430</v>
      </c>
      <c r="I57" s="547" t="s">
        <v>709</v>
      </c>
      <c r="J57" s="547" t="s">
        <v>710</v>
      </c>
      <c r="K57" s="547" t="s">
        <v>711</v>
      </c>
      <c r="L57" s="550">
        <v>0</v>
      </c>
      <c r="M57" s="550">
        <v>0</v>
      </c>
      <c r="N57" s="547">
        <v>1</v>
      </c>
      <c r="O57" s="551">
        <v>0.5</v>
      </c>
      <c r="P57" s="550"/>
      <c r="Q57" s="552"/>
      <c r="R57" s="547"/>
      <c r="S57" s="552">
        <v>0</v>
      </c>
      <c r="T57" s="551"/>
      <c r="U57" s="553">
        <v>0</v>
      </c>
    </row>
    <row r="58" spans="1:21" ht="14.4" customHeight="1" x14ac:dyDescent="0.3">
      <c r="A58" s="546">
        <v>19</v>
      </c>
      <c r="B58" s="547" t="s">
        <v>429</v>
      </c>
      <c r="C58" s="547" t="s">
        <v>543</v>
      </c>
      <c r="D58" s="548" t="s">
        <v>724</v>
      </c>
      <c r="E58" s="549" t="s">
        <v>552</v>
      </c>
      <c r="F58" s="547" t="s">
        <v>542</v>
      </c>
      <c r="G58" s="547" t="s">
        <v>708</v>
      </c>
      <c r="H58" s="547" t="s">
        <v>430</v>
      </c>
      <c r="I58" s="547" t="s">
        <v>712</v>
      </c>
      <c r="J58" s="547" t="s">
        <v>710</v>
      </c>
      <c r="K58" s="547" t="s">
        <v>694</v>
      </c>
      <c r="L58" s="550">
        <v>124.3</v>
      </c>
      <c r="M58" s="550">
        <v>372.9</v>
      </c>
      <c r="N58" s="547">
        <v>3</v>
      </c>
      <c r="O58" s="551">
        <v>0.5</v>
      </c>
      <c r="P58" s="550"/>
      <c r="Q58" s="552">
        <v>0</v>
      </c>
      <c r="R58" s="547"/>
      <c r="S58" s="552">
        <v>0</v>
      </c>
      <c r="T58" s="551"/>
      <c r="U58" s="553">
        <v>0</v>
      </c>
    </row>
    <row r="59" spans="1:21" ht="14.4" customHeight="1" x14ac:dyDescent="0.3">
      <c r="A59" s="546">
        <v>19</v>
      </c>
      <c r="B59" s="547" t="s">
        <v>429</v>
      </c>
      <c r="C59" s="547" t="s">
        <v>543</v>
      </c>
      <c r="D59" s="548" t="s">
        <v>724</v>
      </c>
      <c r="E59" s="549" t="s">
        <v>553</v>
      </c>
      <c r="F59" s="547" t="s">
        <v>542</v>
      </c>
      <c r="G59" s="547" t="s">
        <v>683</v>
      </c>
      <c r="H59" s="547" t="s">
        <v>430</v>
      </c>
      <c r="I59" s="547" t="s">
        <v>684</v>
      </c>
      <c r="J59" s="547" t="s">
        <v>685</v>
      </c>
      <c r="K59" s="547" t="s">
        <v>686</v>
      </c>
      <c r="L59" s="550">
        <v>111.72</v>
      </c>
      <c r="M59" s="550">
        <v>111.72</v>
      </c>
      <c r="N59" s="547">
        <v>1</v>
      </c>
      <c r="O59" s="551">
        <v>0.5</v>
      </c>
      <c r="P59" s="550"/>
      <c r="Q59" s="552">
        <v>0</v>
      </c>
      <c r="R59" s="547"/>
      <c r="S59" s="552">
        <v>0</v>
      </c>
      <c r="T59" s="551"/>
      <c r="U59" s="553">
        <v>0</v>
      </c>
    </row>
    <row r="60" spans="1:21" ht="14.4" customHeight="1" x14ac:dyDescent="0.3">
      <c r="A60" s="546">
        <v>19</v>
      </c>
      <c r="B60" s="547" t="s">
        <v>429</v>
      </c>
      <c r="C60" s="547" t="s">
        <v>543</v>
      </c>
      <c r="D60" s="548" t="s">
        <v>724</v>
      </c>
      <c r="E60" s="549" t="s">
        <v>553</v>
      </c>
      <c r="F60" s="547" t="s">
        <v>542</v>
      </c>
      <c r="G60" s="547" t="s">
        <v>566</v>
      </c>
      <c r="H60" s="547" t="s">
        <v>430</v>
      </c>
      <c r="I60" s="547" t="s">
        <v>567</v>
      </c>
      <c r="J60" s="547" t="s">
        <v>568</v>
      </c>
      <c r="K60" s="547" t="s">
        <v>569</v>
      </c>
      <c r="L60" s="550">
        <v>40.01</v>
      </c>
      <c r="M60" s="550">
        <v>80.02</v>
      </c>
      <c r="N60" s="547">
        <v>2</v>
      </c>
      <c r="O60" s="551">
        <v>1</v>
      </c>
      <c r="P60" s="550">
        <v>80.02</v>
      </c>
      <c r="Q60" s="552">
        <v>1</v>
      </c>
      <c r="R60" s="547">
        <v>2</v>
      </c>
      <c r="S60" s="552">
        <v>1</v>
      </c>
      <c r="T60" s="551">
        <v>1</v>
      </c>
      <c r="U60" s="553">
        <v>1</v>
      </c>
    </row>
    <row r="61" spans="1:21" ht="14.4" customHeight="1" x14ac:dyDescent="0.3">
      <c r="A61" s="546">
        <v>19</v>
      </c>
      <c r="B61" s="547" t="s">
        <v>429</v>
      </c>
      <c r="C61" s="547" t="s">
        <v>543</v>
      </c>
      <c r="D61" s="548" t="s">
        <v>724</v>
      </c>
      <c r="E61" s="549" t="s">
        <v>553</v>
      </c>
      <c r="F61" s="547" t="s">
        <v>542</v>
      </c>
      <c r="G61" s="547" t="s">
        <v>566</v>
      </c>
      <c r="H61" s="547" t="s">
        <v>430</v>
      </c>
      <c r="I61" s="547" t="s">
        <v>567</v>
      </c>
      <c r="J61" s="547" t="s">
        <v>568</v>
      </c>
      <c r="K61" s="547" t="s">
        <v>569</v>
      </c>
      <c r="L61" s="550">
        <v>44.59</v>
      </c>
      <c r="M61" s="550">
        <v>267.54000000000002</v>
      </c>
      <c r="N61" s="547">
        <v>6</v>
      </c>
      <c r="O61" s="551">
        <v>3</v>
      </c>
      <c r="P61" s="550">
        <v>267.54000000000002</v>
      </c>
      <c r="Q61" s="552">
        <v>1</v>
      </c>
      <c r="R61" s="547">
        <v>6</v>
      </c>
      <c r="S61" s="552">
        <v>1</v>
      </c>
      <c r="T61" s="551">
        <v>3</v>
      </c>
      <c r="U61" s="553">
        <v>1</v>
      </c>
    </row>
    <row r="62" spans="1:21" ht="14.4" customHeight="1" x14ac:dyDescent="0.3">
      <c r="A62" s="546">
        <v>19</v>
      </c>
      <c r="B62" s="547" t="s">
        <v>429</v>
      </c>
      <c r="C62" s="547" t="s">
        <v>543</v>
      </c>
      <c r="D62" s="548" t="s">
        <v>724</v>
      </c>
      <c r="E62" s="549" t="s">
        <v>553</v>
      </c>
      <c r="F62" s="547" t="s">
        <v>542</v>
      </c>
      <c r="G62" s="547" t="s">
        <v>713</v>
      </c>
      <c r="H62" s="547" t="s">
        <v>430</v>
      </c>
      <c r="I62" s="547" t="s">
        <v>714</v>
      </c>
      <c r="J62" s="547" t="s">
        <v>715</v>
      </c>
      <c r="K62" s="547" t="s">
        <v>716</v>
      </c>
      <c r="L62" s="550">
        <v>38.56</v>
      </c>
      <c r="M62" s="550">
        <v>38.56</v>
      </c>
      <c r="N62" s="547">
        <v>1</v>
      </c>
      <c r="O62" s="551">
        <v>0.5</v>
      </c>
      <c r="P62" s="550"/>
      <c r="Q62" s="552">
        <v>0</v>
      </c>
      <c r="R62" s="547"/>
      <c r="S62" s="552">
        <v>0</v>
      </c>
      <c r="T62" s="551"/>
      <c r="U62" s="553">
        <v>0</v>
      </c>
    </row>
    <row r="63" spans="1:21" ht="14.4" customHeight="1" x14ac:dyDescent="0.3">
      <c r="A63" s="546">
        <v>19</v>
      </c>
      <c r="B63" s="547" t="s">
        <v>429</v>
      </c>
      <c r="C63" s="547" t="s">
        <v>543</v>
      </c>
      <c r="D63" s="548" t="s">
        <v>724</v>
      </c>
      <c r="E63" s="549" t="s">
        <v>553</v>
      </c>
      <c r="F63" s="547" t="s">
        <v>542</v>
      </c>
      <c r="G63" s="547" t="s">
        <v>574</v>
      </c>
      <c r="H63" s="547" t="s">
        <v>430</v>
      </c>
      <c r="I63" s="547" t="s">
        <v>575</v>
      </c>
      <c r="J63" s="547" t="s">
        <v>576</v>
      </c>
      <c r="K63" s="547" t="s">
        <v>577</v>
      </c>
      <c r="L63" s="550">
        <v>0</v>
      </c>
      <c r="M63" s="550">
        <v>0</v>
      </c>
      <c r="N63" s="547">
        <v>6</v>
      </c>
      <c r="O63" s="551">
        <v>2</v>
      </c>
      <c r="P63" s="550">
        <v>0</v>
      </c>
      <c r="Q63" s="552"/>
      <c r="R63" s="547">
        <v>2</v>
      </c>
      <c r="S63" s="552">
        <v>0.33333333333333331</v>
      </c>
      <c r="T63" s="551">
        <v>0.5</v>
      </c>
      <c r="U63" s="553">
        <v>0.25</v>
      </c>
    </row>
    <row r="64" spans="1:21" ht="14.4" customHeight="1" x14ac:dyDescent="0.3">
      <c r="A64" s="546">
        <v>19</v>
      </c>
      <c r="B64" s="547" t="s">
        <v>429</v>
      </c>
      <c r="C64" s="547" t="s">
        <v>543</v>
      </c>
      <c r="D64" s="548" t="s">
        <v>724</v>
      </c>
      <c r="E64" s="549" t="s">
        <v>553</v>
      </c>
      <c r="F64" s="547" t="s">
        <v>542</v>
      </c>
      <c r="G64" s="547" t="s">
        <v>663</v>
      </c>
      <c r="H64" s="547" t="s">
        <v>430</v>
      </c>
      <c r="I64" s="547" t="s">
        <v>664</v>
      </c>
      <c r="J64" s="547" t="s">
        <v>665</v>
      </c>
      <c r="K64" s="547" t="s">
        <v>666</v>
      </c>
      <c r="L64" s="550">
        <v>0</v>
      </c>
      <c r="M64" s="550">
        <v>0</v>
      </c>
      <c r="N64" s="547">
        <v>5</v>
      </c>
      <c r="O64" s="551">
        <v>2</v>
      </c>
      <c r="P64" s="550">
        <v>0</v>
      </c>
      <c r="Q64" s="552"/>
      <c r="R64" s="547">
        <v>2</v>
      </c>
      <c r="S64" s="552">
        <v>0.4</v>
      </c>
      <c r="T64" s="551">
        <v>1.5</v>
      </c>
      <c r="U64" s="553">
        <v>0.75</v>
      </c>
    </row>
    <row r="65" spans="1:21" ht="14.4" customHeight="1" x14ac:dyDescent="0.3">
      <c r="A65" s="546">
        <v>19</v>
      </c>
      <c r="B65" s="547" t="s">
        <v>429</v>
      </c>
      <c r="C65" s="547" t="s">
        <v>543</v>
      </c>
      <c r="D65" s="548" t="s">
        <v>724</v>
      </c>
      <c r="E65" s="549" t="s">
        <v>553</v>
      </c>
      <c r="F65" s="547" t="s">
        <v>542</v>
      </c>
      <c r="G65" s="547" t="s">
        <v>717</v>
      </c>
      <c r="H65" s="547" t="s">
        <v>430</v>
      </c>
      <c r="I65" s="547" t="s">
        <v>718</v>
      </c>
      <c r="J65" s="547" t="s">
        <v>719</v>
      </c>
      <c r="K65" s="547" t="s">
        <v>720</v>
      </c>
      <c r="L65" s="550">
        <v>0</v>
      </c>
      <c r="M65" s="550">
        <v>0</v>
      </c>
      <c r="N65" s="547">
        <v>1</v>
      </c>
      <c r="O65" s="551">
        <v>0.5</v>
      </c>
      <c r="P65" s="550"/>
      <c r="Q65" s="552"/>
      <c r="R65" s="547"/>
      <c r="S65" s="552">
        <v>0</v>
      </c>
      <c r="T65" s="551"/>
      <c r="U65" s="553">
        <v>0</v>
      </c>
    </row>
    <row r="66" spans="1:21" ht="14.4" customHeight="1" thickBot="1" x14ac:dyDescent="0.35">
      <c r="A66" s="554">
        <v>19</v>
      </c>
      <c r="B66" s="555" t="s">
        <v>429</v>
      </c>
      <c r="C66" s="555" t="s">
        <v>543</v>
      </c>
      <c r="D66" s="556" t="s">
        <v>724</v>
      </c>
      <c r="E66" s="557" t="s">
        <v>553</v>
      </c>
      <c r="F66" s="555" t="s">
        <v>542</v>
      </c>
      <c r="G66" s="555" t="s">
        <v>695</v>
      </c>
      <c r="H66" s="555" t="s">
        <v>430</v>
      </c>
      <c r="I66" s="555" t="s">
        <v>721</v>
      </c>
      <c r="J66" s="555" t="s">
        <v>722</v>
      </c>
      <c r="K66" s="555" t="s">
        <v>723</v>
      </c>
      <c r="L66" s="558">
        <v>0</v>
      </c>
      <c r="M66" s="558">
        <v>0</v>
      </c>
      <c r="N66" s="555">
        <v>1</v>
      </c>
      <c r="O66" s="559">
        <v>0.5</v>
      </c>
      <c r="P66" s="558"/>
      <c r="Q66" s="560"/>
      <c r="R66" s="555"/>
      <c r="S66" s="560">
        <v>0</v>
      </c>
      <c r="T66" s="559"/>
      <c r="U66" s="56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726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2" t="s">
        <v>167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71" t="s">
        <v>551</v>
      </c>
      <c r="B5" s="116">
        <v>542.41</v>
      </c>
      <c r="C5" s="545">
        <v>0.82920826135477654</v>
      </c>
      <c r="D5" s="116">
        <v>111.72</v>
      </c>
      <c r="E5" s="545">
        <v>0.17079173864522343</v>
      </c>
      <c r="F5" s="563">
        <v>654.13</v>
      </c>
    </row>
    <row r="6" spans="1:6" ht="14.4" customHeight="1" x14ac:dyDescent="0.3">
      <c r="A6" s="572" t="s">
        <v>553</v>
      </c>
      <c r="B6" s="564"/>
      <c r="C6" s="552">
        <v>0</v>
      </c>
      <c r="D6" s="564">
        <v>111.72</v>
      </c>
      <c r="E6" s="552">
        <v>1</v>
      </c>
      <c r="F6" s="565">
        <v>111.72</v>
      </c>
    </row>
    <row r="7" spans="1:6" ht="14.4" customHeight="1" x14ac:dyDescent="0.3">
      <c r="A7" s="572" t="s">
        <v>550</v>
      </c>
      <c r="B7" s="564"/>
      <c r="C7" s="552">
        <v>0</v>
      </c>
      <c r="D7" s="564">
        <v>480.15000000000003</v>
      </c>
      <c r="E7" s="552">
        <v>1</v>
      </c>
      <c r="F7" s="565">
        <v>480.15000000000003</v>
      </c>
    </row>
    <row r="8" spans="1:6" ht="14.4" customHeight="1" x14ac:dyDescent="0.3">
      <c r="A8" s="572" t="s">
        <v>549</v>
      </c>
      <c r="B8" s="564"/>
      <c r="C8" s="552">
        <v>0</v>
      </c>
      <c r="D8" s="564">
        <v>715.71</v>
      </c>
      <c r="E8" s="552">
        <v>1</v>
      </c>
      <c r="F8" s="565">
        <v>715.71</v>
      </c>
    </row>
    <row r="9" spans="1:6" ht="14.4" customHeight="1" x14ac:dyDescent="0.3">
      <c r="A9" s="572" t="s">
        <v>548</v>
      </c>
      <c r="B9" s="564"/>
      <c r="C9" s="552">
        <v>0</v>
      </c>
      <c r="D9" s="564">
        <v>48.37</v>
      </c>
      <c r="E9" s="552">
        <v>1</v>
      </c>
      <c r="F9" s="565">
        <v>48.37</v>
      </c>
    </row>
    <row r="10" spans="1:6" ht="14.4" customHeight="1" thickBot="1" x14ac:dyDescent="0.35">
      <c r="A10" s="573" t="s">
        <v>552</v>
      </c>
      <c r="B10" s="568"/>
      <c r="C10" s="569">
        <v>0</v>
      </c>
      <c r="D10" s="568">
        <v>619.88</v>
      </c>
      <c r="E10" s="569">
        <v>1</v>
      </c>
      <c r="F10" s="570">
        <v>619.88</v>
      </c>
    </row>
    <row r="11" spans="1:6" ht="14.4" customHeight="1" thickBot="1" x14ac:dyDescent="0.35">
      <c r="A11" s="486" t="s">
        <v>3</v>
      </c>
      <c r="B11" s="487">
        <v>542.41</v>
      </c>
      <c r="C11" s="488">
        <v>0.20624268049704175</v>
      </c>
      <c r="D11" s="487">
        <v>2087.5500000000002</v>
      </c>
      <c r="E11" s="488">
        <v>0.79375731950295825</v>
      </c>
      <c r="F11" s="489">
        <v>2629.96</v>
      </c>
    </row>
    <row r="12" spans="1:6" ht="14.4" customHeight="1" thickBot="1" x14ac:dyDescent="0.35"/>
    <row r="13" spans="1:6" ht="14.4" customHeight="1" x14ac:dyDescent="0.3">
      <c r="A13" s="571" t="s">
        <v>727</v>
      </c>
      <c r="B13" s="116">
        <v>300.33</v>
      </c>
      <c r="C13" s="545">
        <v>1</v>
      </c>
      <c r="D13" s="116"/>
      <c r="E13" s="545">
        <v>0</v>
      </c>
      <c r="F13" s="563">
        <v>300.33</v>
      </c>
    </row>
    <row r="14" spans="1:6" ht="14.4" customHeight="1" x14ac:dyDescent="0.3">
      <c r="A14" s="572" t="s">
        <v>728</v>
      </c>
      <c r="B14" s="564">
        <v>242.08</v>
      </c>
      <c r="C14" s="552">
        <v>1</v>
      </c>
      <c r="D14" s="564"/>
      <c r="E14" s="552">
        <v>0</v>
      </c>
      <c r="F14" s="565">
        <v>242.08</v>
      </c>
    </row>
    <row r="15" spans="1:6" ht="14.4" customHeight="1" x14ac:dyDescent="0.3">
      <c r="A15" s="572" t="s">
        <v>729</v>
      </c>
      <c r="B15" s="564"/>
      <c r="C15" s="552">
        <v>0</v>
      </c>
      <c r="D15" s="564">
        <v>610.08000000000004</v>
      </c>
      <c r="E15" s="552">
        <v>1</v>
      </c>
      <c r="F15" s="565">
        <v>610.08000000000004</v>
      </c>
    </row>
    <row r="16" spans="1:6" ht="14.4" customHeight="1" x14ac:dyDescent="0.3">
      <c r="A16" s="572" t="s">
        <v>730</v>
      </c>
      <c r="B16" s="564"/>
      <c r="C16" s="552">
        <v>0</v>
      </c>
      <c r="D16" s="564">
        <v>300.68</v>
      </c>
      <c r="E16" s="552">
        <v>1</v>
      </c>
      <c r="F16" s="565">
        <v>300.68</v>
      </c>
    </row>
    <row r="17" spans="1:6" ht="14.4" customHeight="1" x14ac:dyDescent="0.3">
      <c r="A17" s="572" t="s">
        <v>731</v>
      </c>
      <c r="B17" s="564"/>
      <c r="C17" s="552">
        <v>0</v>
      </c>
      <c r="D17" s="564">
        <v>111.47999999999999</v>
      </c>
      <c r="E17" s="552">
        <v>1</v>
      </c>
      <c r="F17" s="565">
        <v>111.47999999999999</v>
      </c>
    </row>
    <row r="18" spans="1:6" ht="14.4" customHeight="1" x14ac:dyDescent="0.3">
      <c r="A18" s="572" t="s">
        <v>732</v>
      </c>
      <c r="B18" s="564"/>
      <c r="C18" s="552">
        <v>0</v>
      </c>
      <c r="D18" s="564">
        <v>48.37</v>
      </c>
      <c r="E18" s="552">
        <v>1</v>
      </c>
      <c r="F18" s="565">
        <v>48.37</v>
      </c>
    </row>
    <row r="19" spans="1:6" ht="14.4" customHeight="1" x14ac:dyDescent="0.3">
      <c r="A19" s="572" t="s">
        <v>733</v>
      </c>
      <c r="B19" s="564"/>
      <c r="C19" s="552">
        <v>0</v>
      </c>
      <c r="D19" s="564">
        <v>223.44</v>
      </c>
      <c r="E19" s="552">
        <v>1</v>
      </c>
      <c r="F19" s="565">
        <v>223.44</v>
      </c>
    </row>
    <row r="20" spans="1:6" ht="14.4" customHeight="1" x14ac:dyDescent="0.3">
      <c r="A20" s="572" t="s">
        <v>734</v>
      </c>
      <c r="B20" s="564"/>
      <c r="C20" s="552"/>
      <c r="D20" s="564">
        <v>0</v>
      </c>
      <c r="E20" s="552"/>
      <c r="F20" s="565">
        <v>0</v>
      </c>
    </row>
    <row r="21" spans="1:6" ht="14.4" customHeight="1" x14ac:dyDescent="0.3">
      <c r="A21" s="572" t="s">
        <v>735</v>
      </c>
      <c r="B21" s="564"/>
      <c r="C21" s="552">
        <v>0</v>
      </c>
      <c r="D21" s="564">
        <v>340.97</v>
      </c>
      <c r="E21" s="552">
        <v>1</v>
      </c>
      <c r="F21" s="565">
        <v>340.97</v>
      </c>
    </row>
    <row r="22" spans="1:6" ht="14.4" customHeight="1" x14ac:dyDescent="0.3">
      <c r="A22" s="572" t="s">
        <v>736</v>
      </c>
      <c r="B22" s="564"/>
      <c r="C22" s="552">
        <v>0</v>
      </c>
      <c r="D22" s="564">
        <v>77.790000000000006</v>
      </c>
      <c r="E22" s="552">
        <v>1</v>
      </c>
      <c r="F22" s="565">
        <v>77.790000000000006</v>
      </c>
    </row>
    <row r="23" spans="1:6" ht="14.4" customHeight="1" thickBot="1" x14ac:dyDescent="0.35">
      <c r="A23" s="573" t="s">
        <v>737</v>
      </c>
      <c r="B23" s="568"/>
      <c r="C23" s="569">
        <v>0</v>
      </c>
      <c r="D23" s="568">
        <v>374.74</v>
      </c>
      <c r="E23" s="569">
        <v>1</v>
      </c>
      <c r="F23" s="570">
        <v>374.74</v>
      </c>
    </row>
    <row r="24" spans="1:6" ht="14.4" customHeight="1" thickBot="1" x14ac:dyDescent="0.35">
      <c r="A24" s="486" t="s">
        <v>3</v>
      </c>
      <c r="B24" s="487">
        <v>542.41</v>
      </c>
      <c r="C24" s="488">
        <v>0.20624268049704175</v>
      </c>
      <c r="D24" s="487">
        <v>2087.5500000000002</v>
      </c>
      <c r="E24" s="488">
        <v>0.79375731950295825</v>
      </c>
      <c r="F24" s="489">
        <v>2629.96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{F6CF69F8-4454-4B0A-8814-D33A0EBE208E}</x14:id>
        </ext>
      </extLst>
    </cfRule>
  </conditionalFormatting>
  <conditionalFormatting sqref="F13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{8004E030-E5E7-435B-924A-194A644712C3}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F69F8-4454-4B0A-8814-D33A0EBE20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8004E030-E5E7-435B-924A-194A644712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749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3</v>
      </c>
      <c r="G3" s="43">
        <f>SUBTOTAL(9,G6:G1048576)</f>
        <v>542.41</v>
      </c>
      <c r="H3" s="44">
        <f>IF(M3=0,0,G3/M3)</f>
        <v>0.20624268049704181</v>
      </c>
      <c r="I3" s="43">
        <f>SUBTOTAL(9,I6:I1048576)</f>
        <v>18</v>
      </c>
      <c r="J3" s="43">
        <f>SUBTOTAL(9,J6:J1048576)</f>
        <v>2087.5500000000002</v>
      </c>
      <c r="K3" s="44">
        <f>IF(M3=0,0,J3/M3)</f>
        <v>0.79375731950295847</v>
      </c>
      <c r="L3" s="43">
        <f>SUBTOTAL(9,L6:L1048576)</f>
        <v>21</v>
      </c>
      <c r="M3" s="45">
        <f>SUBTOTAL(9,M6:M1048576)</f>
        <v>2629.9599999999996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136</v>
      </c>
      <c r="B5" s="574" t="s">
        <v>132</v>
      </c>
      <c r="C5" s="574" t="s">
        <v>71</v>
      </c>
      <c r="D5" s="574" t="s">
        <v>133</v>
      </c>
      <c r="E5" s="574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x14ac:dyDescent="0.3">
      <c r="A6" s="539" t="s">
        <v>548</v>
      </c>
      <c r="B6" s="540" t="s">
        <v>738</v>
      </c>
      <c r="C6" s="540" t="s">
        <v>571</v>
      </c>
      <c r="D6" s="540" t="s">
        <v>572</v>
      </c>
      <c r="E6" s="540" t="s">
        <v>573</v>
      </c>
      <c r="F6" s="116"/>
      <c r="G6" s="116"/>
      <c r="H6" s="545">
        <v>0</v>
      </c>
      <c r="I6" s="116">
        <v>1</v>
      </c>
      <c r="J6" s="116">
        <v>48.37</v>
      </c>
      <c r="K6" s="545">
        <v>1</v>
      </c>
      <c r="L6" s="116">
        <v>1</v>
      </c>
      <c r="M6" s="563">
        <v>48.37</v>
      </c>
    </row>
    <row r="7" spans="1:13" ht="14.4" customHeight="1" x14ac:dyDescent="0.3">
      <c r="A7" s="546" t="s">
        <v>549</v>
      </c>
      <c r="B7" s="547" t="s">
        <v>739</v>
      </c>
      <c r="C7" s="547" t="s">
        <v>602</v>
      </c>
      <c r="D7" s="547" t="s">
        <v>603</v>
      </c>
      <c r="E7" s="547" t="s">
        <v>604</v>
      </c>
      <c r="F7" s="564"/>
      <c r="G7" s="564"/>
      <c r="H7" s="552"/>
      <c r="I7" s="564">
        <v>1</v>
      </c>
      <c r="J7" s="564">
        <v>0</v>
      </c>
      <c r="K7" s="552"/>
      <c r="L7" s="564">
        <v>1</v>
      </c>
      <c r="M7" s="565">
        <v>0</v>
      </c>
    </row>
    <row r="8" spans="1:13" ht="14.4" customHeight="1" x14ac:dyDescent="0.3">
      <c r="A8" s="546" t="s">
        <v>549</v>
      </c>
      <c r="B8" s="547" t="s">
        <v>740</v>
      </c>
      <c r="C8" s="547" t="s">
        <v>606</v>
      </c>
      <c r="D8" s="547" t="s">
        <v>607</v>
      </c>
      <c r="E8" s="547" t="s">
        <v>594</v>
      </c>
      <c r="F8" s="564"/>
      <c r="G8" s="564"/>
      <c r="H8" s="552">
        <v>0</v>
      </c>
      <c r="I8" s="564">
        <v>1</v>
      </c>
      <c r="J8" s="564">
        <v>374.74</v>
      </c>
      <c r="K8" s="552">
        <v>1</v>
      </c>
      <c r="L8" s="564">
        <v>1</v>
      </c>
      <c r="M8" s="565">
        <v>374.74</v>
      </c>
    </row>
    <row r="9" spans="1:13" ht="14.4" customHeight="1" x14ac:dyDescent="0.3">
      <c r="A9" s="546" t="s">
        <v>549</v>
      </c>
      <c r="B9" s="547" t="s">
        <v>741</v>
      </c>
      <c r="C9" s="547" t="s">
        <v>592</v>
      </c>
      <c r="D9" s="547" t="s">
        <v>593</v>
      </c>
      <c r="E9" s="547" t="s">
        <v>594</v>
      </c>
      <c r="F9" s="564"/>
      <c r="G9" s="564"/>
      <c r="H9" s="552">
        <v>0</v>
      </c>
      <c r="I9" s="564">
        <v>1</v>
      </c>
      <c r="J9" s="564">
        <v>340.97</v>
      </c>
      <c r="K9" s="552">
        <v>1</v>
      </c>
      <c r="L9" s="564">
        <v>1</v>
      </c>
      <c r="M9" s="565">
        <v>340.97</v>
      </c>
    </row>
    <row r="10" spans="1:13" ht="14.4" customHeight="1" x14ac:dyDescent="0.3">
      <c r="A10" s="546" t="s">
        <v>550</v>
      </c>
      <c r="B10" s="547" t="s">
        <v>742</v>
      </c>
      <c r="C10" s="547" t="s">
        <v>652</v>
      </c>
      <c r="D10" s="547" t="s">
        <v>653</v>
      </c>
      <c r="E10" s="547" t="s">
        <v>654</v>
      </c>
      <c r="F10" s="564"/>
      <c r="G10" s="564"/>
      <c r="H10" s="552">
        <v>0</v>
      </c>
      <c r="I10" s="564">
        <v>1</v>
      </c>
      <c r="J10" s="564">
        <v>101.68</v>
      </c>
      <c r="K10" s="552">
        <v>1</v>
      </c>
      <c r="L10" s="564">
        <v>1</v>
      </c>
      <c r="M10" s="565">
        <v>101.68</v>
      </c>
    </row>
    <row r="11" spans="1:13" ht="14.4" customHeight="1" x14ac:dyDescent="0.3">
      <c r="A11" s="546" t="s">
        <v>550</v>
      </c>
      <c r="B11" s="547" t="s">
        <v>739</v>
      </c>
      <c r="C11" s="547" t="s">
        <v>640</v>
      </c>
      <c r="D11" s="547" t="s">
        <v>641</v>
      </c>
      <c r="E11" s="547" t="s">
        <v>642</v>
      </c>
      <c r="F11" s="564"/>
      <c r="G11" s="564"/>
      <c r="H11" s="552"/>
      <c r="I11" s="564">
        <v>1</v>
      </c>
      <c r="J11" s="564">
        <v>0</v>
      </c>
      <c r="K11" s="552"/>
      <c r="L11" s="564">
        <v>1</v>
      </c>
      <c r="M11" s="565">
        <v>0</v>
      </c>
    </row>
    <row r="12" spans="1:13" ht="14.4" customHeight="1" x14ac:dyDescent="0.3">
      <c r="A12" s="546" t="s">
        <v>550</v>
      </c>
      <c r="B12" s="547" t="s">
        <v>743</v>
      </c>
      <c r="C12" s="547" t="s">
        <v>644</v>
      </c>
      <c r="D12" s="547" t="s">
        <v>645</v>
      </c>
      <c r="E12" s="547" t="s">
        <v>646</v>
      </c>
      <c r="F12" s="564"/>
      <c r="G12" s="564"/>
      <c r="H12" s="552">
        <v>0</v>
      </c>
      <c r="I12" s="564">
        <v>1</v>
      </c>
      <c r="J12" s="564">
        <v>77.790000000000006</v>
      </c>
      <c r="K12" s="552">
        <v>1</v>
      </c>
      <c r="L12" s="564">
        <v>1</v>
      </c>
      <c r="M12" s="565">
        <v>77.790000000000006</v>
      </c>
    </row>
    <row r="13" spans="1:13" ht="14.4" customHeight="1" x14ac:dyDescent="0.3">
      <c r="A13" s="546" t="s">
        <v>550</v>
      </c>
      <c r="B13" s="547" t="s">
        <v>744</v>
      </c>
      <c r="C13" s="547" t="s">
        <v>668</v>
      </c>
      <c r="D13" s="547" t="s">
        <v>669</v>
      </c>
      <c r="E13" s="547" t="s">
        <v>670</v>
      </c>
      <c r="F13" s="564"/>
      <c r="G13" s="564"/>
      <c r="H13" s="552">
        <v>0</v>
      </c>
      <c r="I13" s="564">
        <v>1</v>
      </c>
      <c r="J13" s="564">
        <v>300.68</v>
      </c>
      <c r="K13" s="552">
        <v>1</v>
      </c>
      <c r="L13" s="564">
        <v>1</v>
      </c>
      <c r="M13" s="565">
        <v>300.68</v>
      </c>
    </row>
    <row r="14" spans="1:13" ht="14.4" customHeight="1" x14ac:dyDescent="0.3">
      <c r="A14" s="546" t="s">
        <v>551</v>
      </c>
      <c r="B14" s="547" t="s">
        <v>745</v>
      </c>
      <c r="C14" s="547" t="s">
        <v>688</v>
      </c>
      <c r="D14" s="547" t="s">
        <v>689</v>
      </c>
      <c r="E14" s="547" t="s">
        <v>690</v>
      </c>
      <c r="F14" s="564">
        <v>1</v>
      </c>
      <c r="G14" s="564">
        <v>300.33</v>
      </c>
      <c r="H14" s="552">
        <v>1</v>
      </c>
      <c r="I14" s="564"/>
      <c r="J14" s="564"/>
      <c r="K14" s="552">
        <v>0</v>
      </c>
      <c r="L14" s="564">
        <v>1</v>
      </c>
      <c r="M14" s="565">
        <v>300.33</v>
      </c>
    </row>
    <row r="15" spans="1:13" ht="14.4" customHeight="1" x14ac:dyDescent="0.3">
      <c r="A15" s="546" t="s">
        <v>551</v>
      </c>
      <c r="B15" s="547" t="s">
        <v>746</v>
      </c>
      <c r="C15" s="547" t="s">
        <v>692</v>
      </c>
      <c r="D15" s="547" t="s">
        <v>693</v>
      </c>
      <c r="E15" s="547" t="s">
        <v>694</v>
      </c>
      <c r="F15" s="564">
        <v>2</v>
      </c>
      <c r="G15" s="564">
        <v>242.08</v>
      </c>
      <c r="H15" s="552">
        <v>1</v>
      </c>
      <c r="I15" s="564"/>
      <c r="J15" s="564"/>
      <c r="K15" s="552">
        <v>0</v>
      </c>
      <c r="L15" s="564">
        <v>2</v>
      </c>
      <c r="M15" s="565">
        <v>242.08</v>
      </c>
    </row>
    <row r="16" spans="1:13" ht="14.4" customHeight="1" x14ac:dyDescent="0.3">
      <c r="A16" s="546" t="s">
        <v>551</v>
      </c>
      <c r="B16" s="547" t="s">
        <v>747</v>
      </c>
      <c r="C16" s="547" t="s">
        <v>684</v>
      </c>
      <c r="D16" s="547" t="s">
        <v>685</v>
      </c>
      <c r="E16" s="547" t="s">
        <v>686</v>
      </c>
      <c r="F16" s="564"/>
      <c r="G16" s="564"/>
      <c r="H16" s="552">
        <v>0</v>
      </c>
      <c r="I16" s="564">
        <v>1</v>
      </c>
      <c r="J16" s="564">
        <v>111.72</v>
      </c>
      <c r="K16" s="552">
        <v>1</v>
      </c>
      <c r="L16" s="564">
        <v>1</v>
      </c>
      <c r="M16" s="565">
        <v>111.72</v>
      </c>
    </row>
    <row r="17" spans="1:13" ht="14.4" customHeight="1" x14ac:dyDescent="0.3">
      <c r="A17" s="546" t="s">
        <v>552</v>
      </c>
      <c r="B17" s="547" t="s">
        <v>742</v>
      </c>
      <c r="C17" s="547" t="s">
        <v>702</v>
      </c>
      <c r="D17" s="547" t="s">
        <v>703</v>
      </c>
      <c r="E17" s="547" t="s">
        <v>654</v>
      </c>
      <c r="F17" s="564"/>
      <c r="G17" s="564"/>
      <c r="H17" s="552">
        <v>0</v>
      </c>
      <c r="I17" s="564">
        <v>5</v>
      </c>
      <c r="J17" s="564">
        <v>508.40000000000003</v>
      </c>
      <c r="K17" s="552">
        <v>1</v>
      </c>
      <c r="L17" s="564">
        <v>5</v>
      </c>
      <c r="M17" s="565">
        <v>508.40000000000003</v>
      </c>
    </row>
    <row r="18" spans="1:13" ht="14.4" customHeight="1" x14ac:dyDescent="0.3">
      <c r="A18" s="546" t="s">
        <v>552</v>
      </c>
      <c r="B18" s="547" t="s">
        <v>748</v>
      </c>
      <c r="C18" s="547" t="s">
        <v>705</v>
      </c>
      <c r="D18" s="547" t="s">
        <v>706</v>
      </c>
      <c r="E18" s="547" t="s">
        <v>707</v>
      </c>
      <c r="F18" s="564"/>
      <c r="G18" s="564"/>
      <c r="H18" s="552">
        <v>0</v>
      </c>
      <c r="I18" s="564">
        <v>3</v>
      </c>
      <c r="J18" s="564">
        <v>111.47999999999999</v>
      </c>
      <c r="K18" s="552">
        <v>1</v>
      </c>
      <c r="L18" s="564">
        <v>3</v>
      </c>
      <c r="M18" s="565">
        <v>111.47999999999999</v>
      </c>
    </row>
    <row r="19" spans="1:13" ht="14.4" customHeight="1" thickBot="1" x14ac:dyDescent="0.35">
      <c r="A19" s="554" t="s">
        <v>553</v>
      </c>
      <c r="B19" s="555" t="s">
        <v>747</v>
      </c>
      <c r="C19" s="555" t="s">
        <v>684</v>
      </c>
      <c r="D19" s="555" t="s">
        <v>685</v>
      </c>
      <c r="E19" s="555" t="s">
        <v>686</v>
      </c>
      <c r="F19" s="566"/>
      <c r="G19" s="566"/>
      <c r="H19" s="560">
        <v>0</v>
      </c>
      <c r="I19" s="566">
        <v>1</v>
      </c>
      <c r="J19" s="566">
        <v>111.72</v>
      </c>
      <c r="K19" s="560">
        <v>1</v>
      </c>
      <c r="L19" s="566">
        <v>1</v>
      </c>
      <c r="M19" s="567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428</v>
      </c>
      <c r="B5" s="447" t="s">
        <v>429</v>
      </c>
      <c r="C5" s="448" t="s">
        <v>430</v>
      </c>
      <c r="D5" s="448" t="s">
        <v>430</v>
      </c>
      <c r="E5" s="448"/>
      <c r="F5" s="448" t="s">
        <v>430</v>
      </c>
      <c r="G5" s="448" t="s">
        <v>430</v>
      </c>
      <c r="H5" s="448" t="s">
        <v>430</v>
      </c>
      <c r="I5" s="449" t="s">
        <v>430</v>
      </c>
      <c r="J5" s="450" t="s">
        <v>69</v>
      </c>
    </row>
    <row r="6" spans="1:10" ht="14.4" customHeight="1" x14ac:dyDescent="0.3">
      <c r="A6" s="446" t="s">
        <v>428</v>
      </c>
      <c r="B6" s="447" t="s">
        <v>295</v>
      </c>
      <c r="C6" s="448">
        <v>0.77176999999899998</v>
      </c>
      <c r="D6" s="448">
        <v>4.9694699999999994</v>
      </c>
      <c r="E6" s="448"/>
      <c r="F6" s="448">
        <v>4.84511</v>
      </c>
      <c r="G6" s="448">
        <v>5.9677131453646668</v>
      </c>
      <c r="H6" s="448">
        <v>-1.1226031453646668</v>
      </c>
      <c r="I6" s="449">
        <v>0.81188721407686426</v>
      </c>
      <c r="J6" s="450" t="s">
        <v>1</v>
      </c>
    </row>
    <row r="7" spans="1:10" ht="14.4" customHeight="1" x14ac:dyDescent="0.3">
      <c r="A7" s="446" t="s">
        <v>428</v>
      </c>
      <c r="B7" s="447" t="s">
        <v>296</v>
      </c>
      <c r="C7" s="448">
        <v>0.48746</v>
      </c>
      <c r="D7" s="448">
        <v>0.49342999999999998</v>
      </c>
      <c r="E7" s="448"/>
      <c r="F7" s="448">
        <v>0.46737000000000001</v>
      </c>
      <c r="G7" s="448">
        <v>0.66666664566799994</v>
      </c>
      <c r="H7" s="448">
        <v>-0.19929664566799993</v>
      </c>
      <c r="I7" s="449">
        <v>0.70105502208183113</v>
      </c>
      <c r="J7" s="450" t="s">
        <v>1</v>
      </c>
    </row>
    <row r="8" spans="1:10" ht="14.4" customHeight="1" x14ac:dyDescent="0.3">
      <c r="A8" s="446" t="s">
        <v>428</v>
      </c>
      <c r="B8" s="447" t="s">
        <v>297</v>
      </c>
      <c r="C8" s="448">
        <v>6.8212399999989994</v>
      </c>
      <c r="D8" s="448">
        <v>4.9854500000000002</v>
      </c>
      <c r="E8" s="448"/>
      <c r="F8" s="448">
        <v>5.0459499999999995</v>
      </c>
      <c r="G8" s="448">
        <v>8.3333330708529996</v>
      </c>
      <c r="H8" s="448">
        <v>-3.2873830708530001</v>
      </c>
      <c r="I8" s="449">
        <v>0.60551401907226254</v>
      </c>
      <c r="J8" s="450" t="s">
        <v>1</v>
      </c>
    </row>
    <row r="9" spans="1:10" ht="14.4" customHeight="1" x14ac:dyDescent="0.3">
      <c r="A9" s="446" t="s">
        <v>428</v>
      </c>
      <c r="B9" s="447" t="s">
        <v>298</v>
      </c>
      <c r="C9" s="448">
        <v>11.153</v>
      </c>
      <c r="D9" s="448">
        <v>4.8999999999999995</v>
      </c>
      <c r="E9" s="448"/>
      <c r="F9" s="448">
        <v>4.9000000000000004</v>
      </c>
      <c r="G9" s="448">
        <v>10.666666330692333</v>
      </c>
      <c r="H9" s="448">
        <v>-5.7666663306923329</v>
      </c>
      <c r="I9" s="449">
        <v>0.45937501446920764</v>
      </c>
      <c r="J9" s="450" t="s">
        <v>1</v>
      </c>
    </row>
    <row r="10" spans="1:10" ht="14.4" customHeight="1" x14ac:dyDescent="0.3">
      <c r="A10" s="446" t="s">
        <v>428</v>
      </c>
      <c r="B10" s="447" t="s">
        <v>299</v>
      </c>
      <c r="C10" s="448">
        <v>0.43399999999900002</v>
      </c>
      <c r="D10" s="448">
        <v>0.65</v>
      </c>
      <c r="E10" s="448"/>
      <c r="F10" s="448">
        <v>1.4690000000000001</v>
      </c>
      <c r="G10" s="448">
        <v>1.1479999638406666</v>
      </c>
      <c r="H10" s="448">
        <v>0.32100003615933348</v>
      </c>
      <c r="I10" s="449">
        <v>1.2796167650436319</v>
      </c>
      <c r="J10" s="450" t="s">
        <v>1</v>
      </c>
    </row>
    <row r="11" spans="1:10" ht="14.4" customHeight="1" x14ac:dyDescent="0.3">
      <c r="A11" s="446" t="s">
        <v>428</v>
      </c>
      <c r="B11" s="447" t="s">
        <v>300</v>
      </c>
      <c r="C11" s="448">
        <v>0.71899999999899999</v>
      </c>
      <c r="D11" s="448">
        <v>0.46300000000000002</v>
      </c>
      <c r="E11" s="448"/>
      <c r="F11" s="448">
        <v>0.56799999999999995</v>
      </c>
      <c r="G11" s="448">
        <v>0.99999996850200001</v>
      </c>
      <c r="H11" s="448">
        <v>-0.43199996850200006</v>
      </c>
      <c r="I11" s="449">
        <v>0.56800001789086452</v>
      </c>
      <c r="J11" s="450" t="s">
        <v>1</v>
      </c>
    </row>
    <row r="12" spans="1:10" ht="14.4" customHeight="1" x14ac:dyDescent="0.3">
      <c r="A12" s="446" t="s">
        <v>428</v>
      </c>
      <c r="B12" s="447" t="s">
        <v>432</v>
      </c>
      <c r="C12" s="448">
        <v>20.386469999995999</v>
      </c>
      <c r="D12" s="448">
        <v>16.461349999999999</v>
      </c>
      <c r="E12" s="448"/>
      <c r="F12" s="448">
        <v>17.29543</v>
      </c>
      <c r="G12" s="448">
        <v>27.782379124920666</v>
      </c>
      <c r="H12" s="448">
        <v>-10.486949124920667</v>
      </c>
      <c r="I12" s="449">
        <v>0.62253235845039923</v>
      </c>
      <c r="J12" s="450" t="s">
        <v>433</v>
      </c>
    </row>
    <row r="14" spans="1:10" ht="14.4" customHeight="1" x14ac:dyDescent="0.3">
      <c r="A14" s="446" t="s">
        <v>428</v>
      </c>
      <c r="B14" s="447" t="s">
        <v>429</v>
      </c>
      <c r="C14" s="448" t="s">
        <v>430</v>
      </c>
      <c r="D14" s="448" t="s">
        <v>430</v>
      </c>
      <c r="E14" s="448"/>
      <c r="F14" s="448" t="s">
        <v>430</v>
      </c>
      <c r="G14" s="448" t="s">
        <v>430</v>
      </c>
      <c r="H14" s="448" t="s">
        <v>430</v>
      </c>
      <c r="I14" s="449" t="s">
        <v>430</v>
      </c>
      <c r="J14" s="450" t="s">
        <v>69</v>
      </c>
    </row>
    <row r="15" spans="1:10" ht="14.4" customHeight="1" x14ac:dyDescent="0.3">
      <c r="A15" s="446" t="s">
        <v>434</v>
      </c>
      <c r="B15" s="447" t="s">
        <v>435</v>
      </c>
      <c r="C15" s="448" t="s">
        <v>430</v>
      </c>
      <c r="D15" s="448" t="s">
        <v>430</v>
      </c>
      <c r="E15" s="448"/>
      <c r="F15" s="448" t="s">
        <v>430</v>
      </c>
      <c r="G15" s="448" t="s">
        <v>430</v>
      </c>
      <c r="H15" s="448" t="s">
        <v>430</v>
      </c>
      <c r="I15" s="449" t="s">
        <v>430</v>
      </c>
      <c r="J15" s="450" t="s">
        <v>0</v>
      </c>
    </row>
    <row r="16" spans="1:10" ht="14.4" customHeight="1" x14ac:dyDescent="0.3">
      <c r="A16" s="446" t="s">
        <v>434</v>
      </c>
      <c r="B16" s="447" t="s">
        <v>295</v>
      </c>
      <c r="C16" s="448">
        <v>0.77176999999899998</v>
      </c>
      <c r="D16" s="448">
        <v>4.9694699999999994</v>
      </c>
      <c r="E16" s="448"/>
      <c r="F16" s="448">
        <v>4.84511</v>
      </c>
      <c r="G16" s="448">
        <v>5.9677131453646668</v>
      </c>
      <c r="H16" s="448">
        <v>-1.1226031453646668</v>
      </c>
      <c r="I16" s="449">
        <v>0.81188721407686426</v>
      </c>
      <c r="J16" s="450" t="s">
        <v>1</v>
      </c>
    </row>
    <row r="17" spans="1:10" ht="14.4" customHeight="1" x14ac:dyDescent="0.3">
      <c r="A17" s="446" t="s">
        <v>434</v>
      </c>
      <c r="B17" s="447" t="s">
        <v>296</v>
      </c>
      <c r="C17" s="448">
        <v>0.27145000000000002</v>
      </c>
      <c r="D17" s="448">
        <v>0.40006999999999998</v>
      </c>
      <c r="E17" s="448"/>
      <c r="F17" s="448">
        <v>0.27542</v>
      </c>
      <c r="G17" s="448">
        <v>0.38919437552399999</v>
      </c>
      <c r="H17" s="448">
        <v>-0.11377437552399999</v>
      </c>
      <c r="I17" s="449">
        <v>0.70766695851958938</v>
      </c>
      <c r="J17" s="450" t="s">
        <v>1</v>
      </c>
    </row>
    <row r="18" spans="1:10" ht="14.4" customHeight="1" x14ac:dyDescent="0.3">
      <c r="A18" s="446" t="s">
        <v>434</v>
      </c>
      <c r="B18" s="447" t="s">
        <v>297</v>
      </c>
      <c r="C18" s="448">
        <v>3.7479899999999997</v>
      </c>
      <c r="D18" s="448">
        <v>3.35155</v>
      </c>
      <c r="E18" s="448"/>
      <c r="F18" s="448">
        <v>3.4607999999999999</v>
      </c>
      <c r="G18" s="448">
        <v>5.5294090265316669</v>
      </c>
      <c r="H18" s="448">
        <v>-2.068609026531667</v>
      </c>
      <c r="I18" s="449">
        <v>0.62588967164376941</v>
      </c>
      <c r="J18" s="450" t="s">
        <v>1</v>
      </c>
    </row>
    <row r="19" spans="1:10" ht="14.4" customHeight="1" x14ac:dyDescent="0.3">
      <c r="A19" s="446" t="s">
        <v>434</v>
      </c>
      <c r="B19" s="447" t="s">
        <v>298</v>
      </c>
      <c r="C19" s="448">
        <v>11.153</v>
      </c>
      <c r="D19" s="448">
        <v>4.8999999999999995</v>
      </c>
      <c r="E19" s="448"/>
      <c r="F19" s="448">
        <v>4.9000000000000004</v>
      </c>
      <c r="G19" s="448">
        <v>10.666666330692333</v>
      </c>
      <c r="H19" s="448">
        <v>-5.7666663306923329</v>
      </c>
      <c r="I19" s="449">
        <v>0.45937501446920764</v>
      </c>
      <c r="J19" s="450" t="s">
        <v>1</v>
      </c>
    </row>
    <row r="20" spans="1:10" ht="14.4" customHeight="1" x14ac:dyDescent="0.3">
      <c r="A20" s="446" t="s">
        <v>434</v>
      </c>
      <c r="B20" s="447" t="s">
        <v>299</v>
      </c>
      <c r="C20" s="448">
        <v>0.31699999999900003</v>
      </c>
      <c r="D20" s="448">
        <v>0.53</v>
      </c>
      <c r="E20" s="448"/>
      <c r="F20" s="448">
        <v>1.2290000000000001</v>
      </c>
      <c r="G20" s="448">
        <v>0.85199997316399989</v>
      </c>
      <c r="H20" s="448">
        <v>0.3770000268360002</v>
      </c>
      <c r="I20" s="449">
        <v>1.442488308345794</v>
      </c>
      <c r="J20" s="450" t="s">
        <v>1</v>
      </c>
    </row>
    <row r="21" spans="1:10" ht="14.4" customHeight="1" x14ac:dyDescent="0.3">
      <c r="A21" s="446" t="s">
        <v>434</v>
      </c>
      <c r="B21" s="447" t="s">
        <v>300</v>
      </c>
      <c r="C21" s="448">
        <v>0.39200000000000002</v>
      </c>
      <c r="D21" s="448">
        <v>0.38500000000000001</v>
      </c>
      <c r="E21" s="448"/>
      <c r="F21" s="448">
        <v>0.28399999999999997</v>
      </c>
      <c r="G21" s="448">
        <v>0.69138957754066677</v>
      </c>
      <c r="H21" s="448">
        <v>-0.40738957754066679</v>
      </c>
      <c r="I21" s="449">
        <v>0.4107669673156093</v>
      </c>
      <c r="J21" s="450" t="s">
        <v>1</v>
      </c>
    </row>
    <row r="22" spans="1:10" ht="14.4" customHeight="1" x14ac:dyDescent="0.3">
      <c r="A22" s="446" t="s">
        <v>434</v>
      </c>
      <c r="B22" s="447" t="s">
        <v>436</v>
      </c>
      <c r="C22" s="448">
        <v>16.653209999997998</v>
      </c>
      <c r="D22" s="448">
        <v>14.536089999999998</v>
      </c>
      <c r="E22" s="448"/>
      <c r="F22" s="448">
        <v>14.994330000000003</v>
      </c>
      <c r="G22" s="448">
        <v>24.096372428817329</v>
      </c>
      <c r="H22" s="448">
        <v>-9.1020424288173256</v>
      </c>
      <c r="I22" s="449">
        <v>0.62226503363917085</v>
      </c>
      <c r="J22" s="450" t="s">
        <v>437</v>
      </c>
    </row>
    <row r="23" spans="1:10" ht="14.4" customHeight="1" x14ac:dyDescent="0.3">
      <c r="A23" s="446" t="s">
        <v>430</v>
      </c>
      <c r="B23" s="447" t="s">
        <v>430</v>
      </c>
      <c r="C23" s="448" t="s">
        <v>430</v>
      </c>
      <c r="D23" s="448" t="s">
        <v>430</v>
      </c>
      <c r="E23" s="448"/>
      <c r="F23" s="448" t="s">
        <v>430</v>
      </c>
      <c r="G23" s="448" t="s">
        <v>430</v>
      </c>
      <c r="H23" s="448" t="s">
        <v>430</v>
      </c>
      <c r="I23" s="449" t="s">
        <v>430</v>
      </c>
      <c r="J23" s="450" t="s">
        <v>438</v>
      </c>
    </row>
    <row r="24" spans="1:10" ht="14.4" customHeight="1" x14ac:dyDescent="0.3">
      <c r="A24" s="446" t="s">
        <v>750</v>
      </c>
      <c r="B24" s="447" t="s">
        <v>751</v>
      </c>
      <c r="C24" s="448" t="s">
        <v>430</v>
      </c>
      <c r="D24" s="448" t="s">
        <v>430</v>
      </c>
      <c r="E24" s="448"/>
      <c r="F24" s="448" t="s">
        <v>430</v>
      </c>
      <c r="G24" s="448" t="s">
        <v>430</v>
      </c>
      <c r="H24" s="448" t="s">
        <v>430</v>
      </c>
      <c r="I24" s="449" t="s">
        <v>430</v>
      </c>
      <c r="J24" s="450" t="s">
        <v>0</v>
      </c>
    </row>
    <row r="25" spans="1:10" ht="14.4" customHeight="1" x14ac:dyDescent="0.3">
      <c r="A25" s="446" t="s">
        <v>750</v>
      </c>
      <c r="B25" s="447" t="s">
        <v>295</v>
      </c>
      <c r="C25" s="448">
        <v>0</v>
      </c>
      <c r="D25" s="448">
        <v>0</v>
      </c>
      <c r="E25" s="448"/>
      <c r="F25" s="448" t="s">
        <v>430</v>
      </c>
      <c r="G25" s="448" t="s">
        <v>430</v>
      </c>
      <c r="H25" s="448" t="s">
        <v>430</v>
      </c>
      <c r="I25" s="449" t="s">
        <v>430</v>
      </c>
      <c r="J25" s="450" t="s">
        <v>1</v>
      </c>
    </row>
    <row r="26" spans="1:10" ht="14.4" customHeight="1" x14ac:dyDescent="0.3">
      <c r="A26" s="446" t="s">
        <v>750</v>
      </c>
      <c r="B26" s="447" t="s">
        <v>296</v>
      </c>
      <c r="C26" s="448">
        <v>0.21600999999999998</v>
      </c>
      <c r="D26" s="448">
        <v>9.3359999999999999E-2</v>
      </c>
      <c r="E26" s="448"/>
      <c r="F26" s="448">
        <v>0.19195000000000001</v>
      </c>
      <c r="G26" s="448">
        <v>0.277472270144</v>
      </c>
      <c r="H26" s="448">
        <v>-8.552227014399999E-2</v>
      </c>
      <c r="I26" s="449">
        <v>0.69178083957861292</v>
      </c>
      <c r="J26" s="450" t="s">
        <v>1</v>
      </c>
    </row>
    <row r="27" spans="1:10" ht="14.4" customHeight="1" x14ac:dyDescent="0.3">
      <c r="A27" s="446" t="s">
        <v>750</v>
      </c>
      <c r="B27" s="447" t="s">
        <v>297</v>
      </c>
      <c r="C27" s="448">
        <v>3.0732499999990002</v>
      </c>
      <c r="D27" s="448">
        <v>1.6339000000000001</v>
      </c>
      <c r="E27" s="448"/>
      <c r="F27" s="448">
        <v>1.5851499999999998</v>
      </c>
      <c r="G27" s="448">
        <v>2.8039240443213331</v>
      </c>
      <c r="H27" s="448">
        <v>-1.2187740443213333</v>
      </c>
      <c r="I27" s="449">
        <v>0.56533271762847359</v>
      </c>
      <c r="J27" s="450" t="s">
        <v>1</v>
      </c>
    </row>
    <row r="28" spans="1:10" ht="14.4" customHeight="1" x14ac:dyDescent="0.3">
      <c r="A28" s="446" t="s">
        <v>750</v>
      </c>
      <c r="B28" s="447" t="s">
        <v>299</v>
      </c>
      <c r="C28" s="448">
        <v>0.11699999999999999</v>
      </c>
      <c r="D28" s="448">
        <v>0.12</v>
      </c>
      <c r="E28" s="448"/>
      <c r="F28" s="448">
        <v>0.24</v>
      </c>
      <c r="G28" s="448">
        <v>0.29599999067666666</v>
      </c>
      <c r="H28" s="448">
        <v>-5.5999990676666667E-2</v>
      </c>
      <c r="I28" s="449">
        <v>0.810810836349526</v>
      </c>
      <c r="J28" s="450" t="s">
        <v>1</v>
      </c>
    </row>
    <row r="29" spans="1:10" ht="14.4" customHeight="1" x14ac:dyDescent="0.3">
      <c r="A29" s="446" t="s">
        <v>750</v>
      </c>
      <c r="B29" s="447" t="s">
        <v>300</v>
      </c>
      <c r="C29" s="448">
        <v>0.32699999999899998</v>
      </c>
      <c r="D29" s="448">
        <v>7.8E-2</v>
      </c>
      <c r="E29" s="448"/>
      <c r="F29" s="448">
        <v>0.28399999999999997</v>
      </c>
      <c r="G29" s="448">
        <v>0.3086103909613333</v>
      </c>
      <c r="H29" s="448">
        <v>-2.4610390961333328E-2</v>
      </c>
      <c r="I29" s="449">
        <v>0.9202541726327782</v>
      </c>
      <c r="J29" s="450" t="s">
        <v>1</v>
      </c>
    </row>
    <row r="30" spans="1:10" ht="14.4" customHeight="1" x14ac:dyDescent="0.3">
      <c r="A30" s="446" t="s">
        <v>750</v>
      </c>
      <c r="B30" s="447" t="s">
        <v>752</v>
      </c>
      <c r="C30" s="448">
        <v>3.7332599999979998</v>
      </c>
      <c r="D30" s="448">
        <v>1.9252600000000004</v>
      </c>
      <c r="E30" s="448"/>
      <c r="F30" s="448">
        <v>2.3010999999999999</v>
      </c>
      <c r="G30" s="448">
        <v>3.6860066961033331</v>
      </c>
      <c r="H30" s="448">
        <v>-1.3849066961033332</v>
      </c>
      <c r="I30" s="449">
        <v>0.62427992939693</v>
      </c>
      <c r="J30" s="450" t="s">
        <v>437</v>
      </c>
    </row>
    <row r="31" spans="1:10" ht="14.4" customHeight="1" x14ac:dyDescent="0.3">
      <c r="A31" s="446" t="s">
        <v>430</v>
      </c>
      <c r="B31" s="447" t="s">
        <v>430</v>
      </c>
      <c r="C31" s="448" t="s">
        <v>430</v>
      </c>
      <c r="D31" s="448" t="s">
        <v>430</v>
      </c>
      <c r="E31" s="448"/>
      <c r="F31" s="448" t="s">
        <v>430</v>
      </c>
      <c r="G31" s="448" t="s">
        <v>430</v>
      </c>
      <c r="H31" s="448" t="s">
        <v>430</v>
      </c>
      <c r="I31" s="449" t="s">
        <v>430</v>
      </c>
      <c r="J31" s="450" t="s">
        <v>438</v>
      </c>
    </row>
    <row r="32" spans="1:10" ht="14.4" customHeight="1" x14ac:dyDescent="0.3">
      <c r="A32" s="446" t="s">
        <v>439</v>
      </c>
      <c r="B32" s="447" t="s">
        <v>440</v>
      </c>
      <c r="C32" s="448" t="s">
        <v>430</v>
      </c>
      <c r="D32" s="448" t="s">
        <v>430</v>
      </c>
      <c r="E32" s="448"/>
      <c r="F32" s="448" t="s">
        <v>430</v>
      </c>
      <c r="G32" s="448" t="s">
        <v>430</v>
      </c>
      <c r="H32" s="448" t="s">
        <v>430</v>
      </c>
      <c r="I32" s="449" t="s">
        <v>430</v>
      </c>
      <c r="J32" s="450" t="s">
        <v>0</v>
      </c>
    </row>
    <row r="33" spans="1:10" ht="14.4" customHeight="1" x14ac:dyDescent="0.3">
      <c r="A33" s="446" t="s">
        <v>439</v>
      </c>
      <c r="B33" s="447" t="s">
        <v>297</v>
      </c>
      <c r="C33" s="448">
        <v>0</v>
      </c>
      <c r="D33" s="448" t="s">
        <v>430</v>
      </c>
      <c r="E33" s="448"/>
      <c r="F33" s="448" t="s">
        <v>430</v>
      </c>
      <c r="G33" s="448" t="s">
        <v>430</v>
      </c>
      <c r="H33" s="448" t="s">
        <v>430</v>
      </c>
      <c r="I33" s="449" t="s">
        <v>430</v>
      </c>
      <c r="J33" s="450" t="s">
        <v>1</v>
      </c>
    </row>
    <row r="34" spans="1:10" ht="14.4" customHeight="1" x14ac:dyDescent="0.3">
      <c r="A34" s="446" t="s">
        <v>439</v>
      </c>
      <c r="B34" s="447" t="s">
        <v>299</v>
      </c>
      <c r="C34" s="448">
        <v>0</v>
      </c>
      <c r="D34" s="448" t="s">
        <v>430</v>
      </c>
      <c r="E34" s="448"/>
      <c r="F34" s="448" t="s">
        <v>430</v>
      </c>
      <c r="G34" s="448" t="s">
        <v>430</v>
      </c>
      <c r="H34" s="448" t="s">
        <v>430</v>
      </c>
      <c r="I34" s="449" t="s">
        <v>430</v>
      </c>
      <c r="J34" s="450" t="s">
        <v>1</v>
      </c>
    </row>
    <row r="35" spans="1:10" ht="14.4" customHeight="1" x14ac:dyDescent="0.3">
      <c r="A35" s="446" t="s">
        <v>439</v>
      </c>
      <c r="B35" s="447" t="s">
        <v>441</v>
      </c>
      <c r="C35" s="448">
        <v>0</v>
      </c>
      <c r="D35" s="448" t="s">
        <v>430</v>
      </c>
      <c r="E35" s="448"/>
      <c r="F35" s="448" t="s">
        <v>430</v>
      </c>
      <c r="G35" s="448" t="s">
        <v>430</v>
      </c>
      <c r="H35" s="448" t="s">
        <v>430</v>
      </c>
      <c r="I35" s="449" t="s">
        <v>430</v>
      </c>
      <c r="J35" s="450" t="s">
        <v>437</v>
      </c>
    </row>
    <row r="36" spans="1:10" ht="14.4" customHeight="1" x14ac:dyDescent="0.3">
      <c r="A36" s="446" t="s">
        <v>430</v>
      </c>
      <c r="B36" s="447" t="s">
        <v>430</v>
      </c>
      <c r="C36" s="448" t="s">
        <v>430</v>
      </c>
      <c r="D36" s="448" t="s">
        <v>430</v>
      </c>
      <c r="E36" s="448"/>
      <c r="F36" s="448" t="s">
        <v>430</v>
      </c>
      <c r="G36" s="448" t="s">
        <v>430</v>
      </c>
      <c r="H36" s="448" t="s">
        <v>430</v>
      </c>
      <c r="I36" s="449" t="s">
        <v>430</v>
      </c>
      <c r="J36" s="450" t="s">
        <v>438</v>
      </c>
    </row>
    <row r="37" spans="1:10" ht="14.4" customHeight="1" x14ac:dyDescent="0.3">
      <c r="A37" s="446" t="s">
        <v>428</v>
      </c>
      <c r="B37" s="447" t="s">
        <v>432</v>
      </c>
      <c r="C37" s="448">
        <v>20.386469999995999</v>
      </c>
      <c r="D37" s="448">
        <v>16.461349999999999</v>
      </c>
      <c r="E37" s="448"/>
      <c r="F37" s="448">
        <v>17.29543</v>
      </c>
      <c r="G37" s="448">
        <v>27.782379124920663</v>
      </c>
      <c r="H37" s="448">
        <v>-10.486949124920663</v>
      </c>
      <c r="I37" s="449">
        <v>0.62253235845039923</v>
      </c>
      <c r="J37" s="450" t="s">
        <v>433</v>
      </c>
    </row>
  </sheetData>
  <mergeCells count="3">
    <mergeCell ref="A1:I1"/>
    <mergeCell ref="F3:I3"/>
    <mergeCell ref="C4:D4"/>
  </mergeCells>
  <conditionalFormatting sqref="F13 F38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7">
    <cfRule type="expression" dxfId="11" priority="5">
      <formula>$H14&gt;0</formula>
    </cfRule>
  </conditionalFormatting>
  <conditionalFormatting sqref="A14:A37">
    <cfRule type="expression" dxfId="10" priority="2">
      <formula>AND($J14&lt;&gt;"mezeraKL",$J14&lt;&gt;"")</formula>
    </cfRule>
  </conditionalFormatting>
  <conditionalFormatting sqref="I14:I37">
    <cfRule type="expression" dxfId="9" priority="6">
      <formula>$I14&gt;1</formula>
    </cfRule>
  </conditionalFormatting>
  <conditionalFormatting sqref="B14:B37">
    <cfRule type="expression" dxfId="8" priority="1">
      <formula>OR($J14="NS",$J14="SumaNS",$J14="Účet")</formula>
    </cfRule>
  </conditionalFormatting>
  <conditionalFormatting sqref="A14:D37 F14:I37">
    <cfRule type="expression" dxfId="7" priority="8">
      <formula>AND($J14&lt;&gt;"",$J14&lt;&gt;"mezeraKL")</formula>
    </cfRule>
  </conditionalFormatting>
  <conditionalFormatting sqref="B14:D37 F14:I37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824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2.9246370138405742</v>
      </c>
      <c r="J3" s="98">
        <f>SUBTOTAL(9,J5:J1048576)</f>
        <v>5923</v>
      </c>
      <c r="K3" s="99">
        <f>SUBTOTAL(9,K5:K1048576)</f>
        <v>17322.625032977721</v>
      </c>
    </row>
    <row r="4" spans="1:11" s="209" customFormat="1" ht="14.4" customHeight="1" thickBot="1" x14ac:dyDescent="0.3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539" t="s">
        <v>428</v>
      </c>
      <c r="B5" s="540" t="s">
        <v>429</v>
      </c>
      <c r="C5" s="543" t="s">
        <v>434</v>
      </c>
      <c r="D5" s="577" t="s">
        <v>531</v>
      </c>
      <c r="E5" s="543" t="s">
        <v>811</v>
      </c>
      <c r="F5" s="577" t="s">
        <v>812</v>
      </c>
      <c r="G5" s="543" t="s">
        <v>753</v>
      </c>
      <c r="H5" s="543" t="s">
        <v>754</v>
      </c>
      <c r="I5" s="116">
        <v>4.3</v>
      </c>
      <c r="J5" s="116">
        <v>10</v>
      </c>
      <c r="K5" s="563">
        <v>43</v>
      </c>
    </row>
    <row r="6" spans="1:11" ht="14.4" customHeight="1" x14ac:dyDescent="0.3">
      <c r="A6" s="546" t="s">
        <v>428</v>
      </c>
      <c r="B6" s="547" t="s">
        <v>429</v>
      </c>
      <c r="C6" s="550" t="s">
        <v>434</v>
      </c>
      <c r="D6" s="578" t="s">
        <v>531</v>
      </c>
      <c r="E6" s="550" t="s">
        <v>811</v>
      </c>
      <c r="F6" s="578" t="s">
        <v>812</v>
      </c>
      <c r="G6" s="550" t="s">
        <v>755</v>
      </c>
      <c r="H6" s="550" t="s">
        <v>756</v>
      </c>
      <c r="I6" s="564">
        <v>27.37</v>
      </c>
      <c r="J6" s="564">
        <v>3</v>
      </c>
      <c r="K6" s="565">
        <v>82.11</v>
      </c>
    </row>
    <row r="7" spans="1:11" ht="14.4" customHeight="1" x14ac:dyDescent="0.3">
      <c r="A7" s="546" t="s">
        <v>428</v>
      </c>
      <c r="B7" s="547" t="s">
        <v>429</v>
      </c>
      <c r="C7" s="550" t="s">
        <v>434</v>
      </c>
      <c r="D7" s="578" t="s">
        <v>531</v>
      </c>
      <c r="E7" s="550" t="s">
        <v>811</v>
      </c>
      <c r="F7" s="578" t="s">
        <v>812</v>
      </c>
      <c r="G7" s="550" t="s">
        <v>757</v>
      </c>
      <c r="H7" s="550" t="s">
        <v>758</v>
      </c>
      <c r="I7" s="564">
        <v>13.02</v>
      </c>
      <c r="J7" s="564">
        <v>5</v>
      </c>
      <c r="K7" s="565">
        <v>65.099999999999994</v>
      </c>
    </row>
    <row r="8" spans="1:11" ht="14.4" customHeight="1" x14ac:dyDescent="0.3">
      <c r="A8" s="546" t="s">
        <v>428</v>
      </c>
      <c r="B8" s="547" t="s">
        <v>429</v>
      </c>
      <c r="C8" s="550" t="s">
        <v>434</v>
      </c>
      <c r="D8" s="578" t="s">
        <v>531</v>
      </c>
      <c r="E8" s="550" t="s">
        <v>811</v>
      </c>
      <c r="F8" s="578" t="s">
        <v>812</v>
      </c>
      <c r="G8" s="550" t="s">
        <v>759</v>
      </c>
      <c r="H8" s="550" t="s">
        <v>760</v>
      </c>
      <c r="I8" s="564">
        <v>28.403333333333336</v>
      </c>
      <c r="J8" s="564">
        <v>3</v>
      </c>
      <c r="K8" s="565">
        <v>85.210000000000008</v>
      </c>
    </row>
    <row r="9" spans="1:11" ht="14.4" customHeight="1" x14ac:dyDescent="0.3">
      <c r="A9" s="546" t="s">
        <v>428</v>
      </c>
      <c r="B9" s="547" t="s">
        <v>429</v>
      </c>
      <c r="C9" s="550" t="s">
        <v>434</v>
      </c>
      <c r="D9" s="578" t="s">
        <v>531</v>
      </c>
      <c r="E9" s="550" t="s">
        <v>813</v>
      </c>
      <c r="F9" s="578" t="s">
        <v>814</v>
      </c>
      <c r="G9" s="550" t="s">
        <v>761</v>
      </c>
      <c r="H9" s="550" t="s">
        <v>762</v>
      </c>
      <c r="I9" s="564">
        <v>1.81</v>
      </c>
      <c r="J9" s="564">
        <v>100</v>
      </c>
      <c r="K9" s="565">
        <v>181</v>
      </c>
    </row>
    <row r="10" spans="1:11" ht="14.4" customHeight="1" x14ac:dyDescent="0.3">
      <c r="A10" s="546" t="s">
        <v>428</v>
      </c>
      <c r="B10" s="547" t="s">
        <v>429</v>
      </c>
      <c r="C10" s="550" t="s">
        <v>434</v>
      </c>
      <c r="D10" s="578" t="s">
        <v>531</v>
      </c>
      <c r="E10" s="550" t="s">
        <v>813</v>
      </c>
      <c r="F10" s="578" t="s">
        <v>814</v>
      </c>
      <c r="G10" s="550" t="s">
        <v>763</v>
      </c>
      <c r="H10" s="550" t="s">
        <v>764</v>
      </c>
      <c r="I10" s="564">
        <v>1.9</v>
      </c>
      <c r="J10" s="564">
        <v>100</v>
      </c>
      <c r="K10" s="565">
        <v>190</v>
      </c>
    </row>
    <row r="11" spans="1:11" ht="14.4" customHeight="1" x14ac:dyDescent="0.3">
      <c r="A11" s="546" t="s">
        <v>428</v>
      </c>
      <c r="B11" s="547" t="s">
        <v>429</v>
      </c>
      <c r="C11" s="550" t="s">
        <v>434</v>
      </c>
      <c r="D11" s="578" t="s">
        <v>531</v>
      </c>
      <c r="E11" s="550" t="s">
        <v>813</v>
      </c>
      <c r="F11" s="578" t="s">
        <v>814</v>
      </c>
      <c r="G11" s="550" t="s">
        <v>765</v>
      </c>
      <c r="H11" s="550" t="s">
        <v>766</v>
      </c>
      <c r="I11" s="564">
        <v>1.9849999999999999</v>
      </c>
      <c r="J11" s="564">
        <v>200</v>
      </c>
      <c r="K11" s="565">
        <v>397</v>
      </c>
    </row>
    <row r="12" spans="1:11" ht="14.4" customHeight="1" x14ac:dyDescent="0.3">
      <c r="A12" s="546" t="s">
        <v>428</v>
      </c>
      <c r="B12" s="547" t="s">
        <v>429</v>
      </c>
      <c r="C12" s="550" t="s">
        <v>434</v>
      </c>
      <c r="D12" s="578" t="s">
        <v>531</v>
      </c>
      <c r="E12" s="550" t="s">
        <v>813</v>
      </c>
      <c r="F12" s="578" t="s">
        <v>814</v>
      </c>
      <c r="G12" s="550" t="s">
        <v>767</v>
      </c>
      <c r="H12" s="550" t="s">
        <v>768</v>
      </c>
      <c r="I12" s="564">
        <v>1.7749999999999999</v>
      </c>
      <c r="J12" s="564">
        <v>150</v>
      </c>
      <c r="K12" s="565">
        <v>265</v>
      </c>
    </row>
    <row r="13" spans="1:11" ht="14.4" customHeight="1" x14ac:dyDescent="0.3">
      <c r="A13" s="546" t="s">
        <v>428</v>
      </c>
      <c r="B13" s="547" t="s">
        <v>429</v>
      </c>
      <c r="C13" s="550" t="s">
        <v>434</v>
      </c>
      <c r="D13" s="578" t="s">
        <v>531</v>
      </c>
      <c r="E13" s="550" t="s">
        <v>813</v>
      </c>
      <c r="F13" s="578" t="s">
        <v>814</v>
      </c>
      <c r="G13" s="550" t="s">
        <v>769</v>
      </c>
      <c r="H13" s="550" t="s">
        <v>770</v>
      </c>
      <c r="I13" s="564">
        <v>1.92</v>
      </c>
      <c r="J13" s="564">
        <v>100</v>
      </c>
      <c r="K13" s="565">
        <v>192</v>
      </c>
    </row>
    <row r="14" spans="1:11" ht="14.4" customHeight="1" x14ac:dyDescent="0.3">
      <c r="A14" s="546" t="s">
        <v>428</v>
      </c>
      <c r="B14" s="547" t="s">
        <v>429</v>
      </c>
      <c r="C14" s="550" t="s">
        <v>434</v>
      </c>
      <c r="D14" s="578" t="s">
        <v>531</v>
      </c>
      <c r="E14" s="550" t="s">
        <v>813</v>
      </c>
      <c r="F14" s="578" t="s">
        <v>814</v>
      </c>
      <c r="G14" s="550" t="s">
        <v>771</v>
      </c>
      <c r="H14" s="550" t="s">
        <v>772</v>
      </c>
      <c r="I14" s="564">
        <v>1.4999999999999999E-2</v>
      </c>
      <c r="J14" s="564">
        <v>400</v>
      </c>
      <c r="K14" s="565">
        <v>6</v>
      </c>
    </row>
    <row r="15" spans="1:11" ht="14.4" customHeight="1" x14ac:dyDescent="0.3">
      <c r="A15" s="546" t="s">
        <v>428</v>
      </c>
      <c r="B15" s="547" t="s">
        <v>429</v>
      </c>
      <c r="C15" s="550" t="s">
        <v>434</v>
      </c>
      <c r="D15" s="578" t="s">
        <v>531</v>
      </c>
      <c r="E15" s="550" t="s">
        <v>813</v>
      </c>
      <c r="F15" s="578" t="s">
        <v>814</v>
      </c>
      <c r="G15" s="550" t="s">
        <v>773</v>
      </c>
      <c r="H15" s="550" t="s">
        <v>774</v>
      </c>
      <c r="I15" s="564">
        <v>3.14</v>
      </c>
      <c r="J15" s="564">
        <v>5</v>
      </c>
      <c r="K15" s="565">
        <v>15.7</v>
      </c>
    </row>
    <row r="16" spans="1:11" ht="14.4" customHeight="1" x14ac:dyDescent="0.3">
      <c r="A16" s="546" t="s">
        <v>428</v>
      </c>
      <c r="B16" s="547" t="s">
        <v>429</v>
      </c>
      <c r="C16" s="550" t="s">
        <v>434</v>
      </c>
      <c r="D16" s="578" t="s">
        <v>531</v>
      </c>
      <c r="E16" s="550" t="s">
        <v>813</v>
      </c>
      <c r="F16" s="578" t="s">
        <v>814</v>
      </c>
      <c r="G16" s="550" t="s">
        <v>775</v>
      </c>
      <c r="H16" s="550" t="s">
        <v>776</v>
      </c>
      <c r="I16" s="564">
        <v>2.5750000000000002</v>
      </c>
      <c r="J16" s="564">
        <v>200</v>
      </c>
      <c r="K16" s="565">
        <v>515</v>
      </c>
    </row>
    <row r="17" spans="1:11" ht="14.4" customHeight="1" x14ac:dyDescent="0.3">
      <c r="A17" s="546" t="s">
        <v>428</v>
      </c>
      <c r="B17" s="547" t="s">
        <v>429</v>
      </c>
      <c r="C17" s="550" t="s">
        <v>434</v>
      </c>
      <c r="D17" s="578" t="s">
        <v>531</v>
      </c>
      <c r="E17" s="550" t="s">
        <v>813</v>
      </c>
      <c r="F17" s="578" t="s">
        <v>814</v>
      </c>
      <c r="G17" s="550" t="s">
        <v>777</v>
      </c>
      <c r="H17" s="550" t="s">
        <v>778</v>
      </c>
      <c r="I17" s="564">
        <v>21.234999999999999</v>
      </c>
      <c r="J17" s="564">
        <v>70</v>
      </c>
      <c r="K17" s="565">
        <v>1486.7</v>
      </c>
    </row>
    <row r="18" spans="1:11" ht="14.4" customHeight="1" x14ac:dyDescent="0.3">
      <c r="A18" s="546" t="s">
        <v>428</v>
      </c>
      <c r="B18" s="547" t="s">
        <v>429</v>
      </c>
      <c r="C18" s="550" t="s">
        <v>434</v>
      </c>
      <c r="D18" s="578" t="s">
        <v>531</v>
      </c>
      <c r="E18" s="550" t="s">
        <v>813</v>
      </c>
      <c r="F18" s="578" t="s">
        <v>814</v>
      </c>
      <c r="G18" s="550" t="s">
        <v>779</v>
      </c>
      <c r="H18" s="550" t="s">
        <v>780</v>
      </c>
      <c r="I18" s="564">
        <v>21.24</v>
      </c>
      <c r="J18" s="564">
        <v>10</v>
      </c>
      <c r="K18" s="565">
        <v>212.4</v>
      </c>
    </row>
    <row r="19" spans="1:11" ht="14.4" customHeight="1" x14ac:dyDescent="0.3">
      <c r="A19" s="546" t="s">
        <v>428</v>
      </c>
      <c r="B19" s="547" t="s">
        <v>429</v>
      </c>
      <c r="C19" s="550" t="s">
        <v>434</v>
      </c>
      <c r="D19" s="578" t="s">
        <v>531</v>
      </c>
      <c r="E19" s="550" t="s">
        <v>815</v>
      </c>
      <c r="F19" s="578" t="s">
        <v>816</v>
      </c>
      <c r="G19" s="550" t="s">
        <v>781</v>
      </c>
      <c r="H19" s="550" t="s">
        <v>782</v>
      </c>
      <c r="I19" s="564">
        <v>8.1666666666666661</v>
      </c>
      <c r="J19" s="564">
        <v>600</v>
      </c>
      <c r="K19" s="565">
        <v>4900</v>
      </c>
    </row>
    <row r="20" spans="1:11" ht="14.4" customHeight="1" x14ac:dyDescent="0.3">
      <c r="A20" s="546" t="s">
        <v>428</v>
      </c>
      <c r="B20" s="547" t="s">
        <v>429</v>
      </c>
      <c r="C20" s="550" t="s">
        <v>434</v>
      </c>
      <c r="D20" s="578" t="s">
        <v>531</v>
      </c>
      <c r="E20" s="550" t="s">
        <v>817</v>
      </c>
      <c r="F20" s="578" t="s">
        <v>818</v>
      </c>
      <c r="G20" s="550" t="s">
        <v>783</v>
      </c>
      <c r="H20" s="550" t="s">
        <v>784</v>
      </c>
      <c r="I20" s="564">
        <v>0.3</v>
      </c>
      <c r="J20" s="564">
        <v>1000</v>
      </c>
      <c r="K20" s="565">
        <v>300</v>
      </c>
    </row>
    <row r="21" spans="1:11" ht="14.4" customHeight="1" x14ac:dyDescent="0.3">
      <c r="A21" s="546" t="s">
        <v>428</v>
      </c>
      <c r="B21" s="547" t="s">
        <v>429</v>
      </c>
      <c r="C21" s="550" t="s">
        <v>434</v>
      </c>
      <c r="D21" s="578" t="s">
        <v>531</v>
      </c>
      <c r="E21" s="550" t="s">
        <v>817</v>
      </c>
      <c r="F21" s="578" t="s">
        <v>818</v>
      </c>
      <c r="G21" s="550" t="s">
        <v>785</v>
      </c>
      <c r="H21" s="550" t="s">
        <v>786</v>
      </c>
      <c r="I21" s="564">
        <v>0.31</v>
      </c>
      <c r="J21" s="564">
        <v>100</v>
      </c>
      <c r="K21" s="565">
        <v>31</v>
      </c>
    </row>
    <row r="22" spans="1:11" ht="14.4" customHeight="1" x14ac:dyDescent="0.3">
      <c r="A22" s="546" t="s">
        <v>428</v>
      </c>
      <c r="B22" s="547" t="s">
        <v>429</v>
      </c>
      <c r="C22" s="550" t="s">
        <v>434</v>
      </c>
      <c r="D22" s="578" t="s">
        <v>531</v>
      </c>
      <c r="E22" s="550" t="s">
        <v>817</v>
      </c>
      <c r="F22" s="578" t="s">
        <v>818</v>
      </c>
      <c r="G22" s="550" t="s">
        <v>787</v>
      </c>
      <c r="H22" s="550" t="s">
        <v>788</v>
      </c>
      <c r="I22" s="564">
        <v>1.7966666666666669</v>
      </c>
      <c r="J22" s="564">
        <v>500</v>
      </c>
      <c r="K22" s="565">
        <v>898</v>
      </c>
    </row>
    <row r="23" spans="1:11" ht="14.4" customHeight="1" x14ac:dyDescent="0.3">
      <c r="A23" s="546" t="s">
        <v>428</v>
      </c>
      <c r="B23" s="547" t="s">
        <v>429</v>
      </c>
      <c r="C23" s="550" t="s">
        <v>434</v>
      </c>
      <c r="D23" s="578" t="s">
        <v>531</v>
      </c>
      <c r="E23" s="550" t="s">
        <v>819</v>
      </c>
      <c r="F23" s="578" t="s">
        <v>820</v>
      </c>
      <c r="G23" s="550" t="s">
        <v>789</v>
      </c>
      <c r="H23" s="550" t="s">
        <v>790</v>
      </c>
      <c r="I23" s="564">
        <v>0.71</v>
      </c>
      <c r="J23" s="564">
        <v>200</v>
      </c>
      <c r="K23" s="565">
        <v>142</v>
      </c>
    </row>
    <row r="24" spans="1:11" ht="14.4" customHeight="1" x14ac:dyDescent="0.3">
      <c r="A24" s="546" t="s">
        <v>428</v>
      </c>
      <c r="B24" s="547" t="s">
        <v>429</v>
      </c>
      <c r="C24" s="550" t="s">
        <v>434</v>
      </c>
      <c r="D24" s="578" t="s">
        <v>531</v>
      </c>
      <c r="E24" s="550" t="s">
        <v>819</v>
      </c>
      <c r="F24" s="578" t="s">
        <v>820</v>
      </c>
      <c r="G24" s="550" t="s">
        <v>791</v>
      </c>
      <c r="H24" s="550" t="s">
        <v>792</v>
      </c>
      <c r="I24" s="564">
        <v>0.71</v>
      </c>
      <c r="J24" s="564">
        <v>200</v>
      </c>
      <c r="K24" s="565">
        <v>142</v>
      </c>
    </row>
    <row r="25" spans="1:11" ht="14.4" customHeight="1" x14ac:dyDescent="0.3">
      <c r="A25" s="546" t="s">
        <v>428</v>
      </c>
      <c r="B25" s="547" t="s">
        <v>429</v>
      </c>
      <c r="C25" s="550" t="s">
        <v>434</v>
      </c>
      <c r="D25" s="578" t="s">
        <v>531</v>
      </c>
      <c r="E25" s="550" t="s">
        <v>821</v>
      </c>
      <c r="F25" s="578" t="s">
        <v>822</v>
      </c>
      <c r="G25" s="550" t="s">
        <v>793</v>
      </c>
      <c r="H25" s="550" t="s">
        <v>794</v>
      </c>
      <c r="I25" s="564">
        <v>192.39</v>
      </c>
      <c r="J25" s="564">
        <v>25</v>
      </c>
      <c r="K25" s="565">
        <v>4809.75</v>
      </c>
    </row>
    <row r="26" spans="1:11" ht="14.4" customHeight="1" x14ac:dyDescent="0.3">
      <c r="A26" s="546" t="s">
        <v>428</v>
      </c>
      <c r="B26" s="547" t="s">
        <v>429</v>
      </c>
      <c r="C26" s="550" t="s">
        <v>434</v>
      </c>
      <c r="D26" s="578" t="s">
        <v>531</v>
      </c>
      <c r="E26" s="550" t="s">
        <v>821</v>
      </c>
      <c r="F26" s="578" t="s">
        <v>822</v>
      </c>
      <c r="G26" s="550" t="s">
        <v>795</v>
      </c>
      <c r="H26" s="550" t="s">
        <v>796</v>
      </c>
      <c r="I26" s="564">
        <v>62.555032977718255</v>
      </c>
      <c r="J26" s="564">
        <v>1</v>
      </c>
      <c r="K26" s="565">
        <v>62.555032977718255</v>
      </c>
    </row>
    <row r="27" spans="1:11" ht="14.4" customHeight="1" x14ac:dyDescent="0.3">
      <c r="A27" s="546" t="s">
        <v>428</v>
      </c>
      <c r="B27" s="547" t="s">
        <v>429</v>
      </c>
      <c r="C27" s="550" t="s">
        <v>750</v>
      </c>
      <c r="D27" s="578" t="s">
        <v>823</v>
      </c>
      <c r="E27" s="550" t="s">
        <v>811</v>
      </c>
      <c r="F27" s="578" t="s">
        <v>812</v>
      </c>
      <c r="G27" s="550" t="s">
        <v>757</v>
      </c>
      <c r="H27" s="550" t="s">
        <v>758</v>
      </c>
      <c r="I27" s="564">
        <v>13.02</v>
      </c>
      <c r="J27" s="564">
        <v>6</v>
      </c>
      <c r="K27" s="565">
        <v>78.12</v>
      </c>
    </row>
    <row r="28" spans="1:11" ht="14.4" customHeight="1" x14ac:dyDescent="0.3">
      <c r="A28" s="546" t="s">
        <v>428</v>
      </c>
      <c r="B28" s="547" t="s">
        <v>429</v>
      </c>
      <c r="C28" s="550" t="s">
        <v>750</v>
      </c>
      <c r="D28" s="578" t="s">
        <v>823</v>
      </c>
      <c r="E28" s="550" t="s">
        <v>811</v>
      </c>
      <c r="F28" s="578" t="s">
        <v>812</v>
      </c>
      <c r="G28" s="550" t="s">
        <v>797</v>
      </c>
      <c r="H28" s="550" t="s">
        <v>798</v>
      </c>
      <c r="I28" s="564">
        <v>0.56999999999999995</v>
      </c>
      <c r="J28" s="564">
        <v>200</v>
      </c>
      <c r="K28" s="565">
        <v>113.83</v>
      </c>
    </row>
    <row r="29" spans="1:11" ht="14.4" customHeight="1" x14ac:dyDescent="0.3">
      <c r="A29" s="546" t="s">
        <v>428</v>
      </c>
      <c r="B29" s="547" t="s">
        <v>429</v>
      </c>
      <c r="C29" s="550" t="s">
        <v>750</v>
      </c>
      <c r="D29" s="578" t="s">
        <v>823</v>
      </c>
      <c r="E29" s="550" t="s">
        <v>813</v>
      </c>
      <c r="F29" s="578" t="s">
        <v>814</v>
      </c>
      <c r="G29" s="550" t="s">
        <v>799</v>
      </c>
      <c r="H29" s="550" t="s">
        <v>800</v>
      </c>
      <c r="I29" s="564">
        <v>0.25</v>
      </c>
      <c r="J29" s="564">
        <v>200</v>
      </c>
      <c r="K29" s="565">
        <v>50</v>
      </c>
    </row>
    <row r="30" spans="1:11" ht="14.4" customHeight="1" x14ac:dyDescent="0.3">
      <c r="A30" s="546" t="s">
        <v>428</v>
      </c>
      <c r="B30" s="547" t="s">
        <v>429</v>
      </c>
      <c r="C30" s="550" t="s">
        <v>750</v>
      </c>
      <c r="D30" s="578" t="s">
        <v>823</v>
      </c>
      <c r="E30" s="550" t="s">
        <v>813</v>
      </c>
      <c r="F30" s="578" t="s">
        <v>814</v>
      </c>
      <c r="G30" s="550" t="s">
        <v>761</v>
      </c>
      <c r="H30" s="550" t="s">
        <v>762</v>
      </c>
      <c r="I30" s="564">
        <v>1.81</v>
      </c>
      <c r="J30" s="564">
        <v>100</v>
      </c>
      <c r="K30" s="565">
        <v>181</v>
      </c>
    </row>
    <row r="31" spans="1:11" ht="14.4" customHeight="1" x14ac:dyDescent="0.3">
      <c r="A31" s="546" t="s">
        <v>428</v>
      </c>
      <c r="B31" s="547" t="s">
        <v>429</v>
      </c>
      <c r="C31" s="550" t="s">
        <v>750</v>
      </c>
      <c r="D31" s="578" t="s">
        <v>823</v>
      </c>
      <c r="E31" s="550" t="s">
        <v>813</v>
      </c>
      <c r="F31" s="578" t="s">
        <v>814</v>
      </c>
      <c r="G31" s="550" t="s">
        <v>763</v>
      </c>
      <c r="H31" s="550" t="s">
        <v>764</v>
      </c>
      <c r="I31" s="564">
        <v>1.9</v>
      </c>
      <c r="J31" s="564">
        <v>100</v>
      </c>
      <c r="K31" s="565">
        <v>190</v>
      </c>
    </row>
    <row r="32" spans="1:11" ht="14.4" customHeight="1" x14ac:dyDescent="0.3">
      <c r="A32" s="546" t="s">
        <v>428</v>
      </c>
      <c r="B32" s="547" t="s">
        <v>429</v>
      </c>
      <c r="C32" s="550" t="s">
        <v>750</v>
      </c>
      <c r="D32" s="578" t="s">
        <v>823</v>
      </c>
      <c r="E32" s="550" t="s">
        <v>813</v>
      </c>
      <c r="F32" s="578" t="s">
        <v>814</v>
      </c>
      <c r="G32" s="550" t="s">
        <v>765</v>
      </c>
      <c r="H32" s="550" t="s">
        <v>766</v>
      </c>
      <c r="I32" s="564">
        <v>1.98</v>
      </c>
      <c r="J32" s="564">
        <v>100</v>
      </c>
      <c r="K32" s="565">
        <v>198</v>
      </c>
    </row>
    <row r="33" spans="1:11" ht="14.4" customHeight="1" x14ac:dyDescent="0.3">
      <c r="A33" s="546" t="s">
        <v>428</v>
      </c>
      <c r="B33" s="547" t="s">
        <v>429</v>
      </c>
      <c r="C33" s="550" t="s">
        <v>750</v>
      </c>
      <c r="D33" s="578" t="s">
        <v>823</v>
      </c>
      <c r="E33" s="550" t="s">
        <v>813</v>
      </c>
      <c r="F33" s="578" t="s">
        <v>814</v>
      </c>
      <c r="G33" s="550" t="s">
        <v>767</v>
      </c>
      <c r="H33" s="550" t="s">
        <v>768</v>
      </c>
      <c r="I33" s="564">
        <v>1.78</v>
      </c>
      <c r="J33" s="564">
        <v>100</v>
      </c>
      <c r="K33" s="565">
        <v>178</v>
      </c>
    </row>
    <row r="34" spans="1:11" ht="14.4" customHeight="1" x14ac:dyDescent="0.3">
      <c r="A34" s="546" t="s">
        <v>428</v>
      </c>
      <c r="B34" s="547" t="s">
        <v>429</v>
      </c>
      <c r="C34" s="550" t="s">
        <v>750</v>
      </c>
      <c r="D34" s="578" t="s">
        <v>823</v>
      </c>
      <c r="E34" s="550" t="s">
        <v>813</v>
      </c>
      <c r="F34" s="578" t="s">
        <v>814</v>
      </c>
      <c r="G34" s="550" t="s">
        <v>769</v>
      </c>
      <c r="H34" s="550" t="s">
        <v>770</v>
      </c>
      <c r="I34" s="564">
        <v>1.92</v>
      </c>
      <c r="J34" s="564">
        <v>50</v>
      </c>
      <c r="K34" s="565">
        <v>96</v>
      </c>
    </row>
    <row r="35" spans="1:11" ht="14.4" customHeight="1" x14ac:dyDescent="0.3">
      <c r="A35" s="546" t="s">
        <v>428</v>
      </c>
      <c r="B35" s="547" t="s">
        <v>429</v>
      </c>
      <c r="C35" s="550" t="s">
        <v>750</v>
      </c>
      <c r="D35" s="578" t="s">
        <v>823</v>
      </c>
      <c r="E35" s="550" t="s">
        <v>813</v>
      </c>
      <c r="F35" s="578" t="s">
        <v>814</v>
      </c>
      <c r="G35" s="550" t="s">
        <v>771</v>
      </c>
      <c r="H35" s="550" t="s">
        <v>772</v>
      </c>
      <c r="I35" s="564">
        <v>0.01</v>
      </c>
      <c r="J35" s="564">
        <v>200</v>
      </c>
      <c r="K35" s="565">
        <v>2</v>
      </c>
    </row>
    <row r="36" spans="1:11" ht="14.4" customHeight="1" x14ac:dyDescent="0.3">
      <c r="A36" s="546" t="s">
        <v>428</v>
      </c>
      <c r="B36" s="547" t="s">
        <v>429</v>
      </c>
      <c r="C36" s="550" t="s">
        <v>750</v>
      </c>
      <c r="D36" s="578" t="s">
        <v>823</v>
      </c>
      <c r="E36" s="550" t="s">
        <v>813</v>
      </c>
      <c r="F36" s="578" t="s">
        <v>814</v>
      </c>
      <c r="G36" s="550" t="s">
        <v>801</v>
      </c>
      <c r="H36" s="550" t="s">
        <v>802</v>
      </c>
      <c r="I36" s="564">
        <v>2</v>
      </c>
      <c r="J36" s="564">
        <v>10</v>
      </c>
      <c r="K36" s="565">
        <v>20</v>
      </c>
    </row>
    <row r="37" spans="1:11" ht="14.4" customHeight="1" x14ac:dyDescent="0.3">
      <c r="A37" s="546" t="s">
        <v>428</v>
      </c>
      <c r="B37" s="547" t="s">
        <v>429</v>
      </c>
      <c r="C37" s="550" t="s">
        <v>750</v>
      </c>
      <c r="D37" s="578" t="s">
        <v>823</v>
      </c>
      <c r="E37" s="550" t="s">
        <v>813</v>
      </c>
      <c r="F37" s="578" t="s">
        <v>814</v>
      </c>
      <c r="G37" s="550" t="s">
        <v>803</v>
      </c>
      <c r="H37" s="550" t="s">
        <v>804</v>
      </c>
      <c r="I37" s="564">
        <v>3.01</v>
      </c>
      <c r="J37" s="564">
        <v>50</v>
      </c>
      <c r="K37" s="565">
        <v>150.5</v>
      </c>
    </row>
    <row r="38" spans="1:11" ht="14.4" customHeight="1" x14ac:dyDescent="0.3">
      <c r="A38" s="546" t="s">
        <v>428</v>
      </c>
      <c r="B38" s="547" t="s">
        <v>429</v>
      </c>
      <c r="C38" s="550" t="s">
        <v>750</v>
      </c>
      <c r="D38" s="578" t="s">
        <v>823</v>
      </c>
      <c r="E38" s="550" t="s">
        <v>813</v>
      </c>
      <c r="F38" s="578" t="s">
        <v>814</v>
      </c>
      <c r="G38" s="550" t="s">
        <v>805</v>
      </c>
      <c r="H38" s="550" t="s">
        <v>806</v>
      </c>
      <c r="I38" s="564">
        <v>2.17</v>
      </c>
      <c r="J38" s="564">
        <v>10</v>
      </c>
      <c r="K38" s="565">
        <v>21.7</v>
      </c>
    </row>
    <row r="39" spans="1:11" ht="14.4" customHeight="1" x14ac:dyDescent="0.3">
      <c r="A39" s="546" t="s">
        <v>428</v>
      </c>
      <c r="B39" s="547" t="s">
        <v>429</v>
      </c>
      <c r="C39" s="550" t="s">
        <v>750</v>
      </c>
      <c r="D39" s="578" t="s">
        <v>823</v>
      </c>
      <c r="E39" s="550" t="s">
        <v>813</v>
      </c>
      <c r="F39" s="578" t="s">
        <v>814</v>
      </c>
      <c r="G39" s="550" t="s">
        <v>775</v>
      </c>
      <c r="H39" s="550" t="s">
        <v>776</v>
      </c>
      <c r="I39" s="564">
        <v>2.6</v>
      </c>
      <c r="J39" s="564">
        <v>100</v>
      </c>
      <c r="K39" s="565">
        <v>260</v>
      </c>
    </row>
    <row r="40" spans="1:11" ht="14.4" customHeight="1" x14ac:dyDescent="0.3">
      <c r="A40" s="546" t="s">
        <v>428</v>
      </c>
      <c r="B40" s="547" t="s">
        <v>429</v>
      </c>
      <c r="C40" s="550" t="s">
        <v>750</v>
      </c>
      <c r="D40" s="578" t="s">
        <v>823</v>
      </c>
      <c r="E40" s="550" t="s">
        <v>813</v>
      </c>
      <c r="F40" s="578" t="s">
        <v>814</v>
      </c>
      <c r="G40" s="550" t="s">
        <v>807</v>
      </c>
      <c r="H40" s="550" t="s">
        <v>808</v>
      </c>
      <c r="I40" s="564">
        <v>5.13</v>
      </c>
      <c r="J40" s="564">
        <v>5</v>
      </c>
      <c r="K40" s="565">
        <v>25.65</v>
      </c>
    </row>
    <row r="41" spans="1:11" ht="14.4" customHeight="1" x14ac:dyDescent="0.3">
      <c r="A41" s="546" t="s">
        <v>428</v>
      </c>
      <c r="B41" s="547" t="s">
        <v>429</v>
      </c>
      <c r="C41" s="550" t="s">
        <v>750</v>
      </c>
      <c r="D41" s="578" t="s">
        <v>823</v>
      </c>
      <c r="E41" s="550" t="s">
        <v>813</v>
      </c>
      <c r="F41" s="578" t="s">
        <v>814</v>
      </c>
      <c r="G41" s="550" t="s">
        <v>809</v>
      </c>
      <c r="H41" s="550" t="s">
        <v>810</v>
      </c>
      <c r="I41" s="564">
        <v>21.23</v>
      </c>
      <c r="J41" s="564">
        <v>10</v>
      </c>
      <c r="K41" s="565">
        <v>212.3</v>
      </c>
    </row>
    <row r="42" spans="1:11" ht="14.4" customHeight="1" x14ac:dyDescent="0.3">
      <c r="A42" s="546" t="s">
        <v>428</v>
      </c>
      <c r="B42" s="547" t="s">
        <v>429</v>
      </c>
      <c r="C42" s="550" t="s">
        <v>750</v>
      </c>
      <c r="D42" s="578" t="s">
        <v>823</v>
      </c>
      <c r="E42" s="550" t="s">
        <v>817</v>
      </c>
      <c r="F42" s="578" t="s">
        <v>818</v>
      </c>
      <c r="G42" s="550" t="s">
        <v>783</v>
      </c>
      <c r="H42" s="550" t="s">
        <v>784</v>
      </c>
      <c r="I42" s="564">
        <v>0.3</v>
      </c>
      <c r="J42" s="564">
        <v>200</v>
      </c>
      <c r="K42" s="565">
        <v>60</v>
      </c>
    </row>
    <row r="43" spans="1:11" ht="14.4" customHeight="1" x14ac:dyDescent="0.3">
      <c r="A43" s="546" t="s">
        <v>428</v>
      </c>
      <c r="B43" s="547" t="s">
        <v>429</v>
      </c>
      <c r="C43" s="550" t="s">
        <v>750</v>
      </c>
      <c r="D43" s="578" t="s">
        <v>823</v>
      </c>
      <c r="E43" s="550" t="s">
        <v>817</v>
      </c>
      <c r="F43" s="578" t="s">
        <v>818</v>
      </c>
      <c r="G43" s="550" t="s">
        <v>787</v>
      </c>
      <c r="H43" s="550" t="s">
        <v>788</v>
      </c>
      <c r="I43" s="564">
        <v>1.8</v>
      </c>
      <c r="J43" s="564">
        <v>100</v>
      </c>
      <c r="K43" s="565">
        <v>180</v>
      </c>
    </row>
    <row r="44" spans="1:11" ht="14.4" customHeight="1" thickBot="1" x14ac:dyDescent="0.35">
      <c r="A44" s="554" t="s">
        <v>428</v>
      </c>
      <c r="B44" s="555" t="s">
        <v>429</v>
      </c>
      <c r="C44" s="558" t="s">
        <v>750</v>
      </c>
      <c r="D44" s="579" t="s">
        <v>823</v>
      </c>
      <c r="E44" s="558" t="s">
        <v>819</v>
      </c>
      <c r="F44" s="579" t="s">
        <v>820</v>
      </c>
      <c r="G44" s="558" t="s">
        <v>791</v>
      </c>
      <c r="H44" s="558" t="s">
        <v>792</v>
      </c>
      <c r="I44" s="566">
        <v>0.71</v>
      </c>
      <c r="J44" s="566">
        <v>400</v>
      </c>
      <c r="K44" s="567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205</v>
      </c>
      <c r="B3" s="395" t="s">
        <v>186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89">
        <v>930</v>
      </c>
      <c r="AI3" s="605"/>
    </row>
    <row r="4" spans="1:35" ht="36.6" outlineLevel="1" thickBot="1" x14ac:dyDescent="0.35">
      <c r="A4" s="255">
        <v>2015</v>
      </c>
      <c r="B4" s="396"/>
      <c r="C4" s="239" t="s">
        <v>187</v>
      </c>
      <c r="D4" s="240" t="s">
        <v>188</v>
      </c>
      <c r="E4" s="240" t="s">
        <v>189</v>
      </c>
      <c r="F4" s="258" t="s">
        <v>217</v>
      </c>
      <c r="G4" s="258" t="s">
        <v>218</v>
      </c>
      <c r="H4" s="258" t="s">
        <v>280</v>
      </c>
      <c r="I4" s="258" t="s">
        <v>219</v>
      </c>
      <c r="J4" s="258" t="s">
        <v>220</v>
      </c>
      <c r="K4" s="258" t="s">
        <v>221</v>
      </c>
      <c r="L4" s="258" t="s">
        <v>222</v>
      </c>
      <c r="M4" s="258" t="s">
        <v>223</v>
      </c>
      <c r="N4" s="258" t="s">
        <v>224</v>
      </c>
      <c r="O4" s="258" t="s">
        <v>225</v>
      </c>
      <c r="P4" s="258" t="s">
        <v>226</v>
      </c>
      <c r="Q4" s="258" t="s">
        <v>227</v>
      </c>
      <c r="R4" s="258" t="s">
        <v>228</v>
      </c>
      <c r="S4" s="258" t="s">
        <v>229</v>
      </c>
      <c r="T4" s="258" t="s">
        <v>230</v>
      </c>
      <c r="U4" s="258" t="s">
        <v>231</v>
      </c>
      <c r="V4" s="258" t="s">
        <v>232</v>
      </c>
      <c r="W4" s="258" t="s">
        <v>233</v>
      </c>
      <c r="X4" s="258" t="s">
        <v>242</v>
      </c>
      <c r="Y4" s="258" t="s">
        <v>234</v>
      </c>
      <c r="Z4" s="258" t="s">
        <v>243</v>
      </c>
      <c r="AA4" s="258" t="s">
        <v>235</v>
      </c>
      <c r="AB4" s="258" t="s">
        <v>236</v>
      </c>
      <c r="AC4" s="258" t="s">
        <v>237</v>
      </c>
      <c r="AD4" s="258" t="s">
        <v>238</v>
      </c>
      <c r="AE4" s="258" t="s">
        <v>239</v>
      </c>
      <c r="AF4" s="240" t="s">
        <v>240</v>
      </c>
      <c r="AG4" s="240" t="s">
        <v>241</v>
      </c>
      <c r="AH4" s="590" t="s">
        <v>207</v>
      </c>
      <c r="AI4" s="605"/>
    </row>
    <row r="5" spans="1:35" x14ac:dyDescent="0.3">
      <c r="A5" s="241" t="s">
        <v>190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91"/>
      <c r="AI5" s="605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11.6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4.3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92">
        <f xml:space="preserve">
TRUNC(IF($A$4&lt;=12,SUMIFS('ON Data'!AN:AN,'ON Data'!$D:$D,$A$4,'ON Data'!$E:$E,1),SUMIFS('ON Data'!AN:AN,'ON Data'!$E:$E,1)/'ON Data'!$D$3),1)</f>
        <v>2.2000000000000002</v>
      </c>
      <c r="AI6" s="605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92"/>
      <c r="AI7" s="605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92"/>
      <c r="AI8" s="605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93"/>
      <c r="AI9" s="605"/>
    </row>
    <row r="10" spans="1:35" x14ac:dyDescent="0.3">
      <c r="A10" s="244" t="s">
        <v>191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94"/>
      <c r="AI10" s="605"/>
    </row>
    <row r="11" spans="1:35" x14ac:dyDescent="0.3">
      <c r="A11" s="245" t="s">
        <v>192</v>
      </c>
      <c r="B11" s="262">
        <f xml:space="preserve">
IF($A$4&lt;=12,SUMIFS('ON Data'!F:F,'ON Data'!$D:$D,$A$4,'ON Data'!$E:$E,2),SUMIFS('ON Data'!F:F,'ON Data'!$E:$E,2))</f>
        <v>7444.08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2868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3248.08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95">
        <f xml:space="preserve">
IF($A$4&lt;=12,SUMIFS('ON Data'!AN:AN,'ON Data'!$D:$D,$A$4,'ON Data'!$E:$E,2),SUMIFS('ON Data'!AN:AN,'ON Data'!$E:$E,2))</f>
        <v>1328</v>
      </c>
      <c r="AI11" s="605"/>
    </row>
    <row r="12" spans="1:35" x14ac:dyDescent="0.3">
      <c r="A12" s="245" t="s">
        <v>193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95">
        <f xml:space="preserve">
IF($A$4&lt;=12,SUMIFS('ON Data'!AN:AN,'ON Data'!$D:$D,$A$4,'ON Data'!$E:$E,3),SUMIFS('ON Data'!AN:AN,'ON Data'!$E:$E,3))</f>
        <v>0</v>
      </c>
      <c r="AI12" s="605"/>
    </row>
    <row r="13" spans="1:35" x14ac:dyDescent="0.3">
      <c r="A13" s="245" t="s">
        <v>200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95">
        <f xml:space="preserve">
IF($A$4&lt;=12,SUMIFS('ON Data'!AN:AN,'ON Data'!$D:$D,$A$4,'ON Data'!$E:$E,4),SUMIFS('ON Data'!AN:AN,'ON Data'!$E:$E,4))</f>
        <v>0</v>
      </c>
      <c r="AI13" s="605"/>
    </row>
    <row r="14" spans="1:35" ht="15" thickBot="1" x14ac:dyDescent="0.35">
      <c r="A14" s="246" t="s">
        <v>194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96">
        <f xml:space="preserve">
IF($A$4&lt;=12,SUMIFS('ON Data'!AN:AN,'ON Data'!$D:$D,$A$4,'ON Data'!$E:$E,5),SUMIFS('ON Data'!AN:AN,'ON Data'!$E:$E,5))</f>
        <v>0</v>
      </c>
      <c r="AI14" s="605"/>
    </row>
    <row r="15" spans="1:35" x14ac:dyDescent="0.3">
      <c r="A15" s="163" t="s">
        <v>204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97"/>
      <c r="AI15" s="605"/>
    </row>
    <row r="16" spans="1:35" x14ac:dyDescent="0.3">
      <c r="A16" s="247" t="s">
        <v>195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95">
        <f xml:space="preserve">
IF($A$4&lt;=12,SUMIFS('ON Data'!AN:AN,'ON Data'!$D:$D,$A$4,'ON Data'!$E:$E,7),SUMIFS('ON Data'!AN:AN,'ON Data'!$E:$E,7))</f>
        <v>0</v>
      </c>
      <c r="AI16" s="605"/>
    </row>
    <row r="17" spans="1:35" x14ac:dyDescent="0.3">
      <c r="A17" s="247" t="s">
        <v>196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95">
        <f xml:space="preserve">
IF($A$4&lt;=12,SUMIFS('ON Data'!AN:AN,'ON Data'!$D:$D,$A$4,'ON Data'!$E:$E,8),SUMIFS('ON Data'!AN:AN,'ON Data'!$E:$E,8))</f>
        <v>0</v>
      </c>
      <c r="AI17" s="605"/>
    </row>
    <row r="18" spans="1:35" x14ac:dyDescent="0.3">
      <c r="A18" s="247" t="s">
        <v>197</v>
      </c>
      <c r="B18" s="262">
        <f xml:space="preserve">
B19-B16-B17</f>
        <v>87400</v>
      </c>
      <c r="C18" s="263">
        <f t="shared" ref="C18:G18" si="0" xml:space="preserve">
C19-C16-C17</f>
        <v>0</v>
      </c>
      <c r="D18" s="264">
        <f t="shared" si="0"/>
        <v>54400</v>
      </c>
      <c r="E18" s="264">
        <f t="shared" si="0"/>
        <v>0</v>
      </c>
      <c r="F18" s="264">
        <f t="shared" si="0"/>
        <v>30000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95">
        <f t="shared" si="1"/>
        <v>3000</v>
      </c>
      <c r="AI18" s="605"/>
    </row>
    <row r="19" spans="1:35" ht="15" thickBot="1" x14ac:dyDescent="0.35">
      <c r="A19" s="248" t="s">
        <v>198</v>
      </c>
      <c r="B19" s="271">
        <f xml:space="preserve">
IF($A$4&lt;=12,SUMIFS('ON Data'!F:F,'ON Data'!$D:$D,$A$4,'ON Data'!$E:$E,9),SUMIFS('ON Data'!F:F,'ON Data'!$E:$E,9))</f>
        <v>87400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54400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30000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98">
        <f xml:space="preserve">
IF($A$4&lt;=12,SUMIFS('ON Data'!AN:AN,'ON Data'!$D:$D,$A$4,'ON Data'!$E:$E,9),SUMIFS('ON Data'!AN:AN,'ON Data'!$E:$E,9))</f>
        <v>3000</v>
      </c>
      <c r="AI19" s="605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1807325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1032213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595898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99">
        <f xml:space="preserve">
IF($A$4&lt;=12,SUMIFS('ON Data'!AN:AN,'ON Data'!$D:$D,$A$4,'ON Data'!$E:$E,6),SUMIFS('ON Data'!AN:AN,'ON Data'!$E:$E,6))</f>
        <v>179214</v>
      </c>
      <c r="AI20" s="605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95">
        <f xml:space="preserve">
IF($A$4&lt;=12,SUMIFS('ON Data'!AN:AN,'ON Data'!$D:$D,$A$4,'ON Data'!$E:$E,12),SUMIFS('ON Data'!AN:AN,'ON Data'!$E:$E,12))</f>
        <v>0</v>
      </c>
      <c r="AI21" s="605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600" t="str">
        <f t="shared" si="3"/>
        <v/>
      </c>
      <c r="AI22" s="605"/>
    </row>
    <row r="23" spans="1:35" ht="15" hidden="1" outlineLevel="1" thickBot="1" x14ac:dyDescent="0.35">
      <c r="A23" s="250" t="s">
        <v>68</v>
      </c>
      <c r="B23" s="265">
        <f xml:space="preserve">
IF(B21="","",B20-B21)</f>
        <v>1807325</v>
      </c>
      <c r="C23" s="266">
        <f t="shared" ref="C23:G23" si="4" xml:space="preserve">
IF(C21="","",C20-C21)</f>
        <v>0</v>
      </c>
      <c r="D23" s="267">
        <f t="shared" si="4"/>
        <v>1032213</v>
      </c>
      <c r="E23" s="267">
        <f t="shared" si="4"/>
        <v>0</v>
      </c>
      <c r="F23" s="267">
        <f t="shared" si="4"/>
        <v>595898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0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0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0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96">
        <f t="shared" si="5"/>
        <v>179214</v>
      </c>
      <c r="AI23" s="605"/>
    </row>
    <row r="24" spans="1:35" x14ac:dyDescent="0.3">
      <c r="A24" s="244" t="s">
        <v>199</v>
      </c>
      <c r="B24" s="291" t="s">
        <v>3</v>
      </c>
      <c r="C24" s="606" t="s">
        <v>210</v>
      </c>
      <c r="D24" s="580"/>
      <c r="E24" s="581"/>
      <c r="F24" s="581" t="s">
        <v>211</v>
      </c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601" t="s">
        <v>212</v>
      </c>
      <c r="AI24" s="605"/>
    </row>
    <row r="25" spans="1:35" x14ac:dyDescent="0.3">
      <c r="A25" s="245" t="s">
        <v>73</v>
      </c>
      <c r="B25" s="262">
        <f xml:space="preserve">
SUM(C25:AH25)</f>
        <v>10000</v>
      </c>
      <c r="C25" s="607">
        <f xml:space="preserve">
IF($A$4&lt;=12,SUMIFS('ON Data'!H:H,'ON Data'!$D:$D,$A$4,'ON Data'!$E:$E,10),SUMIFS('ON Data'!H:H,'ON Data'!$E:$E,10))</f>
        <v>10000</v>
      </c>
      <c r="D25" s="582"/>
      <c r="E25" s="583"/>
      <c r="F25" s="583">
        <f xml:space="preserve">
IF($A$4&lt;=12,SUMIFS('ON Data'!K:K,'ON Data'!$D:$D,$A$4,'ON Data'!$E:$E,10),SUMIFS('ON Data'!K:K,'ON Data'!$E:$E,10))</f>
        <v>0</v>
      </c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3"/>
      <c r="W25" s="583"/>
      <c r="X25" s="583"/>
      <c r="Y25" s="583"/>
      <c r="Z25" s="583"/>
      <c r="AA25" s="583"/>
      <c r="AB25" s="583"/>
      <c r="AC25" s="583"/>
      <c r="AD25" s="583"/>
      <c r="AE25" s="583"/>
      <c r="AF25" s="583"/>
      <c r="AG25" s="583"/>
      <c r="AH25" s="602">
        <f xml:space="preserve">
IF($A$4&lt;=12,SUMIFS('ON Data'!AN:AN,'ON Data'!$D:$D,$A$4,'ON Data'!$E:$E,10),SUMIFS('ON Data'!AN:AN,'ON Data'!$E:$E,10))</f>
        <v>0</v>
      </c>
      <c r="AI25" s="605"/>
    </row>
    <row r="26" spans="1:35" x14ac:dyDescent="0.3">
      <c r="A26" s="251" t="s">
        <v>209</v>
      </c>
      <c r="B26" s="271">
        <f xml:space="preserve">
SUM(C26:AH26)</f>
        <v>5260.0728080459057</v>
      </c>
      <c r="C26" s="607">
        <f xml:space="preserve">
IF($A$4&lt;=12,SUMIFS('ON Data'!H:H,'ON Data'!$D:$D,$A$4,'ON Data'!$E:$E,11),SUMIFS('ON Data'!H:H,'ON Data'!$E:$E,11))</f>
        <v>5260.0728080459057</v>
      </c>
      <c r="D26" s="582"/>
      <c r="E26" s="583"/>
      <c r="F26" s="584">
        <f xml:space="preserve">
IF($A$4&lt;=12,SUMIFS('ON Data'!K:K,'ON Data'!$D:$D,$A$4,'ON Data'!$E:$E,11),SUMIFS('ON Data'!K:K,'ON Data'!$E:$E,11))</f>
        <v>0</v>
      </c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602">
        <f xml:space="preserve">
IF($A$4&lt;=12,SUMIFS('ON Data'!AN:AN,'ON Data'!$D:$D,$A$4,'ON Data'!$E:$E,11),SUMIFS('ON Data'!AN:AN,'ON Data'!$E:$E,11))</f>
        <v>0</v>
      </c>
      <c r="AI26" s="605"/>
    </row>
    <row r="27" spans="1:35" x14ac:dyDescent="0.3">
      <c r="A27" s="251" t="s">
        <v>75</v>
      </c>
      <c r="B27" s="292">
        <f xml:space="preserve">
IF(B26=0,0,B25/B26)</f>
        <v>1.9011143695014665</v>
      </c>
      <c r="C27" s="608">
        <f xml:space="preserve">
IF(C26=0,0,C25/C26)</f>
        <v>1.9011143695014665</v>
      </c>
      <c r="D27" s="585"/>
      <c r="E27" s="586"/>
      <c r="F27" s="586">
        <f xml:space="preserve">
IF(F26=0,0,F25/F26)</f>
        <v>0</v>
      </c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603">
        <f xml:space="preserve">
IF(AH26=0,0,AH25/AH26)</f>
        <v>0</v>
      </c>
      <c r="AI27" s="605"/>
    </row>
    <row r="28" spans="1:35" ht="15" thickBot="1" x14ac:dyDescent="0.35">
      <c r="A28" s="251" t="s">
        <v>208</v>
      </c>
      <c r="B28" s="271">
        <f xml:space="preserve">
SUM(C28:AH28)</f>
        <v>-4739.9271919540943</v>
      </c>
      <c r="C28" s="609">
        <f xml:space="preserve">
C26-C25</f>
        <v>-4739.9271919540943</v>
      </c>
      <c r="D28" s="587"/>
      <c r="E28" s="588"/>
      <c r="F28" s="588">
        <f xml:space="preserve">
F26-F25</f>
        <v>0</v>
      </c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604">
        <f xml:space="preserve">
AH26-AH25</f>
        <v>0</v>
      </c>
      <c r="AI28" s="605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203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213</v>
      </c>
    </row>
    <row r="34" spans="1:1" x14ac:dyDescent="0.3">
      <c r="A34" s="290" t="s">
        <v>214</v>
      </c>
    </row>
    <row r="35" spans="1:1" x14ac:dyDescent="0.3">
      <c r="A35" s="290" t="s">
        <v>215</v>
      </c>
    </row>
    <row r="36" spans="1:1" x14ac:dyDescent="0.3">
      <c r="A36" s="290" t="s">
        <v>216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282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3208.349556109134</v>
      </c>
      <c r="D4" s="161">
        <f ca="1">IF(ISERROR(VLOOKUP("Náklady celkem",INDIRECT("HI!$A:$G"),5,0)),0,VLOOKUP("Náklady celkem",INDIRECT("HI!$A:$G"),5,0))</f>
        <v>3354.3900500000022</v>
      </c>
      <c r="E4" s="162">
        <f ca="1">IF(C4=0,0,D4/C4)</f>
        <v>1.045518884815025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222.87006410885232</v>
      </c>
      <c r="D7" s="169">
        <f>IF(ISERROR(HI!E5),"",HI!E5)</f>
        <v>179.42383000000001</v>
      </c>
      <c r="E7" s="166">
        <f t="shared" ref="E7:E15" si="0">IF(C7=0,0,D7/C7)</f>
        <v>0.80506025211338983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145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255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154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116</v>
      </c>
      <c r="C11" s="171">
        <v>0.6</v>
      </c>
      <c r="D11" s="171">
        <f>IF(ISERROR(VLOOKUP("Celkem",'Léky Recepty'!B:H,5,0)),0,VLOOKUP("Celkem",'Léky Recepty'!B:H,5,0))</f>
        <v>0.66930636479349626</v>
      </c>
      <c r="E11" s="166">
        <f t="shared" si="0"/>
        <v>1.1155106079891606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146</v>
      </c>
      <c r="C12" s="171">
        <v>0.8</v>
      </c>
      <c r="D12" s="171">
        <f>IF(ISERROR(VLOOKUP("Celkem",'LRp PL'!A:F,5,0)),0,VLOOKUP("Celkem",'LRp PL'!A:F,5,0))</f>
        <v>0.79375731950295825</v>
      </c>
      <c r="E12" s="166">
        <f t="shared" si="0"/>
        <v>0.99219664937869778</v>
      </c>
    </row>
    <row r="13" spans="1:5" ht="14.4" customHeight="1" x14ac:dyDescent="0.3">
      <c r="A13" s="172" t="s">
        <v>155</v>
      </c>
      <c r="B13" s="168"/>
      <c r="C13" s="169"/>
      <c r="D13" s="169"/>
      <c r="E13" s="166"/>
    </row>
    <row r="14" spans="1:5" ht="14.4" customHeight="1" x14ac:dyDescent="0.3">
      <c r="A14" s="173" t="s">
        <v>159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27.782379124921999</v>
      </c>
      <c r="D15" s="169">
        <f>IF(ISERROR(HI!E6),"",HI!E6)</f>
        <v>17.29543</v>
      </c>
      <c r="E15" s="166">
        <f t="shared" si="0"/>
        <v>0.62253235845036936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2345.6665927838535</v>
      </c>
      <c r="D16" s="165">
        <f ca="1">IF(ISERROR(VLOOKUP("Osobní náklady (Kč) *",INDIRECT("HI!$A:$G"),5,0)),0,VLOOKUP("Osobní náklady (Kč) *",INDIRECT("HI!$A:$G"),5,0))</f>
        <v>2437.5765600000022</v>
      </c>
      <c r="E16" s="166">
        <f ca="1">IF(C16=0,0,D16/C16)</f>
        <v>1.0391828776940841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702.35299999999995</v>
      </c>
      <c r="D18" s="185">
        <f ca="1">IF(ISERROR(VLOOKUP("Výnosy celkem",INDIRECT("HI!$A:$G"),5,0)),0,VLOOKUP("Výnosy celkem",INDIRECT("HI!$A:$G"),5,0))</f>
        <v>855.63666999999998</v>
      </c>
      <c r="E18" s="186">
        <f t="shared" ref="E18:E21" ca="1" si="1">IF(C18=0,0,D18/C18)</f>
        <v>1.2182430629612175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702.35299999999995</v>
      </c>
      <c r="D19" s="165">
        <f ca="1">IF(ISERROR(VLOOKUP("Ambulance *",INDIRECT("HI!$A:$G"),5,0)),0,VLOOKUP("Ambulance *",INDIRECT("HI!$A:$G"),5,0))</f>
        <v>855.63666999999998</v>
      </c>
      <c r="E19" s="166">
        <f t="shared" ca="1" si="1"/>
        <v>1.2182430629612175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1">
        <v>1</v>
      </c>
      <c r="D20" s="171">
        <f>IF(ISERROR(VLOOKUP("Celkem:",'ZV Vykáz.-A'!$A:$S,7,0)),"",VLOOKUP("Celkem:",'ZV Vykáz.-A'!$A:$S,7,0))</f>
        <v>1.2182430629612173</v>
      </c>
      <c r="E20" s="166">
        <f t="shared" si="1"/>
        <v>1.2182430629612173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1">
        <v>0.85</v>
      </c>
      <c r="D21" s="171">
        <f>IF(ISERROR(VLOOKUP("Celkem:",'ZV Vykáz.-H'!$A:$S,7,0)),"",VLOOKUP("Celkem:",'ZV Vykáz.-H'!$A:$S,7,0))</f>
        <v>6.0119114507248009E-2</v>
      </c>
      <c r="E21" s="166">
        <f t="shared" si="1"/>
        <v>7.0728370008527067E-2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156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157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3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825</v>
      </c>
    </row>
    <row r="2" spans="1:41" x14ac:dyDescent="0.3">
      <c r="A2" s="235" t="s">
        <v>282</v>
      </c>
    </row>
    <row r="3" spans="1:41" x14ac:dyDescent="0.3">
      <c r="A3" s="231" t="s">
        <v>173</v>
      </c>
      <c r="B3" s="256">
        <v>2015</v>
      </c>
      <c r="D3" s="232">
        <f>MAX(D5:D1048576)</f>
        <v>4</v>
      </c>
      <c r="F3" s="232">
        <f>SUMIF($E5:$E1048576,"&lt;10",F5:F1048576)</f>
        <v>1902215.48</v>
      </c>
      <c r="G3" s="232">
        <f t="shared" ref="G3:AO3" si="0">SUMIF($E5:$E1048576,"&lt;10",G5:G1048576)</f>
        <v>0</v>
      </c>
      <c r="H3" s="232">
        <f t="shared" si="0"/>
        <v>1089498.3999999999</v>
      </c>
      <c r="I3" s="232">
        <f t="shared" si="0"/>
        <v>0</v>
      </c>
      <c r="J3" s="232">
        <f t="shared" si="0"/>
        <v>0</v>
      </c>
      <c r="K3" s="232">
        <f t="shared" si="0"/>
        <v>629166.08000000007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183551</v>
      </c>
      <c r="AO3" s="232">
        <f t="shared" si="0"/>
        <v>0</v>
      </c>
    </row>
    <row r="4" spans="1:41" x14ac:dyDescent="0.3">
      <c r="A4" s="231" t="s">
        <v>174</v>
      </c>
      <c r="B4" s="256">
        <v>1</v>
      </c>
      <c r="C4" s="233" t="s">
        <v>5</v>
      </c>
      <c r="D4" s="234" t="s">
        <v>67</v>
      </c>
      <c r="E4" s="234" t="s">
        <v>168</v>
      </c>
      <c r="F4" s="234" t="s">
        <v>3</v>
      </c>
      <c r="G4" s="234" t="s">
        <v>169</v>
      </c>
      <c r="H4" s="234" t="s">
        <v>170</v>
      </c>
      <c r="I4" s="234" t="s">
        <v>171</v>
      </c>
      <c r="J4" s="234" t="s">
        <v>172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175</v>
      </c>
      <c r="B5" s="256">
        <v>2</v>
      </c>
      <c r="C5" s="231">
        <v>19</v>
      </c>
      <c r="D5" s="231">
        <v>1</v>
      </c>
      <c r="E5" s="231">
        <v>1</v>
      </c>
      <c r="F5" s="231">
        <v>12.35</v>
      </c>
      <c r="G5" s="231">
        <v>0</v>
      </c>
      <c r="H5" s="231">
        <v>4.3499999999999996</v>
      </c>
      <c r="I5" s="231">
        <v>0</v>
      </c>
      <c r="J5" s="231">
        <v>0</v>
      </c>
      <c r="K5" s="231">
        <v>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</v>
      </c>
      <c r="AN5" s="231">
        <v>3</v>
      </c>
      <c r="AO5" s="231">
        <v>0</v>
      </c>
    </row>
    <row r="6" spans="1:41" x14ac:dyDescent="0.3">
      <c r="A6" s="231" t="s">
        <v>176</v>
      </c>
      <c r="B6" s="256">
        <v>3</v>
      </c>
      <c r="C6" s="231">
        <v>19</v>
      </c>
      <c r="D6" s="231">
        <v>1</v>
      </c>
      <c r="E6" s="231">
        <v>2</v>
      </c>
      <c r="F6" s="231">
        <v>1950</v>
      </c>
      <c r="G6" s="231">
        <v>0</v>
      </c>
      <c r="H6" s="231">
        <v>746</v>
      </c>
      <c r="I6" s="231">
        <v>0</v>
      </c>
      <c r="J6" s="231">
        <v>0</v>
      </c>
      <c r="K6" s="231">
        <v>852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352</v>
      </c>
      <c r="AO6" s="231">
        <v>0</v>
      </c>
    </row>
    <row r="7" spans="1:41" x14ac:dyDescent="0.3">
      <c r="A7" s="231" t="s">
        <v>177</v>
      </c>
      <c r="B7" s="256">
        <v>4</v>
      </c>
      <c r="C7" s="231">
        <v>19</v>
      </c>
      <c r="D7" s="231">
        <v>1</v>
      </c>
      <c r="E7" s="231">
        <v>6</v>
      </c>
      <c r="F7" s="231">
        <v>440590</v>
      </c>
      <c r="G7" s="231">
        <v>0</v>
      </c>
      <c r="H7" s="231">
        <v>243162</v>
      </c>
      <c r="I7" s="231">
        <v>0</v>
      </c>
      <c r="J7" s="231">
        <v>0</v>
      </c>
      <c r="K7" s="231">
        <v>145543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51885</v>
      </c>
      <c r="AO7" s="231">
        <v>0</v>
      </c>
    </row>
    <row r="8" spans="1:41" x14ac:dyDescent="0.3">
      <c r="A8" s="231" t="s">
        <v>178</v>
      </c>
      <c r="B8" s="256">
        <v>5</v>
      </c>
      <c r="C8" s="231">
        <v>19</v>
      </c>
      <c r="D8" s="231">
        <v>1</v>
      </c>
      <c r="E8" s="231">
        <v>11</v>
      </c>
      <c r="F8" s="231">
        <v>1315.0182020114764</v>
      </c>
      <c r="G8" s="231">
        <v>0</v>
      </c>
      <c r="H8" s="231">
        <v>1315.0182020114764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179</v>
      </c>
      <c r="B9" s="256">
        <v>6</v>
      </c>
      <c r="C9" s="231">
        <v>19</v>
      </c>
      <c r="D9" s="231">
        <v>2</v>
      </c>
      <c r="E9" s="231">
        <v>1</v>
      </c>
      <c r="F9" s="231">
        <v>11.35</v>
      </c>
      <c r="G9" s="231">
        <v>0</v>
      </c>
      <c r="H9" s="231">
        <v>4.3499999999999996</v>
      </c>
      <c r="I9" s="231">
        <v>0</v>
      </c>
      <c r="J9" s="231">
        <v>0</v>
      </c>
      <c r="K9" s="231">
        <v>5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</v>
      </c>
      <c r="AO9" s="231">
        <v>0</v>
      </c>
    </row>
    <row r="10" spans="1:41" x14ac:dyDescent="0.3">
      <c r="A10" s="231" t="s">
        <v>180</v>
      </c>
      <c r="B10" s="256">
        <v>7</v>
      </c>
      <c r="C10" s="231">
        <v>19</v>
      </c>
      <c r="D10" s="231">
        <v>2</v>
      </c>
      <c r="E10" s="231">
        <v>2</v>
      </c>
      <c r="F10" s="231">
        <v>1654</v>
      </c>
      <c r="G10" s="231">
        <v>0</v>
      </c>
      <c r="H10" s="231">
        <v>646</v>
      </c>
      <c r="I10" s="231">
        <v>0</v>
      </c>
      <c r="J10" s="231">
        <v>0</v>
      </c>
      <c r="K10" s="231">
        <v>704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304</v>
      </c>
      <c r="AO10" s="231">
        <v>0</v>
      </c>
    </row>
    <row r="11" spans="1:41" x14ac:dyDescent="0.3">
      <c r="A11" s="231" t="s">
        <v>181</v>
      </c>
      <c r="B11" s="256">
        <v>8</v>
      </c>
      <c r="C11" s="231">
        <v>19</v>
      </c>
      <c r="D11" s="231">
        <v>2</v>
      </c>
      <c r="E11" s="231">
        <v>6</v>
      </c>
      <c r="F11" s="231">
        <v>425306</v>
      </c>
      <c r="G11" s="231">
        <v>0</v>
      </c>
      <c r="H11" s="231">
        <v>244458</v>
      </c>
      <c r="I11" s="231">
        <v>0</v>
      </c>
      <c r="J11" s="231">
        <v>0</v>
      </c>
      <c r="K11" s="231">
        <v>133107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47741</v>
      </c>
      <c r="AO11" s="231">
        <v>0</v>
      </c>
    </row>
    <row r="12" spans="1:41" x14ac:dyDescent="0.3">
      <c r="A12" s="231" t="s">
        <v>182</v>
      </c>
      <c r="B12" s="256">
        <v>9</v>
      </c>
      <c r="C12" s="231">
        <v>19</v>
      </c>
      <c r="D12" s="231">
        <v>2</v>
      </c>
      <c r="E12" s="231">
        <v>11</v>
      </c>
      <c r="F12" s="231">
        <v>1315.0182020114764</v>
      </c>
      <c r="G12" s="231">
        <v>0</v>
      </c>
      <c r="H12" s="231">
        <v>1315.0182020114764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183</v>
      </c>
      <c r="B13" s="256">
        <v>10</v>
      </c>
      <c r="C13" s="231">
        <v>19</v>
      </c>
      <c r="D13" s="231">
        <v>3</v>
      </c>
      <c r="E13" s="231">
        <v>1</v>
      </c>
      <c r="F13" s="231">
        <v>11.35</v>
      </c>
      <c r="G13" s="231">
        <v>0</v>
      </c>
      <c r="H13" s="231">
        <v>4.3499999999999996</v>
      </c>
      <c r="I13" s="231">
        <v>0</v>
      </c>
      <c r="J13" s="231">
        <v>0</v>
      </c>
      <c r="K13" s="231">
        <v>5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2</v>
      </c>
      <c r="AO13" s="231">
        <v>0</v>
      </c>
    </row>
    <row r="14" spans="1:41" x14ac:dyDescent="0.3">
      <c r="A14" s="231" t="s">
        <v>184</v>
      </c>
      <c r="B14" s="256">
        <v>11</v>
      </c>
      <c r="C14" s="231">
        <v>19</v>
      </c>
      <c r="D14" s="231">
        <v>3</v>
      </c>
      <c r="E14" s="231">
        <v>2</v>
      </c>
      <c r="F14" s="231">
        <v>1948.08</v>
      </c>
      <c r="G14" s="231">
        <v>0</v>
      </c>
      <c r="H14" s="231">
        <v>764</v>
      </c>
      <c r="I14" s="231">
        <v>0</v>
      </c>
      <c r="J14" s="231">
        <v>0</v>
      </c>
      <c r="K14" s="231">
        <v>848.08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336</v>
      </c>
      <c r="AO14" s="231">
        <v>0</v>
      </c>
    </row>
    <row r="15" spans="1:41" x14ac:dyDescent="0.3">
      <c r="A15" s="231" t="s">
        <v>185</v>
      </c>
      <c r="B15" s="256">
        <v>12</v>
      </c>
      <c r="C15" s="231">
        <v>19</v>
      </c>
      <c r="D15" s="231">
        <v>3</v>
      </c>
      <c r="E15" s="231">
        <v>6</v>
      </c>
      <c r="F15" s="231">
        <v>430637</v>
      </c>
      <c r="G15" s="231">
        <v>0</v>
      </c>
      <c r="H15" s="231">
        <v>250341</v>
      </c>
      <c r="I15" s="231">
        <v>0</v>
      </c>
      <c r="J15" s="231">
        <v>0</v>
      </c>
      <c r="K15" s="231">
        <v>142022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38274</v>
      </c>
      <c r="AO15" s="231">
        <v>0</v>
      </c>
    </row>
    <row r="16" spans="1:41" x14ac:dyDescent="0.3">
      <c r="A16" s="231" t="s">
        <v>173</v>
      </c>
      <c r="B16" s="256">
        <v>2015</v>
      </c>
      <c r="C16" s="231">
        <v>19</v>
      </c>
      <c r="D16" s="231">
        <v>3</v>
      </c>
      <c r="E16" s="231">
        <v>9</v>
      </c>
      <c r="F16" s="231">
        <v>7400</v>
      </c>
      <c r="G16" s="231">
        <v>0</v>
      </c>
      <c r="H16" s="231">
        <v>7400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19</v>
      </c>
      <c r="D17" s="231">
        <v>3</v>
      </c>
      <c r="E17" s="231">
        <v>11</v>
      </c>
      <c r="F17" s="231">
        <v>1315.0182020114764</v>
      </c>
      <c r="G17" s="231">
        <v>0</v>
      </c>
      <c r="H17" s="231">
        <v>1315.0182020114764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19</v>
      </c>
      <c r="D18" s="231">
        <v>4</v>
      </c>
      <c r="E18" s="231">
        <v>1</v>
      </c>
      <c r="F18" s="231">
        <v>11.35</v>
      </c>
      <c r="G18" s="231">
        <v>0</v>
      </c>
      <c r="H18" s="231">
        <v>4.3499999999999996</v>
      </c>
      <c r="I18" s="231">
        <v>0</v>
      </c>
      <c r="J18" s="231">
        <v>0</v>
      </c>
      <c r="K18" s="231">
        <v>5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2</v>
      </c>
      <c r="AO18" s="231">
        <v>0</v>
      </c>
    </row>
    <row r="19" spans="3:41" x14ac:dyDescent="0.3">
      <c r="C19" s="231">
        <v>19</v>
      </c>
      <c r="D19" s="231">
        <v>4</v>
      </c>
      <c r="E19" s="231">
        <v>2</v>
      </c>
      <c r="F19" s="231">
        <v>1892</v>
      </c>
      <c r="G19" s="231">
        <v>0</v>
      </c>
      <c r="H19" s="231">
        <v>712</v>
      </c>
      <c r="I19" s="231">
        <v>0</v>
      </c>
      <c r="J19" s="231">
        <v>0</v>
      </c>
      <c r="K19" s="231">
        <v>844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336</v>
      </c>
      <c r="AO19" s="231">
        <v>0</v>
      </c>
    </row>
    <row r="20" spans="3:41" x14ac:dyDescent="0.3">
      <c r="C20" s="231">
        <v>19</v>
      </c>
      <c r="D20" s="231">
        <v>4</v>
      </c>
      <c r="E20" s="231">
        <v>6</v>
      </c>
      <c r="F20" s="231">
        <v>510792</v>
      </c>
      <c r="G20" s="231">
        <v>0</v>
      </c>
      <c r="H20" s="231">
        <v>294252</v>
      </c>
      <c r="I20" s="231">
        <v>0</v>
      </c>
      <c r="J20" s="231">
        <v>0</v>
      </c>
      <c r="K20" s="231">
        <v>175226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41314</v>
      </c>
      <c r="AO20" s="231">
        <v>0</v>
      </c>
    </row>
    <row r="21" spans="3:41" x14ac:dyDescent="0.3">
      <c r="C21" s="231">
        <v>19</v>
      </c>
      <c r="D21" s="231">
        <v>4</v>
      </c>
      <c r="E21" s="231">
        <v>9</v>
      </c>
      <c r="F21" s="231">
        <v>80000</v>
      </c>
      <c r="G21" s="231">
        <v>0</v>
      </c>
      <c r="H21" s="231">
        <v>47000</v>
      </c>
      <c r="I21" s="231">
        <v>0</v>
      </c>
      <c r="J21" s="231">
        <v>0</v>
      </c>
      <c r="K21" s="231">
        <v>30000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3000</v>
      </c>
      <c r="AO21" s="231">
        <v>0</v>
      </c>
    </row>
    <row r="22" spans="3:41" x14ac:dyDescent="0.3">
      <c r="C22" s="231">
        <v>19</v>
      </c>
      <c r="D22" s="231">
        <v>4</v>
      </c>
      <c r="E22" s="231">
        <v>10</v>
      </c>
      <c r="F22" s="231">
        <v>10000</v>
      </c>
      <c r="G22" s="231">
        <v>0</v>
      </c>
      <c r="H22" s="231">
        <v>10000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19</v>
      </c>
      <c r="D23" s="231">
        <v>4</v>
      </c>
      <c r="E23" s="231">
        <v>11</v>
      </c>
      <c r="F23" s="231">
        <v>1315.0182020114764</v>
      </c>
      <c r="G23" s="231">
        <v>0</v>
      </c>
      <c r="H23" s="231">
        <v>1315.0182020114764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828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702353</v>
      </c>
      <c r="C3" s="223">
        <f t="shared" ref="C3:R3" si="0">SUBTOTAL(9,C6:C1048576)</f>
        <v>4</v>
      </c>
      <c r="D3" s="223">
        <f>SUBTOTAL(9,D6:D1048576)/2</f>
        <v>738437</v>
      </c>
      <c r="E3" s="223">
        <f t="shared" si="0"/>
        <v>4.9687466762211105</v>
      </c>
      <c r="F3" s="223">
        <f>SUBTOTAL(9,F6:F1048576)/2</f>
        <v>855636.66999999993</v>
      </c>
      <c r="G3" s="224">
        <f>IF(B3&lt;&gt;0,F3/B3,"")</f>
        <v>1.2182430629612173</v>
      </c>
      <c r="H3" s="225">
        <f t="shared" si="0"/>
        <v>28617.279999999999</v>
      </c>
      <c r="I3" s="223">
        <f t="shared" si="0"/>
        <v>1</v>
      </c>
      <c r="J3" s="223">
        <f t="shared" si="0"/>
        <v>23283.98000000001</v>
      </c>
      <c r="K3" s="223">
        <f t="shared" si="0"/>
        <v>0.81363358082948523</v>
      </c>
      <c r="L3" s="223">
        <f t="shared" si="0"/>
        <v>24233.589999999997</v>
      </c>
      <c r="M3" s="226">
        <f>IF(H3&lt;&gt;0,L3/H3,"")</f>
        <v>0.84681667859419196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281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826</v>
      </c>
      <c r="B6" s="614">
        <v>687845</v>
      </c>
      <c r="C6" s="540">
        <v>1</v>
      </c>
      <c r="D6" s="614">
        <v>696334</v>
      </c>
      <c r="E6" s="540">
        <v>1.0123414432030473</v>
      </c>
      <c r="F6" s="614">
        <v>818746.66999999993</v>
      </c>
      <c r="G6" s="545">
        <v>1.1903069296135029</v>
      </c>
      <c r="H6" s="614">
        <v>28617.279999999999</v>
      </c>
      <c r="I6" s="540">
        <v>1</v>
      </c>
      <c r="J6" s="614">
        <v>23283.98000000001</v>
      </c>
      <c r="K6" s="540">
        <v>0.81363358082948523</v>
      </c>
      <c r="L6" s="614">
        <v>24233.589999999997</v>
      </c>
      <c r="M6" s="545">
        <v>0.84681667859419196</v>
      </c>
      <c r="N6" s="614"/>
      <c r="O6" s="540"/>
      <c r="P6" s="614"/>
      <c r="Q6" s="540"/>
      <c r="R6" s="614"/>
      <c r="S6" s="122"/>
    </row>
    <row r="7" spans="1:19" ht="14.4" customHeight="1" thickBot="1" x14ac:dyDescent="0.35">
      <c r="A7" s="616" t="s">
        <v>827</v>
      </c>
      <c r="B7" s="615">
        <v>14508</v>
      </c>
      <c r="C7" s="555">
        <v>1</v>
      </c>
      <c r="D7" s="615">
        <v>42103</v>
      </c>
      <c r="E7" s="555">
        <v>2.9020540391508134</v>
      </c>
      <c r="F7" s="615">
        <v>36890</v>
      </c>
      <c r="G7" s="560">
        <v>2.5427350427350426</v>
      </c>
      <c r="H7" s="615"/>
      <c r="I7" s="555"/>
      <c r="J7" s="615"/>
      <c r="K7" s="555"/>
      <c r="L7" s="615"/>
      <c r="M7" s="560"/>
      <c r="N7" s="615"/>
      <c r="O7" s="555"/>
      <c r="P7" s="615"/>
      <c r="Q7" s="555"/>
      <c r="R7" s="615"/>
      <c r="S7" s="561"/>
    </row>
    <row r="8" spans="1:19" ht="14.4" customHeight="1" thickBot="1" x14ac:dyDescent="0.35"/>
    <row r="9" spans="1:19" ht="14.4" customHeight="1" x14ac:dyDescent="0.3">
      <c r="A9" s="571" t="s">
        <v>434</v>
      </c>
      <c r="B9" s="614">
        <v>700371</v>
      </c>
      <c r="C9" s="540">
        <v>1</v>
      </c>
      <c r="D9" s="614">
        <v>738437</v>
      </c>
      <c r="E9" s="540">
        <v>1.0543511938672503</v>
      </c>
      <c r="F9" s="614">
        <v>855636.66999999993</v>
      </c>
      <c r="G9" s="545">
        <v>1.2216906039798905</v>
      </c>
      <c r="H9" s="614"/>
      <c r="I9" s="540"/>
      <c r="J9" s="614"/>
      <c r="K9" s="540"/>
      <c r="L9" s="614"/>
      <c r="M9" s="545"/>
      <c r="N9" s="614"/>
      <c r="O9" s="540"/>
      <c r="P9" s="614"/>
      <c r="Q9" s="540"/>
      <c r="R9" s="614"/>
      <c r="S9" s="122"/>
    </row>
    <row r="10" spans="1:19" ht="14.4" customHeight="1" thickBot="1" x14ac:dyDescent="0.35">
      <c r="A10" s="616" t="s">
        <v>750</v>
      </c>
      <c r="B10" s="615">
        <v>1982</v>
      </c>
      <c r="C10" s="555">
        <v>1</v>
      </c>
      <c r="D10" s="615"/>
      <c r="E10" s="555"/>
      <c r="F10" s="615"/>
      <c r="G10" s="560"/>
      <c r="H10" s="615"/>
      <c r="I10" s="555"/>
      <c r="J10" s="615"/>
      <c r="K10" s="555"/>
      <c r="L10" s="615"/>
      <c r="M10" s="560"/>
      <c r="N10" s="615"/>
      <c r="O10" s="555"/>
      <c r="P10" s="615"/>
      <c r="Q10" s="555"/>
      <c r="R10" s="615"/>
      <c r="S10" s="561"/>
    </row>
    <row r="11" spans="1:19" ht="14.4" customHeight="1" x14ac:dyDescent="0.3">
      <c r="A11" s="520" t="s">
        <v>545</v>
      </c>
    </row>
    <row r="12" spans="1:19" ht="14.4" customHeight="1" x14ac:dyDescent="0.3">
      <c r="A12" s="521" t="s">
        <v>546</v>
      </c>
    </row>
    <row r="13" spans="1:19" ht="14.4" customHeight="1" x14ac:dyDescent="0.3">
      <c r="A13" s="520" t="s">
        <v>829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832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5793</v>
      </c>
      <c r="C3" s="316">
        <f t="shared" si="0"/>
        <v>6602</v>
      </c>
      <c r="D3" s="316">
        <f t="shared" si="0"/>
        <v>7287</v>
      </c>
      <c r="E3" s="225">
        <f t="shared" si="0"/>
        <v>702353</v>
      </c>
      <c r="F3" s="223">
        <f t="shared" si="0"/>
        <v>738437</v>
      </c>
      <c r="G3" s="317">
        <f t="shared" si="0"/>
        <v>855636.66999999993</v>
      </c>
    </row>
    <row r="4" spans="1:7" ht="14.4" customHeight="1" x14ac:dyDescent="0.3">
      <c r="A4" s="398" t="s">
        <v>136</v>
      </c>
      <c r="B4" s="399" t="s">
        <v>257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0"/>
      <c r="B5" s="611">
        <v>2013</v>
      </c>
      <c r="C5" s="612">
        <v>2014</v>
      </c>
      <c r="D5" s="612">
        <v>2015</v>
      </c>
      <c r="E5" s="611">
        <v>2013</v>
      </c>
      <c r="F5" s="612">
        <v>2014</v>
      </c>
      <c r="G5" s="617">
        <v>2015</v>
      </c>
    </row>
    <row r="6" spans="1:7" ht="14.4" customHeight="1" x14ac:dyDescent="0.3">
      <c r="A6" s="571" t="s">
        <v>830</v>
      </c>
      <c r="B6" s="116">
        <v>473</v>
      </c>
      <c r="C6" s="116">
        <v>1466</v>
      </c>
      <c r="D6" s="116">
        <v>2555</v>
      </c>
      <c r="E6" s="614">
        <v>2517</v>
      </c>
      <c r="F6" s="614">
        <v>77986</v>
      </c>
      <c r="G6" s="618">
        <v>151745.66999999998</v>
      </c>
    </row>
    <row r="7" spans="1:7" ht="14.4" customHeight="1" x14ac:dyDescent="0.3">
      <c r="A7" s="572" t="s">
        <v>548</v>
      </c>
      <c r="B7" s="564">
        <v>2146</v>
      </c>
      <c r="C7" s="564">
        <v>2436</v>
      </c>
      <c r="D7" s="564">
        <v>2304</v>
      </c>
      <c r="E7" s="619">
        <v>204308</v>
      </c>
      <c r="F7" s="619">
        <v>227076</v>
      </c>
      <c r="G7" s="620">
        <v>235737</v>
      </c>
    </row>
    <row r="8" spans="1:7" ht="14.4" customHeight="1" x14ac:dyDescent="0.3">
      <c r="A8" s="572" t="s">
        <v>549</v>
      </c>
      <c r="B8" s="564">
        <v>69</v>
      </c>
      <c r="C8" s="564">
        <v>20</v>
      </c>
      <c r="D8" s="564">
        <v>8</v>
      </c>
      <c r="E8" s="619">
        <v>4273</v>
      </c>
      <c r="F8" s="619">
        <v>3841</v>
      </c>
      <c r="G8" s="620">
        <v>1223</v>
      </c>
    </row>
    <row r="9" spans="1:7" ht="14.4" customHeight="1" x14ac:dyDescent="0.3">
      <c r="A9" s="572" t="s">
        <v>550</v>
      </c>
      <c r="B9" s="564">
        <v>1269</v>
      </c>
      <c r="C9" s="564">
        <v>1134</v>
      </c>
      <c r="D9" s="564">
        <v>1122</v>
      </c>
      <c r="E9" s="619">
        <v>215887</v>
      </c>
      <c r="F9" s="619">
        <v>169922</v>
      </c>
      <c r="G9" s="620">
        <v>198961</v>
      </c>
    </row>
    <row r="10" spans="1:7" ht="14.4" customHeight="1" x14ac:dyDescent="0.3">
      <c r="A10" s="572" t="s">
        <v>551</v>
      </c>
      <c r="B10" s="564">
        <v>61</v>
      </c>
      <c r="C10" s="564">
        <v>19</v>
      </c>
      <c r="D10" s="564">
        <v>33</v>
      </c>
      <c r="E10" s="619">
        <v>5851</v>
      </c>
      <c r="F10" s="619">
        <v>2013</v>
      </c>
      <c r="G10" s="620">
        <v>5976</v>
      </c>
    </row>
    <row r="11" spans="1:7" ht="14.4" customHeight="1" x14ac:dyDescent="0.3">
      <c r="A11" s="572" t="s">
        <v>552</v>
      </c>
      <c r="B11" s="564">
        <v>477</v>
      </c>
      <c r="C11" s="564">
        <v>1127</v>
      </c>
      <c r="D11" s="564">
        <v>966</v>
      </c>
      <c r="E11" s="619">
        <v>92158</v>
      </c>
      <c r="F11" s="619">
        <v>187138</v>
      </c>
      <c r="G11" s="620">
        <v>219921</v>
      </c>
    </row>
    <row r="12" spans="1:7" ht="14.4" customHeight="1" x14ac:dyDescent="0.3">
      <c r="A12" s="572" t="s">
        <v>831</v>
      </c>
      <c r="B12" s="564">
        <v>436</v>
      </c>
      <c r="C12" s="564"/>
      <c r="D12" s="564"/>
      <c r="E12" s="619">
        <v>45473</v>
      </c>
      <c r="F12" s="619"/>
      <c r="G12" s="620"/>
    </row>
    <row r="13" spans="1:7" ht="14.4" customHeight="1" thickBot="1" x14ac:dyDescent="0.35">
      <c r="A13" s="616" t="s">
        <v>553</v>
      </c>
      <c r="B13" s="566">
        <v>862</v>
      </c>
      <c r="C13" s="566">
        <v>400</v>
      </c>
      <c r="D13" s="566">
        <v>299</v>
      </c>
      <c r="E13" s="615">
        <v>131886</v>
      </c>
      <c r="F13" s="615">
        <v>70461</v>
      </c>
      <c r="G13" s="621">
        <v>42073</v>
      </c>
    </row>
    <row r="14" spans="1:7" ht="14.4" customHeight="1" x14ac:dyDescent="0.3">
      <c r="A14" s="520" t="s">
        <v>545</v>
      </c>
    </row>
    <row r="15" spans="1:7" ht="14.4" customHeight="1" x14ac:dyDescent="0.3">
      <c r="A15" s="521" t="s">
        <v>546</v>
      </c>
    </row>
    <row r="16" spans="1:7" ht="14.4" customHeight="1" x14ac:dyDescent="0.3">
      <c r="A16" s="520" t="s">
        <v>829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906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282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6997.4</v>
      </c>
      <c r="F3" s="103">
        <f t="shared" si="0"/>
        <v>730970.28</v>
      </c>
      <c r="G3" s="74"/>
      <c r="H3" s="74"/>
      <c r="I3" s="103">
        <f t="shared" si="0"/>
        <v>7785.4</v>
      </c>
      <c r="J3" s="103">
        <f t="shared" si="0"/>
        <v>761720.98</v>
      </c>
      <c r="K3" s="74"/>
      <c r="L3" s="74"/>
      <c r="M3" s="103">
        <f t="shared" si="0"/>
        <v>8595.1</v>
      </c>
      <c r="N3" s="103">
        <f t="shared" si="0"/>
        <v>879870.26</v>
      </c>
      <c r="O3" s="75">
        <f>IF(F3=0,0,N3/F3)</f>
        <v>1.2037018249223483</v>
      </c>
      <c r="P3" s="104">
        <f>IF(M3=0,0,N3/M3)</f>
        <v>102.36882177054368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22"/>
      <c r="B5" s="623"/>
      <c r="C5" s="624"/>
      <c r="D5" s="625"/>
      <c r="E5" s="626" t="s">
        <v>72</v>
      </c>
      <c r="F5" s="627" t="s">
        <v>14</v>
      </c>
      <c r="G5" s="628"/>
      <c r="H5" s="628"/>
      <c r="I5" s="626" t="s">
        <v>72</v>
      </c>
      <c r="J5" s="627" t="s">
        <v>14</v>
      </c>
      <c r="K5" s="628"/>
      <c r="L5" s="628"/>
      <c r="M5" s="626" t="s">
        <v>72</v>
      </c>
      <c r="N5" s="627" t="s">
        <v>14</v>
      </c>
      <c r="O5" s="629"/>
      <c r="P5" s="630"/>
    </row>
    <row r="6" spans="1:16" ht="14.4" customHeight="1" x14ac:dyDescent="0.3">
      <c r="A6" s="539" t="s">
        <v>833</v>
      </c>
      <c r="B6" s="540" t="s">
        <v>834</v>
      </c>
      <c r="C6" s="540" t="s">
        <v>835</v>
      </c>
      <c r="D6" s="540" t="s">
        <v>836</v>
      </c>
      <c r="E6" s="116">
        <v>167.60000000000002</v>
      </c>
      <c r="F6" s="116">
        <v>15283.419999999996</v>
      </c>
      <c r="G6" s="540">
        <v>1</v>
      </c>
      <c r="H6" s="540">
        <v>91.189856801909272</v>
      </c>
      <c r="I6" s="116">
        <v>175.79999999999998</v>
      </c>
      <c r="J6" s="116">
        <v>9942.9999999999982</v>
      </c>
      <c r="K6" s="540">
        <v>0.6505742824577222</v>
      </c>
      <c r="L6" s="540">
        <v>56.558589306029575</v>
      </c>
      <c r="M6" s="116">
        <v>196.79999999999998</v>
      </c>
      <c r="N6" s="116">
        <v>10646.880000000001</v>
      </c>
      <c r="O6" s="545">
        <v>0.69662941933153733</v>
      </c>
      <c r="P6" s="563">
        <v>54.100000000000009</v>
      </c>
    </row>
    <row r="7" spans="1:16" ht="14.4" customHeight="1" x14ac:dyDescent="0.3">
      <c r="A7" s="546" t="s">
        <v>833</v>
      </c>
      <c r="B7" s="547" t="s">
        <v>834</v>
      </c>
      <c r="C7" s="547" t="s">
        <v>837</v>
      </c>
      <c r="D7" s="547" t="s">
        <v>838</v>
      </c>
      <c r="E7" s="564">
        <v>4</v>
      </c>
      <c r="F7" s="564">
        <v>486.32</v>
      </c>
      <c r="G7" s="547">
        <v>1</v>
      </c>
      <c r="H7" s="547">
        <v>121.58</v>
      </c>
      <c r="I7" s="564"/>
      <c r="J7" s="564"/>
      <c r="K7" s="547"/>
      <c r="L7" s="547"/>
      <c r="M7" s="564">
        <v>3.4000000000000004</v>
      </c>
      <c r="N7" s="564">
        <v>368.04999999999995</v>
      </c>
      <c r="O7" s="552">
        <v>0.75680621812798154</v>
      </c>
      <c r="P7" s="565">
        <v>108.24999999999997</v>
      </c>
    </row>
    <row r="8" spans="1:16" ht="14.4" customHeight="1" x14ac:dyDescent="0.3">
      <c r="A8" s="546" t="s">
        <v>833</v>
      </c>
      <c r="B8" s="547" t="s">
        <v>834</v>
      </c>
      <c r="C8" s="547" t="s">
        <v>839</v>
      </c>
      <c r="D8" s="547" t="s">
        <v>840</v>
      </c>
      <c r="E8" s="564"/>
      <c r="F8" s="564"/>
      <c r="G8" s="547"/>
      <c r="H8" s="547"/>
      <c r="I8" s="564">
        <v>0.1</v>
      </c>
      <c r="J8" s="564">
        <v>13.65</v>
      </c>
      <c r="K8" s="547"/>
      <c r="L8" s="547">
        <v>136.5</v>
      </c>
      <c r="M8" s="564"/>
      <c r="N8" s="564"/>
      <c r="O8" s="552"/>
      <c r="P8" s="565"/>
    </row>
    <row r="9" spans="1:16" ht="14.4" customHeight="1" x14ac:dyDescent="0.3">
      <c r="A9" s="546" t="s">
        <v>833</v>
      </c>
      <c r="B9" s="547" t="s">
        <v>834</v>
      </c>
      <c r="C9" s="547" t="s">
        <v>841</v>
      </c>
      <c r="D9" s="547" t="s">
        <v>842</v>
      </c>
      <c r="E9" s="564">
        <v>8.5</v>
      </c>
      <c r="F9" s="564">
        <v>896.38</v>
      </c>
      <c r="G9" s="547">
        <v>1</v>
      </c>
      <c r="H9" s="547">
        <v>105.45647058823529</v>
      </c>
      <c r="I9" s="564">
        <v>11.7</v>
      </c>
      <c r="J9" s="564">
        <v>1233.3000000000002</v>
      </c>
      <c r="K9" s="547">
        <v>1.3758673776746471</v>
      </c>
      <c r="L9" s="547">
        <v>105.41025641025644</v>
      </c>
      <c r="M9" s="564">
        <v>11.000000000000002</v>
      </c>
      <c r="N9" s="564">
        <v>710.8599999999999</v>
      </c>
      <c r="O9" s="552">
        <v>0.79303420424373583</v>
      </c>
      <c r="P9" s="565">
        <v>64.623636363636351</v>
      </c>
    </row>
    <row r="10" spans="1:16" ht="14.4" customHeight="1" x14ac:dyDescent="0.3">
      <c r="A10" s="546" t="s">
        <v>833</v>
      </c>
      <c r="B10" s="547" t="s">
        <v>834</v>
      </c>
      <c r="C10" s="547" t="s">
        <v>843</v>
      </c>
      <c r="D10" s="547" t="s">
        <v>844</v>
      </c>
      <c r="E10" s="564">
        <v>9.3000000000000007</v>
      </c>
      <c r="F10" s="564">
        <v>1028.8499999999999</v>
      </c>
      <c r="G10" s="547">
        <v>1</v>
      </c>
      <c r="H10" s="547">
        <v>110.6290322580645</v>
      </c>
      <c r="I10" s="564">
        <v>6.8000000000000007</v>
      </c>
      <c r="J10" s="564">
        <v>752.1400000000001</v>
      </c>
      <c r="K10" s="547">
        <v>0.73104922972250586</v>
      </c>
      <c r="L10" s="547">
        <v>110.60882352941177</v>
      </c>
      <c r="M10" s="564">
        <v>13.9</v>
      </c>
      <c r="N10" s="564">
        <v>2413.8199999999997</v>
      </c>
      <c r="O10" s="552">
        <v>2.3461340331438012</v>
      </c>
      <c r="P10" s="565">
        <v>173.65611510791365</v>
      </c>
    </row>
    <row r="11" spans="1:16" ht="14.4" customHeight="1" x14ac:dyDescent="0.3">
      <c r="A11" s="546" t="s">
        <v>833</v>
      </c>
      <c r="B11" s="547" t="s">
        <v>834</v>
      </c>
      <c r="C11" s="547" t="s">
        <v>845</v>
      </c>
      <c r="D11" s="547" t="s">
        <v>846</v>
      </c>
      <c r="E11" s="564">
        <v>13</v>
      </c>
      <c r="F11" s="564">
        <v>122.85</v>
      </c>
      <c r="G11" s="547">
        <v>1</v>
      </c>
      <c r="H11" s="547">
        <v>9.4499999999999993</v>
      </c>
      <c r="I11" s="564">
        <v>16</v>
      </c>
      <c r="J11" s="564">
        <v>151.19999999999999</v>
      </c>
      <c r="K11" s="547">
        <v>1.2307692307692308</v>
      </c>
      <c r="L11" s="547">
        <v>9.4499999999999993</v>
      </c>
      <c r="M11" s="564"/>
      <c r="N11" s="564"/>
      <c r="O11" s="552"/>
      <c r="P11" s="565"/>
    </row>
    <row r="12" spans="1:16" ht="14.4" customHeight="1" x14ac:dyDescent="0.3">
      <c r="A12" s="546" t="s">
        <v>833</v>
      </c>
      <c r="B12" s="547" t="s">
        <v>834</v>
      </c>
      <c r="C12" s="547" t="s">
        <v>847</v>
      </c>
      <c r="D12" s="547"/>
      <c r="E12" s="564">
        <v>876</v>
      </c>
      <c r="F12" s="564">
        <v>3311.28</v>
      </c>
      <c r="G12" s="547">
        <v>1</v>
      </c>
      <c r="H12" s="547">
        <v>3.7800000000000002</v>
      </c>
      <c r="I12" s="564">
        <v>838</v>
      </c>
      <c r="J12" s="564">
        <v>3167.64</v>
      </c>
      <c r="K12" s="547">
        <v>0.95662100456620991</v>
      </c>
      <c r="L12" s="547">
        <v>3.78</v>
      </c>
      <c r="M12" s="564"/>
      <c r="N12" s="564"/>
      <c r="O12" s="552"/>
      <c r="P12" s="565"/>
    </row>
    <row r="13" spans="1:16" ht="14.4" customHeight="1" x14ac:dyDescent="0.3">
      <c r="A13" s="546" t="s">
        <v>833</v>
      </c>
      <c r="B13" s="547" t="s">
        <v>834</v>
      </c>
      <c r="C13" s="547" t="s">
        <v>848</v>
      </c>
      <c r="D13" s="547" t="s">
        <v>849</v>
      </c>
      <c r="E13" s="564">
        <v>126</v>
      </c>
      <c r="F13" s="564">
        <v>7488.18</v>
      </c>
      <c r="G13" s="547">
        <v>1</v>
      </c>
      <c r="H13" s="547">
        <v>59.43</v>
      </c>
      <c r="I13" s="564">
        <v>135</v>
      </c>
      <c r="J13" s="564">
        <v>8023.0499999999993</v>
      </c>
      <c r="K13" s="547">
        <v>1.0714285714285714</v>
      </c>
      <c r="L13" s="547">
        <v>59.429999999999993</v>
      </c>
      <c r="M13" s="564">
        <v>116</v>
      </c>
      <c r="N13" s="564">
        <v>6593.4400000000014</v>
      </c>
      <c r="O13" s="552">
        <v>0.88051302185577818</v>
      </c>
      <c r="P13" s="565">
        <v>56.840000000000011</v>
      </c>
    </row>
    <row r="14" spans="1:16" ht="14.4" customHeight="1" x14ac:dyDescent="0.3">
      <c r="A14" s="546" t="s">
        <v>833</v>
      </c>
      <c r="B14" s="547" t="s">
        <v>834</v>
      </c>
      <c r="C14" s="547" t="s">
        <v>850</v>
      </c>
      <c r="D14" s="547" t="s">
        <v>851</v>
      </c>
      <c r="E14" s="564"/>
      <c r="F14" s="564"/>
      <c r="G14" s="547"/>
      <c r="H14" s="547"/>
      <c r="I14" s="564"/>
      <c r="J14" s="564"/>
      <c r="K14" s="547"/>
      <c r="L14" s="547"/>
      <c r="M14" s="564">
        <v>967</v>
      </c>
      <c r="N14" s="564">
        <v>3500.54</v>
      </c>
      <c r="O14" s="552"/>
      <c r="P14" s="565">
        <v>3.62</v>
      </c>
    </row>
    <row r="15" spans="1:16" ht="14.4" customHeight="1" x14ac:dyDescent="0.3">
      <c r="A15" s="546" t="s">
        <v>833</v>
      </c>
      <c r="B15" s="547" t="s">
        <v>852</v>
      </c>
      <c r="C15" s="547" t="s">
        <v>853</v>
      </c>
      <c r="D15" s="547" t="s">
        <v>854</v>
      </c>
      <c r="E15" s="564">
        <v>66</v>
      </c>
      <c r="F15" s="564">
        <v>11154</v>
      </c>
      <c r="G15" s="547">
        <v>1</v>
      </c>
      <c r="H15" s="547">
        <v>169</v>
      </c>
      <c r="I15" s="564">
        <v>37</v>
      </c>
      <c r="J15" s="564">
        <v>6261</v>
      </c>
      <c r="K15" s="547">
        <v>0.56132329209252285</v>
      </c>
      <c r="L15" s="547">
        <v>169.21621621621622</v>
      </c>
      <c r="M15" s="564">
        <v>29</v>
      </c>
      <c r="N15" s="564">
        <v>4959</v>
      </c>
      <c r="O15" s="552">
        <v>0.44459386767079073</v>
      </c>
      <c r="P15" s="565">
        <v>171</v>
      </c>
    </row>
    <row r="16" spans="1:16" ht="14.4" customHeight="1" x14ac:dyDescent="0.3">
      <c r="A16" s="546" t="s">
        <v>833</v>
      </c>
      <c r="B16" s="547" t="s">
        <v>852</v>
      </c>
      <c r="C16" s="547" t="s">
        <v>855</v>
      </c>
      <c r="D16" s="547" t="s">
        <v>856</v>
      </c>
      <c r="E16" s="564">
        <v>6</v>
      </c>
      <c r="F16" s="564">
        <v>672</v>
      </c>
      <c r="G16" s="547">
        <v>1</v>
      </c>
      <c r="H16" s="547">
        <v>112</v>
      </c>
      <c r="I16" s="564">
        <v>44</v>
      </c>
      <c r="J16" s="564">
        <v>4941</v>
      </c>
      <c r="K16" s="547">
        <v>7.3526785714285712</v>
      </c>
      <c r="L16" s="547">
        <v>112.29545454545455</v>
      </c>
      <c r="M16" s="564">
        <v>23</v>
      </c>
      <c r="N16" s="564">
        <v>2599</v>
      </c>
      <c r="O16" s="552">
        <v>3.8675595238095237</v>
      </c>
      <c r="P16" s="565">
        <v>113</v>
      </c>
    </row>
    <row r="17" spans="1:16" ht="14.4" customHeight="1" x14ac:dyDescent="0.3">
      <c r="A17" s="546" t="s">
        <v>833</v>
      </c>
      <c r="B17" s="547" t="s">
        <v>852</v>
      </c>
      <c r="C17" s="547" t="s">
        <v>857</v>
      </c>
      <c r="D17" s="547" t="s">
        <v>858</v>
      </c>
      <c r="E17" s="564">
        <v>1312</v>
      </c>
      <c r="F17" s="564">
        <v>44608</v>
      </c>
      <c r="G17" s="547">
        <v>1</v>
      </c>
      <c r="H17" s="547">
        <v>34</v>
      </c>
      <c r="I17" s="564">
        <v>1384</v>
      </c>
      <c r="J17" s="564">
        <v>47481</v>
      </c>
      <c r="K17" s="547">
        <v>1.0644054878048781</v>
      </c>
      <c r="L17" s="547">
        <v>34.307080924855491</v>
      </c>
      <c r="M17" s="564">
        <v>1310</v>
      </c>
      <c r="N17" s="564">
        <v>45850</v>
      </c>
      <c r="O17" s="552">
        <v>1.0278425394548063</v>
      </c>
      <c r="P17" s="565">
        <v>35</v>
      </c>
    </row>
    <row r="18" spans="1:16" ht="14.4" customHeight="1" x14ac:dyDescent="0.3">
      <c r="A18" s="546" t="s">
        <v>833</v>
      </c>
      <c r="B18" s="547" t="s">
        <v>852</v>
      </c>
      <c r="C18" s="547" t="s">
        <v>859</v>
      </c>
      <c r="D18" s="547" t="s">
        <v>860</v>
      </c>
      <c r="E18" s="564">
        <v>232</v>
      </c>
      <c r="F18" s="564">
        <v>2320</v>
      </c>
      <c r="G18" s="547">
        <v>1</v>
      </c>
      <c r="H18" s="547">
        <v>10</v>
      </c>
      <c r="I18" s="564">
        <v>317</v>
      </c>
      <c r="J18" s="564">
        <v>3170</v>
      </c>
      <c r="K18" s="547">
        <v>1.3663793103448276</v>
      </c>
      <c r="L18" s="547">
        <v>10</v>
      </c>
      <c r="M18" s="564">
        <v>451</v>
      </c>
      <c r="N18" s="564">
        <v>4510</v>
      </c>
      <c r="O18" s="552">
        <v>1.9439655172413792</v>
      </c>
      <c r="P18" s="565">
        <v>10</v>
      </c>
    </row>
    <row r="19" spans="1:16" ht="14.4" customHeight="1" x14ac:dyDescent="0.3">
      <c r="A19" s="546" t="s">
        <v>833</v>
      </c>
      <c r="B19" s="547" t="s">
        <v>852</v>
      </c>
      <c r="C19" s="547" t="s">
        <v>861</v>
      </c>
      <c r="D19" s="547" t="s">
        <v>862</v>
      </c>
      <c r="E19" s="564">
        <v>35</v>
      </c>
      <c r="F19" s="564">
        <v>175</v>
      </c>
      <c r="G19" s="547">
        <v>1</v>
      </c>
      <c r="H19" s="547">
        <v>5</v>
      </c>
      <c r="I19" s="564">
        <v>41</v>
      </c>
      <c r="J19" s="564">
        <v>205</v>
      </c>
      <c r="K19" s="547">
        <v>1.1714285714285715</v>
      </c>
      <c r="L19" s="547">
        <v>5</v>
      </c>
      <c r="M19" s="564">
        <v>44</v>
      </c>
      <c r="N19" s="564">
        <v>220</v>
      </c>
      <c r="O19" s="552">
        <v>1.2571428571428571</v>
      </c>
      <c r="P19" s="565">
        <v>5</v>
      </c>
    </row>
    <row r="20" spans="1:16" ht="14.4" customHeight="1" x14ac:dyDescent="0.3">
      <c r="A20" s="546" t="s">
        <v>833</v>
      </c>
      <c r="B20" s="547" t="s">
        <v>852</v>
      </c>
      <c r="C20" s="547" t="s">
        <v>863</v>
      </c>
      <c r="D20" s="547" t="s">
        <v>864</v>
      </c>
      <c r="E20" s="564">
        <v>10</v>
      </c>
      <c r="F20" s="564">
        <v>50</v>
      </c>
      <c r="G20" s="547">
        <v>1</v>
      </c>
      <c r="H20" s="547">
        <v>5</v>
      </c>
      <c r="I20" s="564">
        <v>5</v>
      </c>
      <c r="J20" s="564">
        <v>25</v>
      </c>
      <c r="K20" s="547">
        <v>0.5</v>
      </c>
      <c r="L20" s="547">
        <v>5</v>
      </c>
      <c r="M20" s="564">
        <v>10</v>
      </c>
      <c r="N20" s="564">
        <v>50</v>
      </c>
      <c r="O20" s="552">
        <v>1</v>
      </c>
      <c r="P20" s="565">
        <v>5</v>
      </c>
    </row>
    <row r="21" spans="1:16" ht="14.4" customHeight="1" x14ac:dyDescent="0.3">
      <c r="A21" s="546" t="s">
        <v>833</v>
      </c>
      <c r="B21" s="547" t="s">
        <v>852</v>
      </c>
      <c r="C21" s="547" t="s">
        <v>865</v>
      </c>
      <c r="D21" s="547" t="s">
        <v>866</v>
      </c>
      <c r="E21" s="564">
        <v>16</v>
      </c>
      <c r="F21" s="564">
        <v>1104</v>
      </c>
      <c r="G21" s="547">
        <v>1</v>
      </c>
      <c r="H21" s="547">
        <v>69</v>
      </c>
      <c r="I21" s="564">
        <v>125</v>
      </c>
      <c r="J21" s="564">
        <v>8643</v>
      </c>
      <c r="K21" s="547">
        <v>7.8288043478260869</v>
      </c>
      <c r="L21" s="547">
        <v>69.144000000000005</v>
      </c>
      <c r="M21" s="564">
        <v>64</v>
      </c>
      <c r="N21" s="564">
        <v>4480</v>
      </c>
      <c r="O21" s="552">
        <v>4.0579710144927539</v>
      </c>
      <c r="P21" s="565">
        <v>70</v>
      </c>
    </row>
    <row r="22" spans="1:16" ht="14.4" customHeight="1" x14ac:dyDescent="0.3">
      <c r="A22" s="546" t="s">
        <v>833</v>
      </c>
      <c r="B22" s="547" t="s">
        <v>852</v>
      </c>
      <c r="C22" s="547" t="s">
        <v>867</v>
      </c>
      <c r="D22" s="547" t="s">
        <v>868</v>
      </c>
      <c r="E22" s="564"/>
      <c r="F22" s="564"/>
      <c r="G22" s="547"/>
      <c r="H22" s="547"/>
      <c r="I22" s="564"/>
      <c r="J22" s="564"/>
      <c r="K22" s="547"/>
      <c r="L22" s="547"/>
      <c r="M22" s="564">
        <v>49</v>
      </c>
      <c r="N22" s="564">
        <v>1715</v>
      </c>
      <c r="O22" s="552"/>
      <c r="P22" s="565">
        <v>35</v>
      </c>
    </row>
    <row r="23" spans="1:16" ht="14.4" customHeight="1" x14ac:dyDescent="0.3">
      <c r="A23" s="546" t="s">
        <v>833</v>
      </c>
      <c r="B23" s="547" t="s">
        <v>852</v>
      </c>
      <c r="C23" s="547" t="s">
        <v>869</v>
      </c>
      <c r="D23" s="547" t="s">
        <v>870</v>
      </c>
      <c r="E23" s="564">
        <v>1</v>
      </c>
      <c r="F23" s="564">
        <v>117</v>
      </c>
      <c r="G23" s="547">
        <v>1</v>
      </c>
      <c r="H23" s="547">
        <v>117</v>
      </c>
      <c r="I23" s="564">
        <v>30</v>
      </c>
      <c r="J23" s="564">
        <v>3513</v>
      </c>
      <c r="K23" s="547">
        <v>30.025641025641026</v>
      </c>
      <c r="L23" s="547">
        <v>117.1</v>
      </c>
      <c r="M23" s="564">
        <v>12</v>
      </c>
      <c r="N23" s="564">
        <v>1428</v>
      </c>
      <c r="O23" s="552">
        <v>12.205128205128204</v>
      </c>
      <c r="P23" s="565">
        <v>119</v>
      </c>
    </row>
    <row r="24" spans="1:16" ht="14.4" customHeight="1" x14ac:dyDescent="0.3">
      <c r="A24" s="546" t="s">
        <v>833</v>
      </c>
      <c r="B24" s="547" t="s">
        <v>852</v>
      </c>
      <c r="C24" s="547" t="s">
        <v>871</v>
      </c>
      <c r="D24" s="547" t="s">
        <v>872</v>
      </c>
      <c r="E24" s="564">
        <v>496</v>
      </c>
      <c r="F24" s="564">
        <v>58032</v>
      </c>
      <c r="G24" s="547">
        <v>1</v>
      </c>
      <c r="H24" s="547">
        <v>117</v>
      </c>
      <c r="I24" s="564">
        <v>93</v>
      </c>
      <c r="J24" s="564">
        <v>10881</v>
      </c>
      <c r="K24" s="547">
        <v>0.1875</v>
      </c>
      <c r="L24" s="547">
        <v>117</v>
      </c>
      <c r="M24" s="564"/>
      <c r="N24" s="564"/>
      <c r="O24" s="552"/>
      <c r="P24" s="565"/>
    </row>
    <row r="25" spans="1:16" ht="14.4" customHeight="1" x14ac:dyDescent="0.3">
      <c r="A25" s="546" t="s">
        <v>833</v>
      </c>
      <c r="B25" s="547" t="s">
        <v>852</v>
      </c>
      <c r="C25" s="547" t="s">
        <v>873</v>
      </c>
      <c r="D25" s="547" t="s">
        <v>874</v>
      </c>
      <c r="E25" s="564">
        <v>25</v>
      </c>
      <c r="F25" s="564">
        <v>4075</v>
      </c>
      <c r="G25" s="547">
        <v>1</v>
      </c>
      <c r="H25" s="547">
        <v>163</v>
      </c>
      <c r="I25" s="564">
        <v>124</v>
      </c>
      <c r="J25" s="564">
        <v>20244</v>
      </c>
      <c r="K25" s="547">
        <v>4.9678527607361964</v>
      </c>
      <c r="L25" s="547">
        <v>163.25806451612902</v>
      </c>
      <c r="M25" s="564">
        <v>200</v>
      </c>
      <c r="N25" s="564">
        <v>33000</v>
      </c>
      <c r="O25" s="552">
        <v>8.0981595092024534</v>
      </c>
      <c r="P25" s="565">
        <v>165</v>
      </c>
    </row>
    <row r="26" spans="1:16" ht="14.4" customHeight="1" x14ac:dyDescent="0.3">
      <c r="A26" s="546" t="s">
        <v>833</v>
      </c>
      <c r="B26" s="547" t="s">
        <v>852</v>
      </c>
      <c r="C26" s="547" t="s">
        <v>875</v>
      </c>
      <c r="D26" s="547" t="s">
        <v>876</v>
      </c>
      <c r="E26" s="564">
        <v>3</v>
      </c>
      <c r="F26" s="564">
        <v>0</v>
      </c>
      <c r="G26" s="547"/>
      <c r="H26" s="547">
        <v>0</v>
      </c>
      <c r="I26" s="564">
        <v>2</v>
      </c>
      <c r="J26" s="564">
        <v>0</v>
      </c>
      <c r="K26" s="547"/>
      <c r="L26" s="547">
        <v>0</v>
      </c>
      <c r="M26" s="564"/>
      <c r="N26" s="564"/>
      <c r="O26" s="552"/>
      <c r="P26" s="565"/>
    </row>
    <row r="27" spans="1:16" ht="14.4" customHeight="1" x14ac:dyDescent="0.3">
      <c r="A27" s="546" t="s">
        <v>833</v>
      </c>
      <c r="B27" s="547" t="s">
        <v>852</v>
      </c>
      <c r="C27" s="547" t="s">
        <v>877</v>
      </c>
      <c r="D27" s="547" t="s">
        <v>878</v>
      </c>
      <c r="E27" s="564">
        <v>135</v>
      </c>
      <c r="F27" s="564">
        <v>22680</v>
      </c>
      <c r="G27" s="547">
        <v>1</v>
      </c>
      <c r="H27" s="547">
        <v>168</v>
      </c>
      <c r="I27" s="564">
        <v>227</v>
      </c>
      <c r="J27" s="564">
        <v>38216</v>
      </c>
      <c r="K27" s="547">
        <v>1.6850088183421517</v>
      </c>
      <c r="L27" s="547">
        <v>168.352422907489</v>
      </c>
      <c r="M27" s="564">
        <v>195</v>
      </c>
      <c r="N27" s="564">
        <v>33345</v>
      </c>
      <c r="O27" s="552">
        <v>1.4702380952380953</v>
      </c>
      <c r="P27" s="565">
        <v>171</v>
      </c>
    </row>
    <row r="28" spans="1:16" ht="14.4" customHeight="1" x14ac:dyDescent="0.3">
      <c r="A28" s="546" t="s">
        <v>833</v>
      </c>
      <c r="B28" s="547" t="s">
        <v>852</v>
      </c>
      <c r="C28" s="547" t="s">
        <v>879</v>
      </c>
      <c r="D28" s="547" t="s">
        <v>880</v>
      </c>
      <c r="E28" s="564">
        <v>469</v>
      </c>
      <c r="F28" s="564">
        <v>0</v>
      </c>
      <c r="G28" s="547"/>
      <c r="H28" s="547">
        <v>0</v>
      </c>
      <c r="I28" s="564">
        <v>595</v>
      </c>
      <c r="J28" s="564">
        <v>0</v>
      </c>
      <c r="K28" s="547"/>
      <c r="L28" s="547">
        <v>0</v>
      </c>
      <c r="M28" s="564">
        <v>829</v>
      </c>
      <c r="N28" s="564">
        <v>7966.67</v>
      </c>
      <c r="O28" s="552"/>
      <c r="P28" s="565">
        <v>9.6099758745476471</v>
      </c>
    </row>
    <row r="29" spans="1:16" ht="14.4" customHeight="1" x14ac:dyDescent="0.3">
      <c r="A29" s="546" t="s">
        <v>833</v>
      </c>
      <c r="B29" s="547" t="s">
        <v>852</v>
      </c>
      <c r="C29" s="547" t="s">
        <v>881</v>
      </c>
      <c r="D29" s="547" t="s">
        <v>882</v>
      </c>
      <c r="E29" s="564">
        <v>178</v>
      </c>
      <c r="F29" s="564">
        <v>6230</v>
      </c>
      <c r="G29" s="547">
        <v>1</v>
      </c>
      <c r="H29" s="547">
        <v>35</v>
      </c>
      <c r="I29" s="564">
        <v>310</v>
      </c>
      <c r="J29" s="564">
        <v>10918</v>
      </c>
      <c r="K29" s="547">
        <v>1.7524879614767255</v>
      </c>
      <c r="L29" s="547">
        <v>35.219354838709677</v>
      </c>
      <c r="M29" s="564">
        <v>264</v>
      </c>
      <c r="N29" s="564">
        <v>9504</v>
      </c>
      <c r="O29" s="552">
        <v>1.525521669341894</v>
      </c>
      <c r="P29" s="565">
        <v>36</v>
      </c>
    </row>
    <row r="30" spans="1:16" ht="14.4" customHeight="1" x14ac:dyDescent="0.3">
      <c r="A30" s="546" t="s">
        <v>833</v>
      </c>
      <c r="B30" s="547" t="s">
        <v>852</v>
      </c>
      <c r="C30" s="547" t="s">
        <v>883</v>
      </c>
      <c r="D30" s="547" t="s">
        <v>884</v>
      </c>
      <c r="E30" s="564"/>
      <c r="F30" s="564"/>
      <c r="G30" s="547"/>
      <c r="H30" s="547"/>
      <c r="I30" s="564">
        <v>1</v>
      </c>
      <c r="J30" s="564">
        <v>82</v>
      </c>
      <c r="K30" s="547"/>
      <c r="L30" s="547">
        <v>82</v>
      </c>
      <c r="M30" s="564"/>
      <c r="N30" s="564"/>
      <c r="O30" s="552"/>
      <c r="P30" s="565"/>
    </row>
    <row r="31" spans="1:16" ht="14.4" customHeight="1" x14ac:dyDescent="0.3">
      <c r="A31" s="546" t="s">
        <v>833</v>
      </c>
      <c r="B31" s="547" t="s">
        <v>852</v>
      </c>
      <c r="C31" s="547" t="s">
        <v>885</v>
      </c>
      <c r="D31" s="547" t="s">
        <v>886</v>
      </c>
      <c r="E31" s="564">
        <v>1017</v>
      </c>
      <c r="F31" s="564">
        <v>143397</v>
      </c>
      <c r="G31" s="547">
        <v>1</v>
      </c>
      <c r="H31" s="547">
        <v>141</v>
      </c>
      <c r="I31" s="564">
        <v>998</v>
      </c>
      <c r="J31" s="564">
        <v>136363</v>
      </c>
      <c r="K31" s="547">
        <v>0.95094736988918871</v>
      </c>
      <c r="L31" s="547">
        <v>136.63627254509018</v>
      </c>
      <c r="M31" s="564">
        <v>1082</v>
      </c>
      <c r="N31" s="564">
        <v>139578</v>
      </c>
      <c r="O31" s="552">
        <v>0.97336764367455386</v>
      </c>
      <c r="P31" s="565">
        <v>129</v>
      </c>
    </row>
    <row r="32" spans="1:16" ht="14.4" customHeight="1" x14ac:dyDescent="0.3">
      <c r="A32" s="546" t="s">
        <v>833</v>
      </c>
      <c r="B32" s="547" t="s">
        <v>852</v>
      </c>
      <c r="C32" s="547" t="s">
        <v>887</v>
      </c>
      <c r="D32" s="547" t="s">
        <v>888</v>
      </c>
      <c r="E32" s="564">
        <v>320</v>
      </c>
      <c r="F32" s="564">
        <v>22080</v>
      </c>
      <c r="G32" s="547">
        <v>1</v>
      </c>
      <c r="H32" s="547">
        <v>69</v>
      </c>
      <c r="I32" s="564">
        <v>413</v>
      </c>
      <c r="J32" s="564">
        <v>28571</v>
      </c>
      <c r="K32" s="547">
        <v>1.2939764492753623</v>
      </c>
      <c r="L32" s="547">
        <v>69.179176755447941</v>
      </c>
      <c r="M32" s="564">
        <v>640</v>
      </c>
      <c r="N32" s="564">
        <v>44800</v>
      </c>
      <c r="O32" s="552">
        <v>2.0289855072463769</v>
      </c>
      <c r="P32" s="565">
        <v>70</v>
      </c>
    </row>
    <row r="33" spans="1:16" ht="14.4" customHeight="1" x14ac:dyDescent="0.3">
      <c r="A33" s="546" t="s">
        <v>833</v>
      </c>
      <c r="B33" s="547" t="s">
        <v>852</v>
      </c>
      <c r="C33" s="547" t="s">
        <v>889</v>
      </c>
      <c r="D33" s="547" t="s">
        <v>890</v>
      </c>
      <c r="E33" s="564">
        <v>224</v>
      </c>
      <c r="F33" s="564">
        <v>73248</v>
      </c>
      <c r="G33" s="547">
        <v>1</v>
      </c>
      <c r="H33" s="547">
        <v>327</v>
      </c>
      <c r="I33" s="564">
        <v>319</v>
      </c>
      <c r="J33" s="564">
        <v>104592</v>
      </c>
      <c r="K33" s="547">
        <v>1.4279161205766711</v>
      </c>
      <c r="L33" s="547">
        <v>327.87460815047024</v>
      </c>
      <c r="M33" s="564">
        <v>405</v>
      </c>
      <c r="N33" s="564">
        <v>134055</v>
      </c>
      <c r="O33" s="552">
        <v>1.8301523591087812</v>
      </c>
      <c r="P33" s="565">
        <v>331</v>
      </c>
    </row>
    <row r="34" spans="1:16" ht="14.4" customHeight="1" x14ac:dyDescent="0.3">
      <c r="A34" s="546" t="s">
        <v>833</v>
      </c>
      <c r="B34" s="547" t="s">
        <v>852</v>
      </c>
      <c r="C34" s="547" t="s">
        <v>891</v>
      </c>
      <c r="D34" s="547" t="s">
        <v>892</v>
      </c>
      <c r="E34" s="564">
        <v>17</v>
      </c>
      <c r="F34" s="564">
        <v>3502</v>
      </c>
      <c r="G34" s="547">
        <v>1</v>
      </c>
      <c r="H34" s="547">
        <v>206</v>
      </c>
      <c r="I34" s="564">
        <v>90</v>
      </c>
      <c r="J34" s="564">
        <v>18585</v>
      </c>
      <c r="K34" s="547">
        <v>5.3069674471730437</v>
      </c>
      <c r="L34" s="547">
        <v>206.5</v>
      </c>
      <c r="M34" s="564">
        <v>111</v>
      </c>
      <c r="N34" s="564">
        <v>23310</v>
      </c>
      <c r="O34" s="552">
        <v>6.6561964591661908</v>
      </c>
      <c r="P34" s="565">
        <v>210</v>
      </c>
    </row>
    <row r="35" spans="1:16" ht="14.4" customHeight="1" x14ac:dyDescent="0.3">
      <c r="A35" s="546" t="s">
        <v>833</v>
      </c>
      <c r="B35" s="547" t="s">
        <v>852</v>
      </c>
      <c r="C35" s="547" t="s">
        <v>893</v>
      </c>
      <c r="D35" s="547" t="s">
        <v>894</v>
      </c>
      <c r="E35" s="564">
        <v>210</v>
      </c>
      <c r="F35" s="564">
        <v>15960</v>
      </c>
      <c r="G35" s="547">
        <v>1</v>
      </c>
      <c r="H35" s="547">
        <v>76</v>
      </c>
      <c r="I35" s="564">
        <v>306</v>
      </c>
      <c r="J35" s="564">
        <v>23318</v>
      </c>
      <c r="K35" s="547">
        <v>1.4610275689223058</v>
      </c>
      <c r="L35" s="547">
        <v>76.202614379084963</v>
      </c>
      <c r="M35" s="564">
        <v>276</v>
      </c>
      <c r="N35" s="564">
        <v>21252</v>
      </c>
      <c r="O35" s="552">
        <v>1.331578947368421</v>
      </c>
      <c r="P35" s="565">
        <v>77</v>
      </c>
    </row>
    <row r="36" spans="1:16" ht="14.4" customHeight="1" x14ac:dyDescent="0.3">
      <c r="A36" s="546" t="s">
        <v>833</v>
      </c>
      <c r="B36" s="547" t="s">
        <v>852</v>
      </c>
      <c r="C36" s="547" t="s">
        <v>895</v>
      </c>
      <c r="D36" s="547" t="s">
        <v>896</v>
      </c>
      <c r="E36" s="564">
        <v>12</v>
      </c>
      <c r="F36" s="564">
        <v>312</v>
      </c>
      <c r="G36" s="547">
        <v>1</v>
      </c>
      <c r="H36" s="547">
        <v>26</v>
      </c>
      <c r="I36" s="564">
        <v>9</v>
      </c>
      <c r="J36" s="564">
        <v>234</v>
      </c>
      <c r="K36" s="547">
        <v>0.75</v>
      </c>
      <c r="L36" s="547">
        <v>26</v>
      </c>
      <c r="M36" s="564">
        <v>16</v>
      </c>
      <c r="N36" s="564">
        <v>432</v>
      </c>
      <c r="O36" s="552">
        <v>1.3846153846153846</v>
      </c>
      <c r="P36" s="565">
        <v>27</v>
      </c>
    </row>
    <row r="37" spans="1:16" ht="14.4" customHeight="1" x14ac:dyDescent="0.3">
      <c r="A37" s="546" t="s">
        <v>833</v>
      </c>
      <c r="B37" s="547" t="s">
        <v>852</v>
      </c>
      <c r="C37" s="547" t="s">
        <v>897</v>
      </c>
      <c r="D37" s="547" t="s">
        <v>898</v>
      </c>
      <c r="E37" s="564">
        <v>82</v>
      </c>
      <c r="F37" s="564">
        <v>4592</v>
      </c>
      <c r="G37" s="547">
        <v>1</v>
      </c>
      <c r="H37" s="547">
        <v>56</v>
      </c>
      <c r="I37" s="564">
        <v>70</v>
      </c>
      <c r="J37" s="564">
        <v>3941</v>
      </c>
      <c r="K37" s="547">
        <v>0.85823170731707321</v>
      </c>
      <c r="L37" s="547">
        <v>56.3</v>
      </c>
      <c r="M37" s="564">
        <v>58</v>
      </c>
      <c r="N37" s="564">
        <v>3306</v>
      </c>
      <c r="O37" s="552">
        <v>0.71994773519163768</v>
      </c>
      <c r="P37" s="565">
        <v>57</v>
      </c>
    </row>
    <row r="38" spans="1:16" ht="14.4" customHeight="1" x14ac:dyDescent="0.3">
      <c r="A38" s="546" t="s">
        <v>833</v>
      </c>
      <c r="B38" s="547" t="s">
        <v>852</v>
      </c>
      <c r="C38" s="547" t="s">
        <v>899</v>
      </c>
      <c r="D38" s="547" t="s">
        <v>900</v>
      </c>
      <c r="E38" s="564">
        <v>148</v>
      </c>
      <c r="F38" s="564">
        <v>35520</v>
      </c>
      <c r="G38" s="547">
        <v>1</v>
      </c>
      <c r="H38" s="547">
        <v>240</v>
      </c>
      <c r="I38" s="564">
        <v>84</v>
      </c>
      <c r="J38" s="564">
        <v>20208</v>
      </c>
      <c r="K38" s="547">
        <v>0.56891891891891888</v>
      </c>
      <c r="L38" s="547">
        <v>240.57142857142858</v>
      </c>
      <c r="M38" s="564">
        <v>128</v>
      </c>
      <c r="N38" s="564">
        <v>31104</v>
      </c>
      <c r="O38" s="552">
        <v>0.87567567567567572</v>
      </c>
      <c r="P38" s="565">
        <v>243</v>
      </c>
    </row>
    <row r="39" spans="1:16" ht="14.4" customHeight="1" x14ac:dyDescent="0.3">
      <c r="A39" s="546" t="s">
        <v>833</v>
      </c>
      <c r="B39" s="547" t="s">
        <v>852</v>
      </c>
      <c r="C39" s="547" t="s">
        <v>901</v>
      </c>
      <c r="D39" s="547" t="s">
        <v>902</v>
      </c>
      <c r="E39" s="564">
        <v>229</v>
      </c>
      <c r="F39" s="564">
        <v>147705</v>
      </c>
      <c r="G39" s="547">
        <v>1</v>
      </c>
      <c r="H39" s="547">
        <v>645</v>
      </c>
      <c r="I39" s="564">
        <v>172</v>
      </c>
      <c r="J39" s="564">
        <v>111180</v>
      </c>
      <c r="K39" s="547">
        <v>0.75271656342033111</v>
      </c>
      <c r="L39" s="547">
        <v>646.39534883720933</v>
      </c>
      <c r="M39" s="564">
        <v>236</v>
      </c>
      <c r="N39" s="564">
        <v>154108</v>
      </c>
      <c r="O39" s="552">
        <v>1.0433499204495447</v>
      </c>
      <c r="P39" s="565">
        <v>653</v>
      </c>
    </row>
    <row r="40" spans="1:16" ht="14.4" customHeight="1" x14ac:dyDescent="0.3">
      <c r="A40" s="546" t="s">
        <v>833</v>
      </c>
      <c r="B40" s="547" t="s">
        <v>852</v>
      </c>
      <c r="C40" s="547" t="s">
        <v>903</v>
      </c>
      <c r="D40" s="547" t="s">
        <v>904</v>
      </c>
      <c r="E40" s="564">
        <v>426</v>
      </c>
      <c r="F40" s="564">
        <v>90312</v>
      </c>
      <c r="G40" s="547">
        <v>1</v>
      </c>
      <c r="H40" s="547">
        <v>212</v>
      </c>
      <c r="I40" s="564">
        <v>446</v>
      </c>
      <c r="J40" s="564">
        <v>94762</v>
      </c>
      <c r="K40" s="547">
        <v>1.049273629196563</v>
      </c>
      <c r="L40" s="547">
        <v>212.47085201793723</v>
      </c>
      <c r="M40" s="564">
        <v>545</v>
      </c>
      <c r="N40" s="564">
        <v>117175</v>
      </c>
      <c r="O40" s="552">
        <v>1.2974466294623084</v>
      </c>
      <c r="P40" s="565">
        <v>215</v>
      </c>
    </row>
    <row r="41" spans="1:16" ht="14.4" customHeight="1" x14ac:dyDescent="0.3">
      <c r="A41" s="546" t="s">
        <v>905</v>
      </c>
      <c r="B41" s="547" t="s">
        <v>852</v>
      </c>
      <c r="C41" s="547" t="s">
        <v>861</v>
      </c>
      <c r="D41" s="547" t="s">
        <v>862</v>
      </c>
      <c r="E41" s="564"/>
      <c r="F41" s="564"/>
      <c r="G41" s="547"/>
      <c r="H41" s="547"/>
      <c r="I41" s="564">
        <v>1</v>
      </c>
      <c r="J41" s="564">
        <v>5</v>
      </c>
      <c r="K41" s="547"/>
      <c r="L41" s="547">
        <v>5</v>
      </c>
      <c r="M41" s="564"/>
      <c r="N41" s="564"/>
      <c r="O41" s="552"/>
      <c r="P41" s="565"/>
    </row>
    <row r="42" spans="1:16" ht="14.4" customHeight="1" thickBot="1" x14ac:dyDescent="0.35">
      <c r="A42" s="554" t="s">
        <v>905</v>
      </c>
      <c r="B42" s="555" t="s">
        <v>852</v>
      </c>
      <c r="C42" s="555" t="s">
        <v>871</v>
      </c>
      <c r="D42" s="555" t="s">
        <v>872</v>
      </c>
      <c r="E42" s="566">
        <v>124</v>
      </c>
      <c r="F42" s="566">
        <v>14508</v>
      </c>
      <c r="G42" s="555">
        <v>1</v>
      </c>
      <c r="H42" s="555">
        <v>117</v>
      </c>
      <c r="I42" s="566">
        <v>359</v>
      </c>
      <c r="J42" s="566">
        <v>42098</v>
      </c>
      <c r="K42" s="555">
        <v>2.9017094017094016</v>
      </c>
      <c r="L42" s="555">
        <v>117.26462395543176</v>
      </c>
      <c r="M42" s="566">
        <v>310</v>
      </c>
      <c r="N42" s="566">
        <v>36890</v>
      </c>
      <c r="O42" s="560">
        <v>2.5427350427350426</v>
      </c>
      <c r="P42" s="567">
        <v>119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8899</v>
      </c>
      <c r="C3" s="223">
        <f t="shared" ref="C3:R3" si="0">SUBTOTAL(9,C6:C1048576)</f>
        <v>2</v>
      </c>
      <c r="D3" s="223">
        <f t="shared" si="0"/>
        <v>6261</v>
      </c>
      <c r="E3" s="223">
        <f t="shared" si="0"/>
        <v>3.2021989808089288</v>
      </c>
      <c r="F3" s="223">
        <f t="shared" si="0"/>
        <v>535</v>
      </c>
      <c r="G3" s="226">
        <f>IF(B3&lt;&gt;0,F3/B3,"")</f>
        <v>6.0119114507248009E-2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907</v>
      </c>
      <c r="B6" s="614">
        <v>8254</v>
      </c>
      <c r="C6" s="540">
        <v>1</v>
      </c>
      <c r="D6" s="614">
        <v>3115</v>
      </c>
      <c r="E6" s="540">
        <v>0.37739277925854131</v>
      </c>
      <c r="F6" s="614">
        <v>535</v>
      </c>
      <c r="G6" s="545">
        <v>6.4817058395929245E-2</v>
      </c>
      <c r="H6" s="614"/>
      <c r="I6" s="540"/>
      <c r="J6" s="614"/>
      <c r="K6" s="540"/>
      <c r="L6" s="614"/>
      <c r="M6" s="545"/>
      <c r="N6" s="614"/>
      <c r="O6" s="540"/>
      <c r="P6" s="614"/>
      <c r="Q6" s="540"/>
      <c r="R6" s="614"/>
      <c r="S6" s="122"/>
    </row>
    <row r="7" spans="1:19" ht="14.4" customHeight="1" x14ac:dyDescent="0.3">
      <c r="A7" s="572" t="s">
        <v>908</v>
      </c>
      <c r="B7" s="619"/>
      <c r="C7" s="547"/>
      <c r="D7" s="619">
        <v>34</v>
      </c>
      <c r="E7" s="547"/>
      <c r="F7" s="619"/>
      <c r="G7" s="552"/>
      <c r="H7" s="619"/>
      <c r="I7" s="547"/>
      <c r="J7" s="619"/>
      <c r="K7" s="547"/>
      <c r="L7" s="619"/>
      <c r="M7" s="552"/>
      <c r="N7" s="619"/>
      <c r="O7" s="547"/>
      <c r="P7" s="619"/>
      <c r="Q7" s="547"/>
      <c r="R7" s="619"/>
      <c r="S7" s="553"/>
    </row>
    <row r="8" spans="1:19" ht="14.4" customHeight="1" x14ac:dyDescent="0.3">
      <c r="A8" s="572" t="s">
        <v>909</v>
      </c>
      <c r="B8" s="619">
        <v>645</v>
      </c>
      <c r="C8" s="547">
        <v>1</v>
      </c>
      <c r="D8" s="619">
        <v>1822</v>
      </c>
      <c r="E8" s="547">
        <v>2.8248062015503876</v>
      </c>
      <c r="F8" s="619"/>
      <c r="G8" s="552"/>
      <c r="H8" s="619"/>
      <c r="I8" s="547"/>
      <c r="J8" s="619"/>
      <c r="K8" s="547"/>
      <c r="L8" s="619"/>
      <c r="M8" s="552"/>
      <c r="N8" s="619"/>
      <c r="O8" s="547"/>
      <c r="P8" s="619"/>
      <c r="Q8" s="547"/>
      <c r="R8" s="619"/>
      <c r="S8" s="553"/>
    </row>
    <row r="9" spans="1:19" ht="14.4" customHeight="1" thickBot="1" x14ac:dyDescent="0.35">
      <c r="A9" s="616" t="s">
        <v>910</v>
      </c>
      <c r="B9" s="615"/>
      <c r="C9" s="555"/>
      <c r="D9" s="615">
        <v>1290</v>
      </c>
      <c r="E9" s="555"/>
      <c r="F9" s="615"/>
      <c r="G9" s="560"/>
      <c r="H9" s="615"/>
      <c r="I9" s="555"/>
      <c r="J9" s="615"/>
      <c r="K9" s="555"/>
      <c r="L9" s="615"/>
      <c r="M9" s="560"/>
      <c r="N9" s="615"/>
      <c r="O9" s="555"/>
      <c r="P9" s="615"/>
      <c r="Q9" s="555"/>
      <c r="R9" s="615"/>
      <c r="S9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915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282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84</v>
      </c>
      <c r="G3" s="103">
        <f t="shared" si="0"/>
        <v>8899</v>
      </c>
      <c r="H3" s="103"/>
      <c r="I3" s="103"/>
      <c r="J3" s="103">
        <f t="shared" si="0"/>
        <v>33</v>
      </c>
      <c r="K3" s="103">
        <f t="shared" si="0"/>
        <v>6261</v>
      </c>
      <c r="L3" s="103"/>
      <c r="M3" s="103"/>
      <c r="N3" s="103">
        <f t="shared" si="0"/>
        <v>5</v>
      </c>
      <c r="O3" s="103">
        <f t="shared" si="0"/>
        <v>535</v>
      </c>
      <c r="P3" s="75">
        <f>IF(G3=0,0,O3/G3)</f>
        <v>6.0119114507248009E-2</v>
      </c>
      <c r="Q3" s="104">
        <f>IF(N3=0,0,O3/N3)</f>
        <v>107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3"/>
      <c r="B5" s="622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9" t="s">
        <v>911</v>
      </c>
      <c r="B6" s="540" t="s">
        <v>833</v>
      </c>
      <c r="C6" s="540" t="s">
        <v>852</v>
      </c>
      <c r="D6" s="540" t="s">
        <v>857</v>
      </c>
      <c r="E6" s="540" t="s">
        <v>858</v>
      </c>
      <c r="F6" s="116">
        <v>28</v>
      </c>
      <c r="G6" s="116">
        <v>952</v>
      </c>
      <c r="H6" s="116">
        <v>1</v>
      </c>
      <c r="I6" s="116">
        <v>34</v>
      </c>
      <c r="J6" s="116">
        <v>8</v>
      </c>
      <c r="K6" s="116">
        <v>279</v>
      </c>
      <c r="L6" s="116">
        <v>0.29306722689075632</v>
      </c>
      <c r="M6" s="116">
        <v>34.875</v>
      </c>
      <c r="N6" s="116">
        <v>3</v>
      </c>
      <c r="O6" s="116">
        <v>105</v>
      </c>
      <c r="P6" s="545">
        <v>0.11029411764705882</v>
      </c>
      <c r="Q6" s="563">
        <v>35</v>
      </c>
    </row>
    <row r="7" spans="1:17" ht="14.4" customHeight="1" x14ac:dyDescent="0.3">
      <c r="A7" s="546" t="s">
        <v>911</v>
      </c>
      <c r="B7" s="547" t="s">
        <v>833</v>
      </c>
      <c r="C7" s="547" t="s">
        <v>852</v>
      </c>
      <c r="D7" s="547" t="s">
        <v>871</v>
      </c>
      <c r="E7" s="547" t="s">
        <v>872</v>
      </c>
      <c r="F7" s="564">
        <v>46</v>
      </c>
      <c r="G7" s="564">
        <v>5382</v>
      </c>
      <c r="H7" s="564">
        <v>1</v>
      </c>
      <c r="I7" s="564">
        <v>117</v>
      </c>
      <c r="J7" s="564">
        <v>14</v>
      </c>
      <c r="K7" s="564">
        <v>1652</v>
      </c>
      <c r="L7" s="564">
        <v>0.30694908955778522</v>
      </c>
      <c r="M7" s="564">
        <v>118</v>
      </c>
      <c r="N7" s="564"/>
      <c r="O7" s="564"/>
      <c r="P7" s="552"/>
      <c r="Q7" s="565"/>
    </row>
    <row r="8" spans="1:17" ht="14.4" customHeight="1" x14ac:dyDescent="0.3">
      <c r="A8" s="546" t="s">
        <v>911</v>
      </c>
      <c r="B8" s="547" t="s">
        <v>833</v>
      </c>
      <c r="C8" s="547" t="s">
        <v>852</v>
      </c>
      <c r="D8" s="547" t="s">
        <v>889</v>
      </c>
      <c r="E8" s="547" t="s">
        <v>890</v>
      </c>
      <c r="F8" s="564"/>
      <c r="G8" s="564"/>
      <c r="H8" s="564"/>
      <c r="I8" s="564"/>
      <c r="J8" s="564">
        <v>1</v>
      </c>
      <c r="K8" s="564">
        <v>327</v>
      </c>
      <c r="L8" s="564"/>
      <c r="M8" s="564">
        <v>327</v>
      </c>
      <c r="N8" s="564"/>
      <c r="O8" s="564"/>
      <c r="P8" s="552"/>
      <c r="Q8" s="565"/>
    </row>
    <row r="9" spans="1:17" ht="14.4" customHeight="1" x14ac:dyDescent="0.3">
      <c r="A9" s="546" t="s">
        <v>911</v>
      </c>
      <c r="B9" s="547" t="s">
        <v>833</v>
      </c>
      <c r="C9" s="547" t="s">
        <v>852</v>
      </c>
      <c r="D9" s="547" t="s">
        <v>899</v>
      </c>
      <c r="E9" s="547" t="s">
        <v>900</v>
      </c>
      <c r="F9" s="564">
        <v>8</v>
      </c>
      <c r="G9" s="564">
        <v>1920</v>
      </c>
      <c r="H9" s="564">
        <v>1</v>
      </c>
      <c r="I9" s="564">
        <v>240</v>
      </c>
      <c r="J9" s="564"/>
      <c r="K9" s="564"/>
      <c r="L9" s="564"/>
      <c r="M9" s="564"/>
      <c r="N9" s="564"/>
      <c r="O9" s="564"/>
      <c r="P9" s="552"/>
      <c r="Q9" s="565"/>
    </row>
    <row r="10" spans="1:17" ht="14.4" customHeight="1" x14ac:dyDescent="0.3">
      <c r="A10" s="546" t="s">
        <v>911</v>
      </c>
      <c r="B10" s="547" t="s">
        <v>833</v>
      </c>
      <c r="C10" s="547" t="s">
        <v>852</v>
      </c>
      <c r="D10" s="547" t="s">
        <v>901</v>
      </c>
      <c r="E10" s="547" t="s">
        <v>902</v>
      </c>
      <c r="F10" s="564"/>
      <c r="G10" s="564"/>
      <c r="H10" s="564"/>
      <c r="I10" s="564"/>
      <c r="J10" s="564">
        <v>1</v>
      </c>
      <c r="K10" s="564">
        <v>645</v>
      </c>
      <c r="L10" s="564"/>
      <c r="M10" s="564">
        <v>645</v>
      </c>
      <c r="N10" s="564"/>
      <c r="O10" s="564"/>
      <c r="P10" s="552"/>
      <c r="Q10" s="565"/>
    </row>
    <row r="11" spans="1:17" ht="14.4" customHeight="1" x14ac:dyDescent="0.3">
      <c r="A11" s="546" t="s">
        <v>911</v>
      </c>
      <c r="B11" s="547" t="s">
        <v>833</v>
      </c>
      <c r="C11" s="547" t="s">
        <v>852</v>
      </c>
      <c r="D11" s="547" t="s">
        <v>903</v>
      </c>
      <c r="E11" s="547" t="s">
        <v>904</v>
      </c>
      <c r="F11" s="564"/>
      <c r="G11" s="564"/>
      <c r="H11" s="564"/>
      <c r="I11" s="564"/>
      <c r="J11" s="564">
        <v>1</v>
      </c>
      <c r="K11" s="564">
        <v>212</v>
      </c>
      <c r="L11" s="564"/>
      <c r="M11" s="564">
        <v>212</v>
      </c>
      <c r="N11" s="564">
        <v>2</v>
      </c>
      <c r="O11" s="564">
        <v>430</v>
      </c>
      <c r="P11" s="552"/>
      <c r="Q11" s="565">
        <v>215</v>
      </c>
    </row>
    <row r="12" spans="1:17" ht="14.4" customHeight="1" x14ac:dyDescent="0.3">
      <c r="A12" s="546" t="s">
        <v>912</v>
      </c>
      <c r="B12" s="547" t="s">
        <v>833</v>
      </c>
      <c r="C12" s="547" t="s">
        <v>852</v>
      </c>
      <c r="D12" s="547" t="s">
        <v>857</v>
      </c>
      <c r="E12" s="547" t="s">
        <v>858</v>
      </c>
      <c r="F12" s="564"/>
      <c r="G12" s="564"/>
      <c r="H12" s="564"/>
      <c r="I12" s="564"/>
      <c r="J12" s="564">
        <v>1</v>
      </c>
      <c r="K12" s="564">
        <v>34</v>
      </c>
      <c r="L12" s="564"/>
      <c r="M12" s="564">
        <v>34</v>
      </c>
      <c r="N12" s="564"/>
      <c r="O12" s="564"/>
      <c r="P12" s="552"/>
      <c r="Q12" s="565"/>
    </row>
    <row r="13" spans="1:17" ht="14.4" customHeight="1" x14ac:dyDescent="0.3">
      <c r="A13" s="546" t="s">
        <v>913</v>
      </c>
      <c r="B13" s="547" t="s">
        <v>833</v>
      </c>
      <c r="C13" s="547" t="s">
        <v>852</v>
      </c>
      <c r="D13" s="547" t="s">
        <v>857</v>
      </c>
      <c r="E13" s="547" t="s">
        <v>858</v>
      </c>
      <c r="F13" s="564"/>
      <c r="G13" s="564"/>
      <c r="H13" s="564"/>
      <c r="I13" s="564"/>
      <c r="J13" s="564">
        <v>1</v>
      </c>
      <c r="K13" s="564">
        <v>34</v>
      </c>
      <c r="L13" s="564"/>
      <c r="M13" s="564">
        <v>34</v>
      </c>
      <c r="N13" s="564"/>
      <c r="O13" s="564"/>
      <c r="P13" s="552"/>
      <c r="Q13" s="565"/>
    </row>
    <row r="14" spans="1:17" ht="14.4" customHeight="1" x14ac:dyDescent="0.3">
      <c r="A14" s="546" t="s">
        <v>913</v>
      </c>
      <c r="B14" s="547" t="s">
        <v>833</v>
      </c>
      <c r="C14" s="547" t="s">
        <v>852</v>
      </c>
      <c r="D14" s="547" t="s">
        <v>875</v>
      </c>
      <c r="E14" s="547" t="s">
        <v>876</v>
      </c>
      <c r="F14" s="564">
        <v>1</v>
      </c>
      <c r="G14" s="564">
        <v>0</v>
      </c>
      <c r="H14" s="564"/>
      <c r="I14" s="564">
        <v>0</v>
      </c>
      <c r="J14" s="564"/>
      <c r="K14" s="564"/>
      <c r="L14" s="564"/>
      <c r="M14" s="564"/>
      <c r="N14" s="564"/>
      <c r="O14" s="564"/>
      <c r="P14" s="552"/>
      <c r="Q14" s="565"/>
    </row>
    <row r="15" spans="1:17" ht="14.4" customHeight="1" x14ac:dyDescent="0.3">
      <c r="A15" s="546" t="s">
        <v>913</v>
      </c>
      <c r="B15" s="547" t="s">
        <v>833</v>
      </c>
      <c r="C15" s="547" t="s">
        <v>852</v>
      </c>
      <c r="D15" s="547" t="s">
        <v>877</v>
      </c>
      <c r="E15" s="547" t="s">
        <v>878</v>
      </c>
      <c r="F15" s="564"/>
      <c r="G15" s="564"/>
      <c r="H15" s="564"/>
      <c r="I15" s="564"/>
      <c r="J15" s="564">
        <v>1</v>
      </c>
      <c r="K15" s="564">
        <v>168</v>
      </c>
      <c r="L15" s="564"/>
      <c r="M15" s="564">
        <v>168</v>
      </c>
      <c r="N15" s="564"/>
      <c r="O15" s="564"/>
      <c r="P15" s="552"/>
      <c r="Q15" s="565"/>
    </row>
    <row r="16" spans="1:17" ht="14.4" customHeight="1" x14ac:dyDescent="0.3">
      <c r="A16" s="546" t="s">
        <v>913</v>
      </c>
      <c r="B16" s="547" t="s">
        <v>833</v>
      </c>
      <c r="C16" s="547" t="s">
        <v>852</v>
      </c>
      <c r="D16" s="547" t="s">
        <v>889</v>
      </c>
      <c r="E16" s="547" t="s">
        <v>890</v>
      </c>
      <c r="F16" s="564"/>
      <c r="G16" s="564"/>
      <c r="H16" s="564"/>
      <c r="I16" s="564"/>
      <c r="J16" s="564">
        <v>1</v>
      </c>
      <c r="K16" s="564">
        <v>330</v>
      </c>
      <c r="L16" s="564"/>
      <c r="M16" s="564">
        <v>330</v>
      </c>
      <c r="N16" s="564"/>
      <c r="O16" s="564"/>
      <c r="P16" s="552"/>
      <c r="Q16" s="565"/>
    </row>
    <row r="17" spans="1:17" ht="14.4" customHeight="1" x14ac:dyDescent="0.3">
      <c r="A17" s="546" t="s">
        <v>913</v>
      </c>
      <c r="B17" s="547" t="s">
        <v>833</v>
      </c>
      <c r="C17" s="547" t="s">
        <v>852</v>
      </c>
      <c r="D17" s="547" t="s">
        <v>901</v>
      </c>
      <c r="E17" s="547" t="s">
        <v>902</v>
      </c>
      <c r="F17" s="564">
        <v>1</v>
      </c>
      <c r="G17" s="564">
        <v>645</v>
      </c>
      <c r="H17" s="564">
        <v>1</v>
      </c>
      <c r="I17" s="564">
        <v>645</v>
      </c>
      <c r="J17" s="564">
        <v>2</v>
      </c>
      <c r="K17" s="564">
        <v>1290</v>
      </c>
      <c r="L17" s="564">
        <v>2</v>
      </c>
      <c r="M17" s="564">
        <v>645</v>
      </c>
      <c r="N17" s="564"/>
      <c r="O17" s="564"/>
      <c r="P17" s="552"/>
      <c r="Q17" s="565"/>
    </row>
    <row r="18" spans="1:17" ht="14.4" customHeight="1" thickBot="1" x14ac:dyDescent="0.35">
      <c r="A18" s="554" t="s">
        <v>914</v>
      </c>
      <c r="B18" s="555" t="s">
        <v>833</v>
      </c>
      <c r="C18" s="555" t="s">
        <v>852</v>
      </c>
      <c r="D18" s="555" t="s">
        <v>901</v>
      </c>
      <c r="E18" s="555" t="s">
        <v>902</v>
      </c>
      <c r="F18" s="566"/>
      <c r="G18" s="566"/>
      <c r="H18" s="566"/>
      <c r="I18" s="566"/>
      <c r="J18" s="566">
        <v>2</v>
      </c>
      <c r="K18" s="566">
        <v>1290</v>
      </c>
      <c r="L18" s="566"/>
      <c r="M18" s="566">
        <v>645</v>
      </c>
      <c r="N18" s="566"/>
      <c r="O18" s="566"/>
      <c r="P18" s="560"/>
      <c r="Q18" s="56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233.01486999999798</v>
      </c>
      <c r="C5" s="29">
        <v>208.64609000000002</v>
      </c>
      <c r="D5" s="8"/>
      <c r="E5" s="117">
        <v>179.42383000000001</v>
      </c>
      <c r="F5" s="28">
        <v>222.87006410885232</v>
      </c>
      <c r="G5" s="116">
        <f>E5-F5</f>
        <v>-43.446234108852309</v>
      </c>
      <c r="H5" s="122">
        <f>IF(F5&lt;0.00000001,"",E5/F5)</f>
        <v>0.80506025211338983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20.386469999997999</v>
      </c>
      <c r="C6" s="31">
        <v>16.461350000000003</v>
      </c>
      <c r="D6" s="8"/>
      <c r="E6" s="118">
        <v>17.29543</v>
      </c>
      <c r="F6" s="30">
        <v>27.782379124921999</v>
      </c>
      <c r="G6" s="119">
        <f>E6-F6</f>
        <v>-10.486949124921999</v>
      </c>
      <c r="H6" s="123">
        <f>IF(F6&lt;0.00000001,"",E6/F6)</f>
        <v>0.62253235845036936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2035.5569099999998</v>
      </c>
      <c r="C7" s="31">
        <v>2101.3778000000029</v>
      </c>
      <c r="D7" s="8"/>
      <c r="E7" s="118">
        <v>2437.5765600000022</v>
      </c>
      <c r="F7" s="30">
        <v>2345.6665927838535</v>
      </c>
      <c r="G7" s="119">
        <f>E7-F7</f>
        <v>91.909967216148743</v>
      </c>
      <c r="H7" s="123">
        <f>IF(F7&lt;0.00000001,"",E7/F7)</f>
        <v>1.0391828776940841</v>
      </c>
    </row>
    <row r="8" spans="1:8" ht="14.4" customHeight="1" thickBot="1" x14ac:dyDescent="0.35">
      <c r="A8" s="1" t="s">
        <v>76</v>
      </c>
      <c r="B8" s="11">
        <v>697.6847100000017</v>
      </c>
      <c r="C8" s="33">
        <v>674.03307000000018</v>
      </c>
      <c r="D8" s="8"/>
      <c r="E8" s="120">
        <v>720.09423000000004</v>
      </c>
      <c r="F8" s="32">
        <v>612.03052009150656</v>
      </c>
      <c r="G8" s="121">
        <f>E8-F8</f>
        <v>108.06370990849348</v>
      </c>
      <c r="H8" s="124">
        <f>IF(F8&lt;0.00000001,"",E8/F8)</f>
        <v>1.176565884152863</v>
      </c>
    </row>
    <row r="9" spans="1:8" ht="14.4" customHeight="1" thickBot="1" x14ac:dyDescent="0.35">
      <c r="A9" s="2" t="s">
        <v>77</v>
      </c>
      <c r="B9" s="3">
        <v>2986.6429599999974</v>
      </c>
      <c r="C9" s="35">
        <v>3000.5183100000031</v>
      </c>
      <c r="D9" s="8"/>
      <c r="E9" s="3">
        <v>3354.3900500000022</v>
      </c>
      <c r="F9" s="34">
        <v>3208.349556109134</v>
      </c>
      <c r="G9" s="34">
        <f>E9-F9</f>
        <v>146.04049389086822</v>
      </c>
      <c r="H9" s="125">
        <f>IF(F9&lt;0.00000001,"",E9/F9)</f>
        <v>1.045518884815025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702.35299999999995</v>
      </c>
      <c r="C11" s="29">
        <f>IF(ISERROR(VLOOKUP("Celkem:",'ZV Vykáz.-A'!A:F,4,0)),0,VLOOKUP("Celkem:",'ZV Vykáz.-A'!A:F,4,0)/1000)</f>
        <v>738.43700000000001</v>
      </c>
      <c r="D11" s="8"/>
      <c r="E11" s="117">
        <f>IF(ISERROR(VLOOKUP("Celkem:",'ZV Vykáz.-A'!A:F,6,0)),0,VLOOKUP("Celkem:",'ZV Vykáz.-A'!A:F,6,0)/1000)</f>
        <v>855.63666999999998</v>
      </c>
      <c r="F11" s="28">
        <f>B11</f>
        <v>702.35299999999995</v>
      </c>
      <c r="G11" s="116">
        <f>E11-F11</f>
        <v>153.28367000000003</v>
      </c>
      <c r="H11" s="122">
        <f>IF(F11&lt;0.00000001,"",E11/F11)</f>
        <v>1.2182430629612175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702.35299999999995</v>
      </c>
      <c r="C13" s="37">
        <f>SUM(C11:C12)</f>
        <v>738.43700000000001</v>
      </c>
      <c r="D13" s="8"/>
      <c r="E13" s="5">
        <f>SUM(E11:E12)</f>
        <v>855.63666999999998</v>
      </c>
      <c r="F13" s="36">
        <f>SUM(F11:F12)</f>
        <v>702.35299999999995</v>
      </c>
      <c r="G13" s="36">
        <f>E13-F13</f>
        <v>153.28367000000003</v>
      </c>
      <c r="H13" s="126">
        <f>IF(F13&lt;0.00000001,"",E13/F13)</f>
        <v>1.2182430629612175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0.23516470144124646</v>
      </c>
      <c r="C15" s="39">
        <f>IF(C9=0,"",C13/C9)</f>
        <v>0.24610314742588565</v>
      </c>
      <c r="D15" s="8"/>
      <c r="E15" s="6">
        <f>IF(E9=0,"",E13/E9)</f>
        <v>0.25507965896810342</v>
      </c>
      <c r="F15" s="38">
        <f>IF(F9=0,"",F13/F9)</f>
        <v>0.21891411385103729</v>
      </c>
      <c r="G15" s="38">
        <f>IF(ISERROR(F15-E15),"",E15-F15)</f>
        <v>3.6165545117066128E-2</v>
      </c>
      <c r="H15" s="127">
        <f>IF(ISERROR(F15-E15),"",IF(F15&lt;0.00000001,"",E15/F15))</f>
        <v>1.1652042642699383</v>
      </c>
    </row>
    <row r="17" spans="1:8" ht="14.4" customHeight="1" x14ac:dyDescent="0.3">
      <c r="A17" s="113" t="s">
        <v>161</v>
      </c>
    </row>
    <row r="18" spans="1:8" ht="14.4" customHeight="1" x14ac:dyDescent="0.3">
      <c r="A18" s="288" t="s">
        <v>202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201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0.27505688484716212</v>
      </c>
      <c r="C4" s="202">
        <f t="shared" ref="C4:M4" si="0">(C10+C8)/C6</f>
        <v>0.25633176484765058</v>
      </c>
      <c r="D4" s="202">
        <f t="shared" si="0"/>
        <v>0.26064811969188778</v>
      </c>
      <c r="E4" s="202">
        <f t="shared" si="0"/>
        <v>0.25507965896810347</v>
      </c>
      <c r="F4" s="202">
        <f t="shared" si="0"/>
        <v>0.25507965896810347</v>
      </c>
      <c r="G4" s="202">
        <f t="shared" si="0"/>
        <v>0.25507965896810347</v>
      </c>
      <c r="H4" s="202">
        <f t="shared" si="0"/>
        <v>0.25507965896810347</v>
      </c>
      <c r="I4" s="202">
        <f t="shared" si="0"/>
        <v>0.25507965896810347</v>
      </c>
      <c r="J4" s="202">
        <f t="shared" si="0"/>
        <v>0.25507965896810347</v>
      </c>
      <c r="K4" s="202">
        <f t="shared" si="0"/>
        <v>0.25507965896810347</v>
      </c>
      <c r="L4" s="202">
        <f t="shared" si="0"/>
        <v>0.25507965896810347</v>
      </c>
      <c r="M4" s="202">
        <f t="shared" si="0"/>
        <v>0.25507965896810347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829.61021000000005</v>
      </c>
      <c r="C5" s="202">
        <f>IF(ISERROR(VLOOKUP($A5,'Man Tab'!$A:$Q,COLUMN()+2,0)),0,VLOOKUP($A5,'Man Tab'!$A:$Q,COLUMN()+2,0))</f>
        <v>816.81859000000202</v>
      </c>
      <c r="D5" s="202">
        <f>IF(ISERROR(VLOOKUP($A5,'Man Tab'!$A:$Q,COLUMN()+2,0)),0,VLOOKUP($A5,'Man Tab'!$A:$Q,COLUMN()+2,0))</f>
        <v>821.62149999999997</v>
      </c>
      <c r="E5" s="202">
        <f>IF(ISERROR(VLOOKUP($A5,'Man Tab'!$A:$Q,COLUMN()+2,0)),0,VLOOKUP($A5,'Man Tab'!$A:$Q,COLUMN()+2,0))</f>
        <v>886.33974999999998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829.61021000000005</v>
      </c>
      <c r="C6" s="204">
        <f t="shared" ref="C6:M6" si="1">C5+B6</f>
        <v>1646.428800000002</v>
      </c>
      <c r="D6" s="204">
        <f t="shared" si="1"/>
        <v>2468.0503000000017</v>
      </c>
      <c r="E6" s="204">
        <f t="shared" si="1"/>
        <v>3354.3900500000018</v>
      </c>
      <c r="F6" s="204">
        <f t="shared" si="1"/>
        <v>3354.3900500000018</v>
      </c>
      <c r="G6" s="204">
        <f t="shared" si="1"/>
        <v>3354.3900500000018</v>
      </c>
      <c r="H6" s="204">
        <f t="shared" si="1"/>
        <v>3354.3900500000018</v>
      </c>
      <c r="I6" s="204">
        <f t="shared" si="1"/>
        <v>3354.3900500000018</v>
      </c>
      <c r="J6" s="204">
        <f t="shared" si="1"/>
        <v>3354.3900500000018</v>
      </c>
      <c r="K6" s="204">
        <f t="shared" si="1"/>
        <v>3354.3900500000018</v>
      </c>
      <c r="L6" s="204">
        <f t="shared" si="1"/>
        <v>3354.3900500000018</v>
      </c>
      <c r="M6" s="204">
        <f t="shared" si="1"/>
        <v>3354.3900500000018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228190</v>
      </c>
      <c r="C9" s="203">
        <v>193842</v>
      </c>
      <c r="D9" s="203">
        <v>221260.66999999998</v>
      </c>
      <c r="E9" s="203">
        <v>212344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228.19</v>
      </c>
      <c r="C10" s="204">
        <f t="shared" ref="C10:M10" si="3">C9/1000+B10</f>
        <v>422.03200000000004</v>
      </c>
      <c r="D10" s="204">
        <f t="shared" si="3"/>
        <v>643.29267000000004</v>
      </c>
      <c r="E10" s="204">
        <f t="shared" si="3"/>
        <v>855.63667000000009</v>
      </c>
      <c r="F10" s="204">
        <f t="shared" si="3"/>
        <v>855.63667000000009</v>
      </c>
      <c r="G10" s="204">
        <f t="shared" si="3"/>
        <v>855.63667000000009</v>
      </c>
      <c r="H10" s="204">
        <f t="shared" si="3"/>
        <v>855.63667000000009</v>
      </c>
      <c r="I10" s="204">
        <f t="shared" si="3"/>
        <v>855.63667000000009</v>
      </c>
      <c r="J10" s="204">
        <f t="shared" si="3"/>
        <v>855.63667000000009</v>
      </c>
      <c r="K10" s="204">
        <f t="shared" si="3"/>
        <v>855.63667000000009</v>
      </c>
      <c r="L10" s="204">
        <f t="shared" si="3"/>
        <v>855.63667000000009</v>
      </c>
      <c r="M10" s="204">
        <f t="shared" si="3"/>
        <v>855.63667000000009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0.21891411385103729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0.21891411385103729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259</v>
      </c>
      <c r="E4" s="129" t="s">
        <v>260</v>
      </c>
      <c r="F4" s="129" t="s">
        <v>261</v>
      </c>
      <c r="G4" s="129" t="s">
        <v>262</v>
      </c>
      <c r="H4" s="129" t="s">
        <v>263</v>
      </c>
      <c r="I4" s="129" t="s">
        <v>264</v>
      </c>
      <c r="J4" s="129" t="s">
        <v>265</v>
      </c>
      <c r="K4" s="129" t="s">
        <v>266</v>
      </c>
      <c r="L4" s="129" t="s">
        <v>267</v>
      </c>
      <c r="M4" s="129" t="s">
        <v>268</v>
      </c>
      <c r="N4" s="129" t="s">
        <v>269</v>
      </c>
      <c r="O4" s="129" t="s">
        <v>270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179.42383000000001</v>
      </c>
      <c r="Q7" s="95">
        <v>0.80506025211300003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283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17.29543</v>
      </c>
      <c r="Q9" s="95">
        <v>0.62253235844999999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283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21.481529999999999</v>
      </c>
      <c r="Q11" s="95">
        <v>0.78910179518099999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0.22387000000000001</v>
      </c>
      <c r="Q12" s="95">
        <v>0.15636138145799999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2.0621200000000002</v>
      </c>
      <c r="Q13" s="95">
        <v>0.77329502435599995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500.43299999999999</v>
      </c>
      <c r="Q14" s="95">
        <v>1.3085826592009999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283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11.37946</v>
      </c>
      <c r="Q17" s="95">
        <v>0.36741190124899997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3.1280000000000001</v>
      </c>
      <c r="Q18" s="95" t="s">
        <v>283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85.024249999999995</v>
      </c>
      <c r="Q19" s="95">
        <v>1.1978539057240001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2437.57656</v>
      </c>
      <c r="Q20" s="95">
        <v>1.039182877694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96.361999999999995</v>
      </c>
      <c r="Q21" s="95">
        <v>1.0002985899670001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283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283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-1.13686837721616E-13</v>
      </c>
      <c r="Q24" s="95" t="s">
        <v>283</v>
      </c>
    </row>
    <row r="25" spans="1:17" ht="14.4" customHeight="1" x14ac:dyDescent="0.3">
      <c r="A25" s="17" t="s">
        <v>53</v>
      </c>
      <c r="B25" s="54">
        <v>9625.0486683273994</v>
      </c>
      <c r="C25" s="55">
        <v>802.08738902728396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3354.39005</v>
      </c>
      <c r="Q25" s="96">
        <v>1.0455188848150001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402.45968000000101</v>
      </c>
      <c r="Q26" s="95" t="s">
        <v>283</v>
      </c>
    </row>
    <row r="27" spans="1:17" ht="14.4" customHeight="1" x14ac:dyDescent="0.3">
      <c r="A27" s="18" t="s">
        <v>55</v>
      </c>
      <c r="B27" s="54">
        <v>9625.0486683273994</v>
      </c>
      <c r="C27" s="55">
        <v>802.08738902728396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3756.8497299999999</v>
      </c>
      <c r="Q27" s="96">
        <v>1.170960228709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1381.91841</v>
      </c>
      <c r="Q28" s="95">
        <v>1.117414106542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275</v>
      </c>
      <c r="G4" s="346" t="s">
        <v>64</v>
      </c>
      <c r="H4" s="141" t="s">
        <v>142</v>
      </c>
      <c r="I4" s="344" t="s">
        <v>65</v>
      </c>
      <c r="J4" s="346" t="s">
        <v>277</v>
      </c>
      <c r="K4" s="347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45"/>
      <c r="G5" s="345"/>
      <c r="H5" s="25" t="s">
        <v>276</v>
      </c>
      <c r="I5" s="345"/>
      <c r="J5" s="345"/>
      <c r="K5" s="348"/>
    </row>
    <row r="6" spans="1:11" ht="14.4" customHeight="1" thickBot="1" x14ac:dyDescent="0.35">
      <c r="A6" s="435" t="s">
        <v>285</v>
      </c>
      <c r="B6" s="417">
        <v>9511.0081773865604</v>
      </c>
      <c r="C6" s="417">
        <v>9624.1023399999995</v>
      </c>
      <c r="D6" s="418">
        <v>113.09416261345</v>
      </c>
      <c r="E6" s="419">
        <v>1.0118908700839999</v>
      </c>
      <c r="F6" s="417">
        <v>9625.0486683273994</v>
      </c>
      <c r="G6" s="418">
        <v>3208.3495561091299</v>
      </c>
      <c r="H6" s="420">
        <v>886.33974999999998</v>
      </c>
      <c r="I6" s="417">
        <v>3354.39005</v>
      </c>
      <c r="J6" s="418">
        <v>146.040493890867</v>
      </c>
      <c r="K6" s="421">
        <v>0.34850629493800001</v>
      </c>
    </row>
    <row r="7" spans="1:11" ht="14.4" customHeight="1" thickBot="1" x14ac:dyDescent="0.35">
      <c r="A7" s="436" t="s">
        <v>286</v>
      </c>
      <c r="B7" s="417">
        <v>2178.7163046861501</v>
      </c>
      <c r="C7" s="417">
        <v>1824.92517</v>
      </c>
      <c r="D7" s="418">
        <v>-353.79113468614503</v>
      </c>
      <c r="E7" s="419">
        <v>0.837614868018</v>
      </c>
      <c r="F7" s="417">
        <v>1993.1919051438199</v>
      </c>
      <c r="G7" s="418">
        <v>664.39730171460599</v>
      </c>
      <c r="H7" s="420">
        <v>146.73514</v>
      </c>
      <c r="I7" s="417">
        <v>720.91977999999995</v>
      </c>
      <c r="J7" s="418">
        <v>56.522478285394001</v>
      </c>
      <c r="K7" s="421">
        <v>0.36169110367099999</v>
      </c>
    </row>
    <row r="8" spans="1:11" ht="14.4" customHeight="1" thickBot="1" x14ac:dyDescent="0.35">
      <c r="A8" s="437" t="s">
        <v>287</v>
      </c>
      <c r="B8" s="417">
        <v>992.14514976648695</v>
      </c>
      <c r="C8" s="417">
        <v>719.70617000000004</v>
      </c>
      <c r="D8" s="418">
        <v>-272.43897976648702</v>
      </c>
      <c r="E8" s="419">
        <v>0.72540411064699994</v>
      </c>
      <c r="F8" s="417">
        <v>845.92085623929302</v>
      </c>
      <c r="G8" s="418">
        <v>281.97361874643099</v>
      </c>
      <c r="H8" s="420">
        <v>45.979140000000001</v>
      </c>
      <c r="I8" s="417">
        <v>220.48678000000001</v>
      </c>
      <c r="J8" s="418">
        <v>-61.486838746430003</v>
      </c>
      <c r="K8" s="421">
        <v>0.26064705506800001</v>
      </c>
    </row>
    <row r="9" spans="1:11" ht="14.4" customHeight="1" thickBot="1" x14ac:dyDescent="0.35">
      <c r="A9" s="438" t="s">
        <v>288</v>
      </c>
      <c r="B9" s="422">
        <v>0</v>
      </c>
      <c r="C9" s="422">
        <v>5.0000000000000002E-5</v>
      </c>
      <c r="D9" s="423">
        <v>5.0000000000000002E-5</v>
      </c>
      <c r="E9" s="424" t="s">
        <v>289</v>
      </c>
      <c r="F9" s="422">
        <v>0</v>
      </c>
      <c r="G9" s="423">
        <v>0</v>
      </c>
      <c r="H9" s="425">
        <v>0</v>
      </c>
      <c r="I9" s="422">
        <v>0</v>
      </c>
      <c r="J9" s="423">
        <v>0</v>
      </c>
      <c r="K9" s="426" t="s">
        <v>283</v>
      </c>
    </row>
    <row r="10" spans="1:11" ht="14.4" customHeight="1" thickBot="1" x14ac:dyDescent="0.35">
      <c r="A10" s="439" t="s">
        <v>290</v>
      </c>
      <c r="B10" s="417">
        <v>0</v>
      </c>
      <c r="C10" s="417">
        <v>5.0000000000000002E-5</v>
      </c>
      <c r="D10" s="418">
        <v>5.0000000000000002E-5</v>
      </c>
      <c r="E10" s="427" t="s">
        <v>289</v>
      </c>
      <c r="F10" s="417">
        <v>0</v>
      </c>
      <c r="G10" s="418">
        <v>0</v>
      </c>
      <c r="H10" s="420">
        <v>0</v>
      </c>
      <c r="I10" s="417">
        <v>0</v>
      </c>
      <c r="J10" s="418">
        <v>0</v>
      </c>
      <c r="K10" s="428" t="s">
        <v>283</v>
      </c>
    </row>
    <row r="11" spans="1:11" ht="14.4" customHeight="1" thickBot="1" x14ac:dyDescent="0.35">
      <c r="A11" s="438" t="s">
        <v>291</v>
      </c>
      <c r="B11" s="422">
        <v>799.04018947148097</v>
      </c>
      <c r="C11" s="422">
        <v>545.49552000000006</v>
      </c>
      <c r="D11" s="423">
        <v>-253.54466947148001</v>
      </c>
      <c r="E11" s="429">
        <v>0.682688464469</v>
      </c>
      <c r="F11" s="422">
        <v>668.61019232655701</v>
      </c>
      <c r="G11" s="423">
        <v>222.87006410885201</v>
      </c>
      <c r="H11" s="425">
        <v>36.167870000000001</v>
      </c>
      <c r="I11" s="422">
        <v>179.42383000000001</v>
      </c>
      <c r="J11" s="423">
        <v>-43.446234108852003</v>
      </c>
      <c r="K11" s="430">
        <v>0.26835341737099999</v>
      </c>
    </row>
    <row r="12" spans="1:11" ht="14.4" customHeight="1" thickBot="1" x14ac:dyDescent="0.35">
      <c r="A12" s="439" t="s">
        <v>292</v>
      </c>
      <c r="B12" s="417">
        <v>799.00226389420004</v>
      </c>
      <c r="C12" s="417">
        <v>545.49552000000006</v>
      </c>
      <c r="D12" s="418">
        <v>-253.50674389419899</v>
      </c>
      <c r="E12" s="419">
        <v>0.68272086907600005</v>
      </c>
      <c r="F12" s="417">
        <v>668.61019232655701</v>
      </c>
      <c r="G12" s="418">
        <v>222.87006410885201</v>
      </c>
      <c r="H12" s="420">
        <v>36.167870000000001</v>
      </c>
      <c r="I12" s="417">
        <v>179.42383000000001</v>
      </c>
      <c r="J12" s="418">
        <v>-43.446234108852003</v>
      </c>
      <c r="K12" s="421">
        <v>0.26835341737099999</v>
      </c>
    </row>
    <row r="13" spans="1:11" ht="14.4" customHeight="1" thickBot="1" x14ac:dyDescent="0.35">
      <c r="A13" s="439" t="s">
        <v>293</v>
      </c>
      <c r="B13" s="417">
        <v>3.7925577279999997E-2</v>
      </c>
      <c r="C13" s="417">
        <v>0</v>
      </c>
      <c r="D13" s="418">
        <v>-3.7925577279999997E-2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4</v>
      </c>
    </row>
    <row r="14" spans="1:11" ht="14.4" customHeight="1" thickBot="1" x14ac:dyDescent="0.35">
      <c r="A14" s="438" t="s">
        <v>294</v>
      </c>
      <c r="B14" s="422">
        <v>81.939126417829996</v>
      </c>
      <c r="C14" s="422">
        <v>77.436539999999994</v>
      </c>
      <c r="D14" s="423">
        <v>-4.5025864178299999</v>
      </c>
      <c r="E14" s="429">
        <v>0.94504961652999997</v>
      </c>
      <c r="F14" s="422">
        <v>83.347137374767001</v>
      </c>
      <c r="G14" s="423">
        <v>27.782379124921999</v>
      </c>
      <c r="H14" s="425">
        <v>4.8605499999999999</v>
      </c>
      <c r="I14" s="422">
        <v>17.29543</v>
      </c>
      <c r="J14" s="423">
        <v>-10.486949124922001</v>
      </c>
      <c r="K14" s="430">
        <v>0.20751078614999999</v>
      </c>
    </row>
    <row r="15" spans="1:11" ht="14.4" customHeight="1" thickBot="1" x14ac:dyDescent="0.35">
      <c r="A15" s="439" t="s">
        <v>295</v>
      </c>
      <c r="B15" s="417">
        <v>12.908599045861999</v>
      </c>
      <c r="C15" s="417">
        <v>15.786849999999999</v>
      </c>
      <c r="D15" s="418">
        <v>2.8782509541370001</v>
      </c>
      <c r="E15" s="419">
        <v>1.222971597763</v>
      </c>
      <c r="F15" s="417">
        <v>17.903139436094001</v>
      </c>
      <c r="G15" s="418">
        <v>5.9677131453639998</v>
      </c>
      <c r="H15" s="420">
        <v>1.53912</v>
      </c>
      <c r="I15" s="417">
        <v>4.84511</v>
      </c>
      <c r="J15" s="418">
        <v>-1.122603145364</v>
      </c>
      <c r="K15" s="421">
        <v>0.27062907135800002</v>
      </c>
    </row>
    <row r="16" spans="1:11" ht="14.4" customHeight="1" thickBot="1" x14ac:dyDescent="0.35">
      <c r="A16" s="439" t="s">
        <v>296</v>
      </c>
      <c r="B16" s="417">
        <v>2.3865047211979999</v>
      </c>
      <c r="C16" s="417">
        <v>3.50739</v>
      </c>
      <c r="D16" s="418">
        <v>1.120885278801</v>
      </c>
      <c r="E16" s="419">
        <v>1.4696765394360001</v>
      </c>
      <c r="F16" s="417">
        <v>1.999999937004</v>
      </c>
      <c r="G16" s="418">
        <v>0.66666664566800005</v>
      </c>
      <c r="H16" s="420">
        <v>0.13743</v>
      </c>
      <c r="I16" s="417">
        <v>0.46737000000000001</v>
      </c>
      <c r="J16" s="418">
        <v>-0.19929664566800001</v>
      </c>
      <c r="K16" s="421">
        <v>0.23368500736</v>
      </c>
    </row>
    <row r="17" spans="1:11" ht="14.4" customHeight="1" thickBot="1" x14ac:dyDescent="0.35">
      <c r="A17" s="439" t="s">
        <v>297</v>
      </c>
      <c r="B17" s="417">
        <v>31.546092350763999</v>
      </c>
      <c r="C17" s="417">
        <v>25.243300000000001</v>
      </c>
      <c r="D17" s="418">
        <v>-6.3027923507640002</v>
      </c>
      <c r="E17" s="419">
        <v>0.80020370571699995</v>
      </c>
      <c r="F17" s="417">
        <v>24.999999212559999</v>
      </c>
      <c r="G17" s="418">
        <v>8.3333330708529996</v>
      </c>
      <c r="H17" s="420">
        <v>0.92500000000000004</v>
      </c>
      <c r="I17" s="417">
        <v>5.0459500000000004</v>
      </c>
      <c r="J17" s="418">
        <v>-3.2873830708530001</v>
      </c>
      <c r="K17" s="421">
        <v>0.201838006357</v>
      </c>
    </row>
    <row r="18" spans="1:11" ht="14.4" customHeight="1" thickBot="1" x14ac:dyDescent="0.35">
      <c r="A18" s="439" t="s">
        <v>298</v>
      </c>
      <c r="B18" s="417">
        <v>30.932619226945999</v>
      </c>
      <c r="C18" s="417">
        <v>26.135999999999999</v>
      </c>
      <c r="D18" s="418">
        <v>-4.7966192269460004</v>
      </c>
      <c r="E18" s="419">
        <v>0.84493329867199995</v>
      </c>
      <c r="F18" s="417">
        <v>31.999998992077</v>
      </c>
      <c r="G18" s="418">
        <v>10.666666330691999</v>
      </c>
      <c r="H18" s="420">
        <v>1.6339999999999999</v>
      </c>
      <c r="I18" s="417">
        <v>4.9000000000000004</v>
      </c>
      <c r="J18" s="418">
        <v>-5.7666663306919999</v>
      </c>
      <c r="K18" s="421">
        <v>0.15312500482300001</v>
      </c>
    </row>
    <row r="19" spans="1:11" ht="14.4" customHeight="1" thickBot="1" x14ac:dyDescent="0.35">
      <c r="A19" s="439" t="s">
        <v>299</v>
      </c>
      <c r="B19" s="417">
        <v>1.501137758447</v>
      </c>
      <c r="C19" s="417">
        <v>4.452</v>
      </c>
      <c r="D19" s="418">
        <v>2.9508622415520001</v>
      </c>
      <c r="E19" s="419">
        <v>2.9657504615720001</v>
      </c>
      <c r="F19" s="417">
        <v>3.443999891522</v>
      </c>
      <c r="G19" s="418">
        <v>1.14799996384</v>
      </c>
      <c r="H19" s="420">
        <v>0.48299999999999998</v>
      </c>
      <c r="I19" s="417">
        <v>1.4690000000000001</v>
      </c>
      <c r="J19" s="418">
        <v>0.32100003615900002</v>
      </c>
      <c r="K19" s="421">
        <v>0.42653892168099999</v>
      </c>
    </row>
    <row r="20" spans="1:11" ht="14.4" customHeight="1" thickBot="1" x14ac:dyDescent="0.35">
      <c r="A20" s="439" t="s">
        <v>300</v>
      </c>
      <c r="B20" s="417">
        <v>2.6641733146109998</v>
      </c>
      <c r="C20" s="417">
        <v>2.3109999999999999</v>
      </c>
      <c r="D20" s="418">
        <v>-0.35317331461099999</v>
      </c>
      <c r="E20" s="419">
        <v>0.86743605880399999</v>
      </c>
      <c r="F20" s="417">
        <v>2.9999999055069999</v>
      </c>
      <c r="G20" s="418">
        <v>0.99999996850200001</v>
      </c>
      <c r="H20" s="420">
        <v>0.14199999999999999</v>
      </c>
      <c r="I20" s="417">
        <v>0.56799999999999995</v>
      </c>
      <c r="J20" s="418">
        <v>-0.43199996850200001</v>
      </c>
      <c r="K20" s="421">
        <v>0.18933333929599999</v>
      </c>
    </row>
    <row r="21" spans="1:11" ht="14.4" customHeight="1" thickBot="1" x14ac:dyDescent="0.35">
      <c r="A21" s="438" t="s">
        <v>301</v>
      </c>
      <c r="B21" s="422">
        <v>100.800141184086</v>
      </c>
      <c r="C21" s="422">
        <v>88.309569999999994</v>
      </c>
      <c r="D21" s="423">
        <v>-12.490571184085001</v>
      </c>
      <c r="E21" s="429">
        <v>0.87608577689099998</v>
      </c>
      <c r="F21" s="422">
        <v>81.668284616121994</v>
      </c>
      <c r="G21" s="423">
        <v>27.222761538707001</v>
      </c>
      <c r="H21" s="425">
        <v>4.57714</v>
      </c>
      <c r="I21" s="422">
        <v>21.481529999999999</v>
      </c>
      <c r="J21" s="423">
        <v>-5.7412315387069999</v>
      </c>
      <c r="K21" s="430">
        <v>0.26303393172700001</v>
      </c>
    </row>
    <row r="22" spans="1:11" ht="14.4" customHeight="1" thickBot="1" x14ac:dyDescent="0.35">
      <c r="A22" s="439" t="s">
        <v>302</v>
      </c>
      <c r="B22" s="417">
        <v>24.218620319271</v>
      </c>
      <c r="C22" s="417">
        <v>14.0985</v>
      </c>
      <c r="D22" s="418">
        <v>-10.120120319271001</v>
      </c>
      <c r="E22" s="419">
        <v>0.58213472997799998</v>
      </c>
      <c r="F22" s="417">
        <v>0</v>
      </c>
      <c r="G22" s="418">
        <v>0</v>
      </c>
      <c r="H22" s="420">
        <v>0.72599999999999998</v>
      </c>
      <c r="I22" s="417">
        <v>2.1537999999999999</v>
      </c>
      <c r="J22" s="418">
        <v>2.1537999999999999</v>
      </c>
      <c r="K22" s="428" t="s">
        <v>289</v>
      </c>
    </row>
    <row r="23" spans="1:11" ht="14.4" customHeight="1" thickBot="1" x14ac:dyDescent="0.35">
      <c r="A23" s="439" t="s">
        <v>303</v>
      </c>
      <c r="B23" s="417">
        <v>0.23093460057000001</v>
      </c>
      <c r="C23" s="417">
        <v>0.43513000000000002</v>
      </c>
      <c r="D23" s="418">
        <v>0.204195399429</v>
      </c>
      <c r="E23" s="419">
        <v>1.884213101564</v>
      </c>
      <c r="F23" s="417">
        <v>0</v>
      </c>
      <c r="G23" s="418">
        <v>0</v>
      </c>
      <c r="H23" s="420">
        <v>3.218E-2</v>
      </c>
      <c r="I23" s="417">
        <v>0.32952999999999999</v>
      </c>
      <c r="J23" s="418">
        <v>0.32952999999999999</v>
      </c>
      <c r="K23" s="428" t="s">
        <v>283</v>
      </c>
    </row>
    <row r="24" spans="1:11" ht="14.4" customHeight="1" thickBot="1" x14ac:dyDescent="0.35">
      <c r="A24" s="439" t="s">
        <v>304</v>
      </c>
      <c r="B24" s="417">
        <v>12.702025100788999</v>
      </c>
      <c r="C24" s="417">
        <v>11.743600000000001</v>
      </c>
      <c r="D24" s="418">
        <v>-0.95842510078900001</v>
      </c>
      <c r="E24" s="419">
        <v>0.92454548836200001</v>
      </c>
      <c r="F24" s="417">
        <v>11.73926516497</v>
      </c>
      <c r="G24" s="418">
        <v>3.9130883883230001</v>
      </c>
      <c r="H24" s="420">
        <v>1.1621300000000001</v>
      </c>
      <c r="I24" s="417">
        <v>3.3630800000000001</v>
      </c>
      <c r="J24" s="418">
        <v>-0.55000838832300003</v>
      </c>
      <c r="K24" s="421">
        <v>0.286481304642</v>
      </c>
    </row>
    <row r="25" spans="1:11" ht="14.4" customHeight="1" thickBot="1" x14ac:dyDescent="0.35">
      <c r="A25" s="439" t="s">
        <v>305</v>
      </c>
      <c r="B25" s="417">
        <v>26.031246613278999</v>
      </c>
      <c r="C25" s="417">
        <v>25.98687</v>
      </c>
      <c r="D25" s="418">
        <v>-4.4376613278999999E-2</v>
      </c>
      <c r="E25" s="419">
        <v>0.99829525593000001</v>
      </c>
      <c r="F25" s="417">
        <v>29.999999685024001</v>
      </c>
      <c r="G25" s="418">
        <v>9.9999998950079991</v>
      </c>
      <c r="H25" s="420">
        <v>1.63863</v>
      </c>
      <c r="I25" s="417">
        <v>7.1104500000000002</v>
      </c>
      <c r="J25" s="418">
        <v>-2.8895498950079999</v>
      </c>
      <c r="K25" s="421">
        <v>0.237015002488</v>
      </c>
    </row>
    <row r="26" spans="1:11" ht="14.4" customHeight="1" thickBot="1" x14ac:dyDescent="0.35">
      <c r="A26" s="439" t="s">
        <v>306</v>
      </c>
      <c r="B26" s="417">
        <v>4.9995948694530004</v>
      </c>
      <c r="C26" s="417">
        <v>5.6805199999999996</v>
      </c>
      <c r="D26" s="418">
        <v>0.68092513054600001</v>
      </c>
      <c r="E26" s="419">
        <v>1.1361960615460001</v>
      </c>
      <c r="F26" s="417">
        <v>5.9999998110139998</v>
      </c>
      <c r="G26" s="418">
        <v>1.999999937004</v>
      </c>
      <c r="H26" s="420">
        <v>0</v>
      </c>
      <c r="I26" s="417">
        <v>0.1331</v>
      </c>
      <c r="J26" s="418">
        <v>-1.866899937004</v>
      </c>
      <c r="K26" s="421">
        <v>2.2183334031999999E-2</v>
      </c>
    </row>
    <row r="27" spans="1:11" ht="14.4" customHeight="1" thickBot="1" x14ac:dyDescent="0.35">
      <c r="A27" s="439" t="s">
        <v>307</v>
      </c>
      <c r="B27" s="417">
        <v>29.171985844207999</v>
      </c>
      <c r="C27" s="417">
        <v>26.151219999999999</v>
      </c>
      <c r="D27" s="418">
        <v>-3.0207658442079999</v>
      </c>
      <c r="E27" s="419">
        <v>0.89644976998299997</v>
      </c>
      <c r="F27" s="417">
        <v>30.929020049605001</v>
      </c>
      <c r="G27" s="418">
        <v>10.309673349868</v>
      </c>
      <c r="H27" s="420">
        <v>0.65339999999999998</v>
      </c>
      <c r="I27" s="417">
        <v>6.0630899999999999</v>
      </c>
      <c r="J27" s="418">
        <v>-4.2465833498679997</v>
      </c>
      <c r="K27" s="421">
        <v>0.19603239903</v>
      </c>
    </row>
    <row r="28" spans="1:11" ht="14.4" customHeight="1" thickBot="1" x14ac:dyDescent="0.35">
      <c r="A28" s="439" t="s">
        <v>308</v>
      </c>
      <c r="B28" s="417">
        <v>3.4457338365119998</v>
      </c>
      <c r="C28" s="417">
        <v>4.21373</v>
      </c>
      <c r="D28" s="418">
        <v>0.76799616348699995</v>
      </c>
      <c r="E28" s="419">
        <v>1.2228831940960001</v>
      </c>
      <c r="F28" s="417">
        <v>2.9999999055069999</v>
      </c>
      <c r="G28" s="418">
        <v>0.99999996850200001</v>
      </c>
      <c r="H28" s="420">
        <v>0.36480000000000001</v>
      </c>
      <c r="I28" s="417">
        <v>2.3284799999999999</v>
      </c>
      <c r="J28" s="418">
        <v>1.328480031497</v>
      </c>
      <c r="K28" s="421">
        <v>0.77616002444700005</v>
      </c>
    </row>
    <row r="29" spans="1:11" ht="14.4" customHeight="1" thickBot="1" x14ac:dyDescent="0.35">
      <c r="A29" s="438" t="s">
        <v>309</v>
      </c>
      <c r="B29" s="422">
        <v>4.8941998601070003</v>
      </c>
      <c r="C29" s="422">
        <v>0.96736999999999995</v>
      </c>
      <c r="D29" s="423">
        <v>-3.926829860107</v>
      </c>
      <c r="E29" s="429">
        <v>0.19765641527700001</v>
      </c>
      <c r="F29" s="422">
        <v>4.2952421738269999</v>
      </c>
      <c r="G29" s="423">
        <v>1.4317473912750001</v>
      </c>
      <c r="H29" s="425">
        <v>0</v>
      </c>
      <c r="I29" s="422">
        <v>0.22387000000000001</v>
      </c>
      <c r="J29" s="423">
        <v>-1.207877391275</v>
      </c>
      <c r="K29" s="430">
        <v>5.2120460485999998E-2</v>
      </c>
    </row>
    <row r="30" spans="1:11" ht="14.4" customHeight="1" thickBot="1" x14ac:dyDescent="0.35">
      <c r="A30" s="439" t="s">
        <v>310</v>
      </c>
      <c r="B30" s="417">
        <v>1.6917125969519999</v>
      </c>
      <c r="C30" s="417">
        <v>0</v>
      </c>
      <c r="D30" s="418">
        <v>-1.6917125969519999</v>
      </c>
      <c r="E30" s="419">
        <v>0</v>
      </c>
      <c r="F30" s="417">
        <v>0</v>
      </c>
      <c r="G30" s="418">
        <v>0</v>
      </c>
      <c r="H30" s="420">
        <v>0</v>
      </c>
      <c r="I30" s="417">
        <v>0</v>
      </c>
      <c r="J30" s="418">
        <v>0</v>
      </c>
      <c r="K30" s="421">
        <v>4</v>
      </c>
    </row>
    <row r="31" spans="1:11" ht="14.4" customHeight="1" thickBot="1" x14ac:dyDescent="0.35">
      <c r="A31" s="439" t="s">
        <v>311</v>
      </c>
      <c r="B31" s="417">
        <v>0</v>
      </c>
      <c r="C31" s="417">
        <v>0.30009999999999998</v>
      </c>
      <c r="D31" s="418">
        <v>0.30009999999999998</v>
      </c>
      <c r="E31" s="427" t="s">
        <v>289</v>
      </c>
      <c r="F31" s="417">
        <v>0.29524229981700001</v>
      </c>
      <c r="G31" s="418">
        <v>9.8414099938999994E-2</v>
      </c>
      <c r="H31" s="420">
        <v>0</v>
      </c>
      <c r="I31" s="417">
        <v>0</v>
      </c>
      <c r="J31" s="418">
        <v>-9.8414099938999994E-2</v>
      </c>
      <c r="K31" s="421">
        <v>0</v>
      </c>
    </row>
    <row r="32" spans="1:11" ht="14.4" customHeight="1" thickBot="1" x14ac:dyDescent="0.35">
      <c r="A32" s="439" t="s">
        <v>312</v>
      </c>
      <c r="B32" s="417">
        <v>3.202487263154</v>
      </c>
      <c r="C32" s="417">
        <v>0.66727000000000003</v>
      </c>
      <c r="D32" s="418">
        <v>-2.5352172631540002</v>
      </c>
      <c r="E32" s="419">
        <v>0.208359923137</v>
      </c>
      <c r="F32" s="417">
        <v>3.9999998740090001</v>
      </c>
      <c r="G32" s="418">
        <v>1.3333332913360001</v>
      </c>
      <c r="H32" s="420">
        <v>0</v>
      </c>
      <c r="I32" s="417">
        <v>0.22387000000000001</v>
      </c>
      <c r="J32" s="418">
        <v>-1.1094632913360001</v>
      </c>
      <c r="K32" s="421">
        <v>5.5967501762000001E-2</v>
      </c>
    </row>
    <row r="33" spans="1:11" ht="14.4" customHeight="1" thickBot="1" x14ac:dyDescent="0.35">
      <c r="A33" s="438" t="s">
        <v>313</v>
      </c>
      <c r="B33" s="422">
        <v>5.4714928329830004</v>
      </c>
      <c r="C33" s="422">
        <v>7.4971199999999998</v>
      </c>
      <c r="D33" s="423">
        <v>2.0256271670160002</v>
      </c>
      <c r="E33" s="429">
        <v>1.3702147163209999</v>
      </c>
      <c r="F33" s="422">
        <v>7.9999997480190004</v>
      </c>
      <c r="G33" s="423">
        <v>2.6666665826729998</v>
      </c>
      <c r="H33" s="425">
        <v>0.37358000000000002</v>
      </c>
      <c r="I33" s="422">
        <v>2.0621200000000002</v>
      </c>
      <c r="J33" s="423">
        <v>-0.60454658267299999</v>
      </c>
      <c r="K33" s="430">
        <v>0.25776500811800002</v>
      </c>
    </row>
    <row r="34" spans="1:11" ht="14.4" customHeight="1" thickBot="1" x14ac:dyDescent="0.35">
      <c r="A34" s="439" t="s">
        <v>314</v>
      </c>
      <c r="B34" s="417">
        <v>2.4719005640009999</v>
      </c>
      <c r="C34" s="417">
        <v>3.3937900000000001</v>
      </c>
      <c r="D34" s="418">
        <v>0.921889435998</v>
      </c>
      <c r="E34" s="419">
        <v>1.3729476215280001</v>
      </c>
      <c r="F34" s="417">
        <v>3.9999998740090001</v>
      </c>
      <c r="G34" s="418">
        <v>1.3333332913360001</v>
      </c>
      <c r="H34" s="420">
        <v>0.20007</v>
      </c>
      <c r="I34" s="417">
        <v>1.3680699999999999</v>
      </c>
      <c r="J34" s="418">
        <v>3.4736708663E-2</v>
      </c>
      <c r="K34" s="421">
        <v>0.34201751077199999</v>
      </c>
    </row>
    <row r="35" spans="1:11" ht="14.4" customHeight="1" thickBot="1" x14ac:dyDescent="0.35">
      <c r="A35" s="439" t="s">
        <v>315</v>
      </c>
      <c r="B35" s="417">
        <v>0</v>
      </c>
      <c r="C35" s="417">
        <v>0.17036000000000001</v>
      </c>
      <c r="D35" s="418">
        <v>0.17036000000000001</v>
      </c>
      <c r="E35" s="427" t="s">
        <v>289</v>
      </c>
      <c r="F35" s="417">
        <v>0</v>
      </c>
      <c r="G35" s="418">
        <v>0</v>
      </c>
      <c r="H35" s="420">
        <v>0</v>
      </c>
      <c r="I35" s="417">
        <v>0</v>
      </c>
      <c r="J35" s="418">
        <v>0</v>
      </c>
      <c r="K35" s="428" t="s">
        <v>283</v>
      </c>
    </row>
    <row r="36" spans="1:11" ht="14.4" customHeight="1" thickBot="1" x14ac:dyDescent="0.35">
      <c r="A36" s="439" t="s">
        <v>316</v>
      </c>
      <c r="B36" s="417">
        <v>2.999592268981</v>
      </c>
      <c r="C36" s="417">
        <v>3.9329700000000001</v>
      </c>
      <c r="D36" s="418">
        <v>0.93337773101800003</v>
      </c>
      <c r="E36" s="419">
        <v>1.3111682013149999</v>
      </c>
      <c r="F36" s="417">
        <v>3.9999998740090001</v>
      </c>
      <c r="G36" s="418">
        <v>1.3333332913360001</v>
      </c>
      <c r="H36" s="420">
        <v>0.17351</v>
      </c>
      <c r="I36" s="417">
        <v>0.69404999999999994</v>
      </c>
      <c r="J36" s="418">
        <v>-0.63928329133600004</v>
      </c>
      <c r="K36" s="421">
        <v>0.17351250546499999</v>
      </c>
    </row>
    <row r="37" spans="1:11" ht="14.4" customHeight="1" thickBot="1" x14ac:dyDescent="0.35">
      <c r="A37" s="437" t="s">
        <v>42</v>
      </c>
      <c r="B37" s="417">
        <v>1186.5711549196601</v>
      </c>
      <c r="C37" s="417">
        <v>1105.2190000000001</v>
      </c>
      <c r="D37" s="418">
        <v>-81.352154919658005</v>
      </c>
      <c r="E37" s="419">
        <v>0.931439294995</v>
      </c>
      <c r="F37" s="417">
        <v>1147.2710489045301</v>
      </c>
      <c r="G37" s="418">
        <v>382.423682968175</v>
      </c>
      <c r="H37" s="420">
        <v>100.756</v>
      </c>
      <c r="I37" s="417">
        <v>500.43299999999999</v>
      </c>
      <c r="J37" s="418">
        <v>118.00931703182501</v>
      </c>
      <c r="K37" s="421">
        <v>0.43619421973299999</v>
      </c>
    </row>
    <row r="38" spans="1:11" ht="14.4" customHeight="1" thickBot="1" x14ac:dyDescent="0.35">
      <c r="A38" s="438" t="s">
        <v>317</v>
      </c>
      <c r="B38" s="422">
        <v>1186.5711549196601</v>
      </c>
      <c r="C38" s="422">
        <v>1105.2190000000001</v>
      </c>
      <c r="D38" s="423">
        <v>-81.352154919658005</v>
      </c>
      <c r="E38" s="429">
        <v>0.931439294995</v>
      </c>
      <c r="F38" s="422">
        <v>1147.2710489045301</v>
      </c>
      <c r="G38" s="423">
        <v>382.423682968175</v>
      </c>
      <c r="H38" s="425">
        <v>100.756</v>
      </c>
      <c r="I38" s="422">
        <v>500.43299999999999</v>
      </c>
      <c r="J38" s="423">
        <v>118.00931703182501</v>
      </c>
      <c r="K38" s="430">
        <v>0.43619421973299999</v>
      </c>
    </row>
    <row r="39" spans="1:11" ht="14.4" customHeight="1" thickBot="1" x14ac:dyDescent="0.35">
      <c r="A39" s="439" t="s">
        <v>318</v>
      </c>
      <c r="B39" s="417">
        <v>417.14983394043298</v>
      </c>
      <c r="C39" s="417">
        <v>350.53399999999999</v>
      </c>
      <c r="D39" s="418">
        <v>-66.615833940431997</v>
      </c>
      <c r="E39" s="419">
        <v>0.84030717857100001</v>
      </c>
      <c r="F39" s="417">
        <v>359.99998866087401</v>
      </c>
      <c r="G39" s="418">
        <v>119.999996220291</v>
      </c>
      <c r="H39" s="420">
        <v>30.734999999999999</v>
      </c>
      <c r="I39" s="417">
        <v>119.971</v>
      </c>
      <c r="J39" s="418">
        <v>-2.8996220291000002E-2</v>
      </c>
      <c r="K39" s="421">
        <v>0.33325278827400001</v>
      </c>
    </row>
    <row r="40" spans="1:11" ht="14.4" customHeight="1" thickBot="1" x14ac:dyDescent="0.35">
      <c r="A40" s="439" t="s">
        <v>319</v>
      </c>
      <c r="B40" s="417">
        <v>55.000372564808998</v>
      </c>
      <c r="C40" s="417">
        <v>96.090999999999994</v>
      </c>
      <c r="D40" s="418">
        <v>41.090627435190001</v>
      </c>
      <c r="E40" s="419">
        <v>1.747097256237</v>
      </c>
      <c r="F40" s="417">
        <v>105.27108172499599</v>
      </c>
      <c r="G40" s="418">
        <v>35.090360574998002</v>
      </c>
      <c r="H40" s="420">
        <v>8.1039999999999992</v>
      </c>
      <c r="I40" s="417">
        <v>33.33</v>
      </c>
      <c r="J40" s="418">
        <v>-1.760360574998</v>
      </c>
      <c r="K40" s="421">
        <v>0.316611166655</v>
      </c>
    </row>
    <row r="41" spans="1:11" ht="14.4" customHeight="1" thickBot="1" x14ac:dyDescent="0.35">
      <c r="A41" s="439" t="s">
        <v>320</v>
      </c>
      <c r="B41" s="417">
        <v>714.42094841441599</v>
      </c>
      <c r="C41" s="417">
        <v>658.59400000000096</v>
      </c>
      <c r="D41" s="418">
        <v>-55.826948414415</v>
      </c>
      <c r="E41" s="419">
        <v>0.92185706684699997</v>
      </c>
      <c r="F41" s="417">
        <v>681.99997851865601</v>
      </c>
      <c r="G41" s="418">
        <v>227.33332617288499</v>
      </c>
      <c r="H41" s="420">
        <v>61.917000000000002</v>
      </c>
      <c r="I41" s="417">
        <v>347.13200000000001</v>
      </c>
      <c r="J41" s="418">
        <v>119.798673827115</v>
      </c>
      <c r="K41" s="421">
        <v>0.50899121837799999</v>
      </c>
    </row>
    <row r="42" spans="1:11" ht="14.4" customHeight="1" thickBot="1" x14ac:dyDescent="0.35">
      <c r="A42" s="440" t="s">
        <v>321</v>
      </c>
      <c r="B42" s="422">
        <v>272.263737084073</v>
      </c>
      <c r="C42" s="422">
        <v>296.22759000000002</v>
      </c>
      <c r="D42" s="423">
        <v>23.963852915926999</v>
      </c>
      <c r="E42" s="429">
        <v>1.0880170571829999</v>
      </c>
      <c r="F42" s="422">
        <v>305.85727724537901</v>
      </c>
      <c r="G42" s="423">
        <v>101.95242574846</v>
      </c>
      <c r="H42" s="425">
        <v>25.944939999999999</v>
      </c>
      <c r="I42" s="422">
        <v>99.531710000000004</v>
      </c>
      <c r="J42" s="423">
        <v>-2.4207157484590001</v>
      </c>
      <c r="K42" s="430">
        <v>0.32541880610500001</v>
      </c>
    </row>
    <row r="43" spans="1:11" ht="14.4" customHeight="1" thickBot="1" x14ac:dyDescent="0.35">
      <c r="A43" s="437" t="s">
        <v>45</v>
      </c>
      <c r="B43" s="417">
        <v>55.262643467825001</v>
      </c>
      <c r="C43" s="417">
        <v>74.999579999999995</v>
      </c>
      <c r="D43" s="418">
        <v>19.736936532173999</v>
      </c>
      <c r="E43" s="419">
        <v>1.357147890394</v>
      </c>
      <c r="F43" s="417">
        <v>92.915825219316005</v>
      </c>
      <c r="G43" s="418">
        <v>30.971941739771999</v>
      </c>
      <c r="H43" s="420">
        <v>6.4695999999999998</v>
      </c>
      <c r="I43" s="417">
        <v>11.37946</v>
      </c>
      <c r="J43" s="418">
        <v>-19.592481739772001</v>
      </c>
      <c r="K43" s="421">
        <v>0.122470633749</v>
      </c>
    </row>
    <row r="44" spans="1:11" ht="14.4" customHeight="1" thickBot="1" x14ac:dyDescent="0.35">
      <c r="A44" s="441" t="s">
        <v>322</v>
      </c>
      <c r="B44" s="417">
        <v>55.262643467825001</v>
      </c>
      <c r="C44" s="417">
        <v>74.999579999999995</v>
      </c>
      <c r="D44" s="418">
        <v>19.736936532173999</v>
      </c>
      <c r="E44" s="419">
        <v>1.357147890394</v>
      </c>
      <c r="F44" s="417">
        <v>92.915825219316005</v>
      </c>
      <c r="G44" s="418">
        <v>30.971941739771999</v>
      </c>
      <c r="H44" s="420">
        <v>6.4695999999999998</v>
      </c>
      <c r="I44" s="417">
        <v>11.37946</v>
      </c>
      <c r="J44" s="418">
        <v>-19.592481739772001</v>
      </c>
      <c r="K44" s="421">
        <v>0.122470633749</v>
      </c>
    </row>
    <row r="45" spans="1:11" ht="14.4" customHeight="1" thickBot="1" x14ac:dyDescent="0.35">
      <c r="A45" s="439" t="s">
        <v>323</v>
      </c>
      <c r="B45" s="417">
        <v>1.178273429766</v>
      </c>
      <c r="C45" s="417">
        <v>0</v>
      </c>
      <c r="D45" s="418">
        <v>-1.178273429766</v>
      </c>
      <c r="E45" s="419">
        <v>0</v>
      </c>
      <c r="F45" s="417">
        <v>0</v>
      </c>
      <c r="G45" s="418">
        <v>0</v>
      </c>
      <c r="H45" s="420">
        <v>0</v>
      </c>
      <c r="I45" s="417">
        <v>0</v>
      </c>
      <c r="J45" s="418">
        <v>0</v>
      </c>
      <c r="K45" s="421">
        <v>4</v>
      </c>
    </row>
    <row r="46" spans="1:11" ht="14.4" customHeight="1" thickBot="1" x14ac:dyDescent="0.35">
      <c r="A46" s="439" t="s">
        <v>324</v>
      </c>
      <c r="B46" s="417">
        <v>0</v>
      </c>
      <c r="C46" s="417">
        <v>1.1499999999999999</v>
      </c>
      <c r="D46" s="418">
        <v>1.1499999999999999</v>
      </c>
      <c r="E46" s="427" t="s">
        <v>289</v>
      </c>
      <c r="F46" s="417">
        <v>1.471836690445</v>
      </c>
      <c r="G46" s="418">
        <v>0.49061223014799998</v>
      </c>
      <c r="H46" s="420">
        <v>0</v>
      </c>
      <c r="I46" s="417">
        <v>0</v>
      </c>
      <c r="J46" s="418">
        <v>-0.49061223014799998</v>
      </c>
      <c r="K46" s="421">
        <v>0</v>
      </c>
    </row>
    <row r="47" spans="1:11" ht="14.4" customHeight="1" thickBot="1" x14ac:dyDescent="0.35">
      <c r="A47" s="439" t="s">
        <v>325</v>
      </c>
      <c r="B47" s="417">
        <v>3.1194073684950001</v>
      </c>
      <c r="C47" s="417">
        <v>0.76719999999999999</v>
      </c>
      <c r="D47" s="418">
        <v>-2.3522073684949998</v>
      </c>
      <c r="E47" s="419">
        <v>0.24594415200399999</v>
      </c>
      <c r="F47" s="417">
        <v>0.72318584568599997</v>
      </c>
      <c r="G47" s="418">
        <v>0.241061948562</v>
      </c>
      <c r="H47" s="420">
        <v>2.8831600000000002</v>
      </c>
      <c r="I47" s="417">
        <v>2.8831600000000002</v>
      </c>
      <c r="J47" s="418">
        <v>2.6420980514369998</v>
      </c>
      <c r="K47" s="421">
        <v>3.9867483817539999</v>
      </c>
    </row>
    <row r="48" spans="1:11" ht="14.4" customHeight="1" thickBot="1" x14ac:dyDescent="0.35">
      <c r="A48" s="439" t="s">
        <v>326</v>
      </c>
      <c r="B48" s="417">
        <v>38.999934156165999</v>
      </c>
      <c r="C48" s="417">
        <v>52.270269999999996</v>
      </c>
      <c r="D48" s="418">
        <v>13.270335843832999</v>
      </c>
      <c r="E48" s="419">
        <v>1.3402655961079999</v>
      </c>
      <c r="F48" s="417">
        <v>71.999997732173995</v>
      </c>
      <c r="G48" s="418">
        <v>23.999999244057999</v>
      </c>
      <c r="H48" s="420">
        <v>3.5864400000000001</v>
      </c>
      <c r="I48" s="417">
        <v>5.2178399999999998</v>
      </c>
      <c r="J48" s="418">
        <v>-18.782159244058001</v>
      </c>
      <c r="K48" s="421">
        <v>7.2470002281999998E-2</v>
      </c>
    </row>
    <row r="49" spans="1:11" ht="14.4" customHeight="1" thickBot="1" x14ac:dyDescent="0.35">
      <c r="A49" s="439" t="s">
        <v>327</v>
      </c>
      <c r="B49" s="417">
        <v>11.965028513396</v>
      </c>
      <c r="C49" s="417">
        <v>20.812110000000001</v>
      </c>
      <c r="D49" s="418">
        <v>8.8470814866030008</v>
      </c>
      <c r="E49" s="419">
        <v>1.7394116509369999</v>
      </c>
      <c r="F49" s="417">
        <v>18.720804951009999</v>
      </c>
      <c r="G49" s="418">
        <v>6.2402683170030002</v>
      </c>
      <c r="H49" s="420">
        <v>0</v>
      </c>
      <c r="I49" s="417">
        <v>3.2784599999999999</v>
      </c>
      <c r="J49" s="418">
        <v>-2.9618083170029998</v>
      </c>
      <c r="K49" s="421">
        <v>0.175123880013</v>
      </c>
    </row>
    <row r="50" spans="1:11" ht="14.4" customHeight="1" thickBot="1" x14ac:dyDescent="0.35">
      <c r="A50" s="442" t="s">
        <v>46</v>
      </c>
      <c r="B50" s="422">
        <v>0</v>
      </c>
      <c r="C50" s="422">
        <v>3.911</v>
      </c>
      <c r="D50" s="423">
        <v>3.911</v>
      </c>
      <c r="E50" s="424" t="s">
        <v>283</v>
      </c>
      <c r="F50" s="422">
        <v>0</v>
      </c>
      <c r="G50" s="423">
        <v>0</v>
      </c>
      <c r="H50" s="425">
        <v>0.66700000000000004</v>
      </c>
      <c r="I50" s="422">
        <v>3.1280000000000001</v>
      </c>
      <c r="J50" s="423">
        <v>3.1280000000000001</v>
      </c>
      <c r="K50" s="426" t="s">
        <v>283</v>
      </c>
    </row>
    <row r="51" spans="1:11" ht="14.4" customHeight="1" thickBot="1" x14ac:dyDescent="0.35">
      <c r="A51" s="438" t="s">
        <v>328</v>
      </c>
      <c r="B51" s="422">
        <v>0</v>
      </c>
      <c r="C51" s="422">
        <v>3.911</v>
      </c>
      <c r="D51" s="423">
        <v>3.911</v>
      </c>
      <c r="E51" s="424" t="s">
        <v>283</v>
      </c>
      <c r="F51" s="422">
        <v>0</v>
      </c>
      <c r="G51" s="423">
        <v>0</v>
      </c>
      <c r="H51" s="425">
        <v>0.66700000000000004</v>
      </c>
      <c r="I51" s="422">
        <v>3.1280000000000001</v>
      </c>
      <c r="J51" s="423">
        <v>3.1280000000000001</v>
      </c>
      <c r="K51" s="426" t="s">
        <v>283</v>
      </c>
    </row>
    <row r="52" spans="1:11" ht="14.4" customHeight="1" thickBot="1" x14ac:dyDescent="0.35">
      <c r="A52" s="439" t="s">
        <v>329</v>
      </c>
      <c r="B52" s="417">
        <v>0</v>
      </c>
      <c r="C52" s="417">
        <v>3.911</v>
      </c>
      <c r="D52" s="418">
        <v>3.911</v>
      </c>
      <c r="E52" s="427" t="s">
        <v>283</v>
      </c>
      <c r="F52" s="417">
        <v>0</v>
      </c>
      <c r="G52" s="418">
        <v>0</v>
      </c>
      <c r="H52" s="420">
        <v>0.66700000000000004</v>
      </c>
      <c r="I52" s="417">
        <v>3.1280000000000001</v>
      </c>
      <c r="J52" s="418">
        <v>3.1280000000000001</v>
      </c>
      <c r="K52" s="428" t="s">
        <v>283</v>
      </c>
    </row>
    <row r="53" spans="1:11" ht="14.4" customHeight="1" thickBot="1" x14ac:dyDescent="0.35">
      <c r="A53" s="437" t="s">
        <v>47</v>
      </c>
      <c r="B53" s="417">
        <v>217.001093616248</v>
      </c>
      <c r="C53" s="417">
        <v>217.31701000000001</v>
      </c>
      <c r="D53" s="418">
        <v>0.31591638375199999</v>
      </c>
      <c r="E53" s="419">
        <v>1.0014558285320001</v>
      </c>
      <c r="F53" s="417">
        <v>212.941452026062</v>
      </c>
      <c r="G53" s="418">
        <v>70.980484008687</v>
      </c>
      <c r="H53" s="420">
        <v>18.808340000000001</v>
      </c>
      <c r="I53" s="417">
        <v>85.024249999999995</v>
      </c>
      <c r="J53" s="418">
        <v>14.043765991312</v>
      </c>
      <c r="K53" s="421">
        <v>0.399284635241</v>
      </c>
    </row>
    <row r="54" spans="1:11" ht="14.4" customHeight="1" thickBot="1" x14ac:dyDescent="0.35">
      <c r="A54" s="438" t="s">
        <v>330</v>
      </c>
      <c r="B54" s="422">
        <v>4.1168974895000002E-2</v>
      </c>
      <c r="C54" s="422">
        <v>0.21</v>
      </c>
      <c r="D54" s="423">
        <v>0.168831025104</v>
      </c>
      <c r="E54" s="429">
        <v>5.1009285640769999</v>
      </c>
      <c r="F54" s="422">
        <v>0.106905161646</v>
      </c>
      <c r="G54" s="423">
        <v>3.5635053882000001E-2</v>
      </c>
      <c r="H54" s="425">
        <v>0</v>
      </c>
      <c r="I54" s="422">
        <v>0</v>
      </c>
      <c r="J54" s="423">
        <v>-3.5635053882000001E-2</v>
      </c>
      <c r="K54" s="430">
        <v>0</v>
      </c>
    </row>
    <row r="55" spans="1:11" ht="14.4" customHeight="1" thickBot="1" x14ac:dyDescent="0.35">
      <c r="A55" s="439" t="s">
        <v>331</v>
      </c>
      <c r="B55" s="417">
        <v>4.1168974895000002E-2</v>
      </c>
      <c r="C55" s="417">
        <v>0.21</v>
      </c>
      <c r="D55" s="418">
        <v>0.168831025104</v>
      </c>
      <c r="E55" s="419">
        <v>5.1009285640769999</v>
      </c>
      <c r="F55" s="417">
        <v>0.106905161646</v>
      </c>
      <c r="G55" s="418">
        <v>3.5635053882000001E-2</v>
      </c>
      <c r="H55" s="420">
        <v>0</v>
      </c>
      <c r="I55" s="417">
        <v>0</v>
      </c>
      <c r="J55" s="418">
        <v>-3.5635053882000001E-2</v>
      </c>
      <c r="K55" s="421">
        <v>0</v>
      </c>
    </row>
    <row r="56" spans="1:11" ht="14.4" customHeight="1" thickBot="1" x14ac:dyDescent="0.35">
      <c r="A56" s="438" t="s">
        <v>332</v>
      </c>
      <c r="B56" s="422">
        <v>69.733645747104006</v>
      </c>
      <c r="C56" s="422">
        <v>68.723740000000006</v>
      </c>
      <c r="D56" s="423">
        <v>-1.0099057471040001</v>
      </c>
      <c r="E56" s="429">
        <v>0.98551766889100001</v>
      </c>
      <c r="F56" s="422">
        <v>67.213177318033999</v>
      </c>
      <c r="G56" s="423">
        <v>22.404392439344001</v>
      </c>
      <c r="H56" s="425">
        <v>7.20831</v>
      </c>
      <c r="I56" s="422">
        <v>25.15119</v>
      </c>
      <c r="J56" s="423">
        <v>2.7467975606550001</v>
      </c>
      <c r="K56" s="430">
        <v>0.37420028339</v>
      </c>
    </row>
    <row r="57" spans="1:11" ht="14.4" customHeight="1" thickBot="1" x14ac:dyDescent="0.35">
      <c r="A57" s="439" t="s">
        <v>333</v>
      </c>
      <c r="B57" s="417">
        <v>62.421596630528001</v>
      </c>
      <c r="C57" s="417">
        <v>60.735100000000003</v>
      </c>
      <c r="D57" s="418">
        <v>-1.686496630528</v>
      </c>
      <c r="E57" s="419">
        <v>0.97298216127799997</v>
      </c>
      <c r="F57" s="417">
        <v>58.804281319527</v>
      </c>
      <c r="G57" s="418">
        <v>19.601427106509</v>
      </c>
      <c r="H57" s="420">
        <v>5.6553000000000004</v>
      </c>
      <c r="I57" s="417">
        <v>20.811599999999999</v>
      </c>
      <c r="J57" s="418">
        <v>1.21017289349</v>
      </c>
      <c r="K57" s="421">
        <v>0.35391300655300001</v>
      </c>
    </row>
    <row r="58" spans="1:11" ht="14.4" customHeight="1" thickBot="1" x14ac:dyDescent="0.35">
      <c r="A58" s="439" t="s">
        <v>334</v>
      </c>
      <c r="B58" s="417">
        <v>7.3120491165750003</v>
      </c>
      <c r="C58" s="417">
        <v>7.9886400000000002</v>
      </c>
      <c r="D58" s="418">
        <v>0.67659088342399998</v>
      </c>
      <c r="E58" s="419">
        <v>1.092530954406</v>
      </c>
      <c r="F58" s="417">
        <v>8.4088959985060008</v>
      </c>
      <c r="G58" s="418">
        <v>2.8029653328349999</v>
      </c>
      <c r="H58" s="420">
        <v>1.55301</v>
      </c>
      <c r="I58" s="417">
        <v>4.3395900000000003</v>
      </c>
      <c r="J58" s="418">
        <v>1.536624667164</v>
      </c>
      <c r="K58" s="421">
        <v>0.51607131313900001</v>
      </c>
    </row>
    <row r="59" spans="1:11" ht="14.4" customHeight="1" thickBot="1" x14ac:dyDescent="0.35">
      <c r="A59" s="438" t="s">
        <v>335</v>
      </c>
      <c r="B59" s="422">
        <v>4.9129653563779998</v>
      </c>
      <c r="C59" s="422">
        <v>5.2661300000000004</v>
      </c>
      <c r="D59" s="423">
        <v>0.35316464362099997</v>
      </c>
      <c r="E59" s="429">
        <v>1.0718842120800001</v>
      </c>
      <c r="F59" s="422">
        <v>5.6780128977870001</v>
      </c>
      <c r="G59" s="423">
        <v>1.892670965929</v>
      </c>
      <c r="H59" s="425">
        <v>0.40500000000000003</v>
      </c>
      <c r="I59" s="422">
        <v>3.7946499999999999</v>
      </c>
      <c r="J59" s="423">
        <v>1.90197903407</v>
      </c>
      <c r="K59" s="430">
        <v>0.66830598456000001</v>
      </c>
    </row>
    <row r="60" spans="1:11" ht="14.4" customHeight="1" thickBot="1" x14ac:dyDescent="0.35">
      <c r="A60" s="439" t="s">
        <v>336</v>
      </c>
      <c r="B60" s="417">
        <v>1.6780130766300001</v>
      </c>
      <c r="C60" s="417">
        <v>1.62</v>
      </c>
      <c r="D60" s="418">
        <v>-5.801307663E-2</v>
      </c>
      <c r="E60" s="419">
        <v>0.96542751815299999</v>
      </c>
      <c r="F60" s="417">
        <v>1.6780130237769999</v>
      </c>
      <c r="G60" s="418">
        <v>0.55933767459200001</v>
      </c>
      <c r="H60" s="420">
        <v>0.40500000000000003</v>
      </c>
      <c r="I60" s="417">
        <v>0.81</v>
      </c>
      <c r="J60" s="418">
        <v>0.25066232540700001</v>
      </c>
      <c r="K60" s="421">
        <v>0.48271377428000001</v>
      </c>
    </row>
    <row r="61" spans="1:11" ht="14.4" customHeight="1" thickBot="1" x14ac:dyDescent="0.35">
      <c r="A61" s="439" t="s">
        <v>337</v>
      </c>
      <c r="B61" s="417">
        <v>3.2349522797470001</v>
      </c>
      <c r="C61" s="417">
        <v>3.6461299999999999</v>
      </c>
      <c r="D61" s="418">
        <v>0.411177720252</v>
      </c>
      <c r="E61" s="419">
        <v>1.1271047251070001</v>
      </c>
      <c r="F61" s="417">
        <v>3.9999998740090001</v>
      </c>
      <c r="G61" s="418">
        <v>1.3333332913360001</v>
      </c>
      <c r="H61" s="420">
        <v>0</v>
      </c>
      <c r="I61" s="417">
        <v>2.9846499999999998</v>
      </c>
      <c r="J61" s="418">
        <v>1.6513167086630001</v>
      </c>
      <c r="K61" s="421">
        <v>0.74616252350199996</v>
      </c>
    </row>
    <row r="62" spans="1:11" ht="14.4" customHeight="1" thickBot="1" x14ac:dyDescent="0.35">
      <c r="A62" s="438" t="s">
        <v>338</v>
      </c>
      <c r="B62" s="422">
        <v>118.238523080756</v>
      </c>
      <c r="C62" s="422">
        <v>120.97717</v>
      </c>
      <c r="D62" s="423">
        <v>2.7386469192440002</v>
      </c>
      <c r="E62" s="429">
        <v>1.023162052839</v>
      </c>
      <c r="F62" s="422">
        <v>128.73763545437299</v>
      </c>
      <c r="G62" s="423">
        <v>42.912545151457003</v>
      </c>
      <c r="H62" s="425">
        <v>9.9423100000000009</v>
      </c>
      <c r="I62" s="422">
        <v>39.51623</v>
      </c>
      <c r="J62" s="423">
        <v>-3.3963151514569998</v>
      </c>
      <c r="K62" s="430">
        <v>0.30695165295299998</v>
      </c>
    </row>
    <row r="63" spans="1:11" ht="14.4" customHeight="1" thickBot="1" x14ac:dyDescent="0.35">
      <c r="A63" s="439" t="s">
        <v>339</v>
      </c>
      <c r="B63" s="417">
        <v>102.58485358582899</v>
      </c>
      <c r="C63" s="417">
        <v>102.70786</v>
      </c>
      <c r="D63" s="418">
        <v>0.123006414171</v>
      </c>
      <c r="E63" s="419">
        <v>1.0011990699390001</v>
      </c>
      <c r="F63" s="417">
        <v>110.034476577294</v>
      </c>
      <c r="G63" s="418">
        <v>36.678158859097998</v>
      </c>
      <c r="H63" s="420">
        <v>8.5317900000000009</v>
      </c>
      <c r="I63" s="417">
        <v>34.127130000000001</v>
      </c>
      <c r="J63" s="418">
        <v>-2.5510288590979999</v>
      </c>
      <c r="K63" s="421">
        <v>0.310149428266</v>
      </c>
    </row>
    <row r="64" spans="1:11" ht="14.4" customHeight="1" thickBot="1" x14ac:dyDescent="0.35">
      <c r="A64" s="439" t="s">
        <v>340</v>
      </c>
      <c r="B64" s="417">
        <v>15.653669494927</v>
      </c>
      <c r="C64" s="417">
        <v>18.269310000000001</v>
      </c>
      <c r="D64" s="418">
        <v>2.6156405050720002</v>
      </c>
      <c r="E64" s="419">
        <v>1.167094399554</v>
      </c>
      <c r="F64" s="417">
        <v>18.703158877078</v>
      </c>
      <c r="G64" s="418">
        <v>6.2343862923589999</v>
      </c>
      <c r="H64" s="420">
        <v>1.41052</v>
      </c>
      <c r="I64" s="417">
        <v>5.3891</v>
      </c>
      <c r="J64" s="418">
        <v>-0.84528629235899999</v>
      </c>
      <c r="K64" s="421">
        <v>0.28813849229499999</v>
      </c>
    </row>
    <row r="65" spans="1:11" ht="14.4" customHeight="1" thickBot="1" x14ac:dyDescent="0.35">
      <c r="A65" s="438" t="s">
        <v>341</v>
      </c>
      <c r="B65" s="422">
        <v>24.074790457113</v>
      </c>
      <c r="C65" s="422">
        <v>21.333770000000001</v>
      </c>
      <c r="D65" s="423">
        <v>-2.7410204571130001</v>
      </c>
      <c r="E65" s="429">
        <v>0.88614561518199997</v>
      </c>
      <c r="F65" s="422">
        <v>11.205721194221001</v>
      </c>
      <c r="G65" s="423">
        <v>3.735240398073</v>
      </c>
      <c r="H65" s="425">
        <v>0.91</v>
      </c>
      <c r="I65" s="422">
        <v>16.219460000000002</v>
      </c>
      <c r="J65" s="423">
        <v>12.484219601926</v>
      </c>
      <c r="K65" s="430">
        <v>1.4474266956020001</v>
      </c>
    </row>
    <row r="66" spans="1:11" ht="14.4" customHeight="1" thickBot="1" x14ac:dyDescent="0.35">
      <c r="A66" s="439" t="s">
        <v>342</v>
      </c>
      <c r="B66" s="417">
        <v>15.759445382161999</v>
      </c>
      <c r="C66" s="417">
        <v>15.448309999999999</v>
      </c>
      <c r="D66" s="418">
        <v>-0.31113538216199998</v>
      </c>
      <c r="E66" s="419">
        <v>0.98025721244499997</v>
      </c>
      <c r="F66" s="417">
        <v>4.3088658392359998</v>
      </c>
      <c r="G66" s="418">
        <v>1.4362886130779999</v>
      </c>
      <c r="H66" s="420">
        <v>0</v>
      </c>
      <c r="I66" s="417">
        <v>11.5024</v>
      </c>
      <c r="J66" s="418">
        <v>10.066111386920999</v>
      </c>
      <c r="K66" s="421">
        <v>2.669472763635</v>
      </c>
    </row>
    <row r="67" spans="1:11" ht="14.4" customHeight="1" thickBot="1" x14ac:dyDescent="0.35">
      <c r="A67" s="439" t="s">
        <v>343</v>
      </c>
      <c r="B67" s="417">
        <v>1.0003644167400001</v>
      </c>
      <c r="C67" s="417">
        <v>0.92600000000000005</v>
      </c>
      <c r="D67" s="418">
        <v>-7.4364416739999994E-2</v>
      </c>
      <c r="E67" s="419">
        <v>0.92566267302500005</v>
      </c>
      <c r="F67" s="417">
        <v>1.129546625353</v>
      </c>
      <c r="G67" s="418">
        <v>0.37651554178399999</v>
      </c>
      <c r="H67" s="420">
        <v>0.91</v>
      </c>
      <c r="I67" s="417">
        <v>0.91</v>
      </c>
      <c r="J67" s="418">
        <v>0.53348445821500001</v>
      </c>
      <c r="K67" s="421">
        <v>0.80563296775299997</v>
      </c>
    </row>
    <row r="68" spans="1:11" ht="14.4" customHeight="1" thickBot="1" x14ac:dyDescent="0.35">
      <c r="A68" s="439" t="s">
        <v>344</v>
      </c>
      <c r="B68" s="417">
        <v>1.684148307494</v>
      </c>
      <c r="C68" s="417">
        <v>1.3546</v>
      </c>
      <c r="D68" s="418">
        <v>-0.32954830749399999</v>
      </c>
      <c r="E68" s="419">
        <v>0.80432346365899998</v>
      </c>
      <c r="F68" s="417">
        <v>1.6519580822390001</v>
      </c>
      <c r="G68" s="418">
        <v>0.55065269407899997</v>
      </c>
      <c r="H68" s="420">
        <v>0</v>
      </c>
      <c r="I68" s="417">
        <v>1.5491999999999999</v>
      </c>
      <c r="J68" s="418">
        <v>0.99854730591999996</v>
      </c>
      <c r="K68" s="421">
        <v>0.93779619268500003</v>
      </c>
    </row>
    <row r="69" spans="1:11" ht="14.4" customHeight="1" thickBot="1" x14ac:dyDescent="0.35">
      <c r="A69" s="439" t="s">
        <v>345</v>
      </c>
      <c r="B69" s="417">
        <v>5.6308323507160001</v>
      </c>
      <c r="C69" s="417">
        <v>3.60486</v>
      </c>
      <c r="D69" s="418">
        <v>-2.0259723507160001</v>
      </c>
      <c r="E69" s="419">
        <v>0.64020020051500004</v>
      </c>
      <c r="F69" s="417">
        <v>4.1153506473909998</v>
      </c>
      <c r="G69" s="418">
        <v>1.3717835491299999</v>
      </c>
      <c r="H69" s="420">
        <v>0</v>
      </c>
      <c r="I69" s="417">
        <v>2.25786</v>
      </c>
      <c r="J69" s="418">
        <v>0.886076450869</v>
      </c>
      <c r="K69" s="421">
        <v>0.54864340695500002</v>
      </c>
    </row>
    <row r="70" spans="1:11" ht="14.4" customHeight="1" thickBot="1" x14ac:dyDescent="0.35">
      <c r="A70" s="438" t="s">
        <v>346</v>
      </c>
      <c r="B70" s="422">
        <v>0</v>
      </c>
      <c r="C70" s="422">
        <v>0.80620000000000003</v>
      </c>
      <c r="D70" s="423">
        <v>0.80620000000000003</v>
      </c>
      <c r="E70" s="424" t="s">
        <v>283</v>
      </c>
      <c r="F70" s="422">
        <v>0</v>
      </c>
      <c r="G70" s="423">
        <v>0</v>
      </c>
      <c r="H70" s="425">
        <v>0.34272000000000002</v>
      </c>
      <c r="I70" s="422">
        <v>0.34272000000000002</v>
      </c>
      <c r="J70" s="423">
        <v>0.34272000000000002</v>
      </c>
      <c r="K70" s="426" t="s">
        <v>283</v>
      </c>
    </row>
    <row r="71" spans="1:11" ht="14.4" customHeight="1" thickBot="1" x14ac:dyDescent="0.35">
      <c r="A71" s="439" t="s">
        <v>347</v>
      </c>
      <c r="B71" s="417">
        <v>0</v>
      </c>
      <c r="C71" s="417">
        <v>0.80620000000000003</v>
      </c>
      <c r="D71" s="418">
        <v>0.80620000000000003</v>
      </c>
      <c r="E71" s="427" t="s">
        <v>283</v>
      </c>
      <c r="F71" s="417">
        <v>0</v>
      </c>
      <c r="G71" s="418">
        <v>0</v>
      </c>
      <c r="H71" s="420">
        <v>0.34272000000000002</v>
      </c>
      <c r="I71" s="417">
        <v>0.34272000000000002</v>
      </c>
      <c r="J71" s="418">
        <v>0.34272000000000002</v>
      </c>
      <c r="K71" s="428" t="s">
        <v>283</v>
      </c>
    </row>
    <row r="72" spans="1:11" ht="14.4" customHeight="1" thickBot="1" x14ac:dyDescent="0.35">
      <c r="A72" s="436" t="s">
        <v>48</v>
      </c>
      <c r="B72" s="417">
        <v>6771.0335440683002</v>
      </c>
      <c r="C72" s="417">
        <v>7193.46036</v>
      </c>
      <c r="D72" s="418">
        <v>422.42681593169999</v>
      </c>
      <c r="E72" s="419">
        <v>1.062387346508</v>
      </c>
      <c r="F72" s="417">
        <v>7036.99977835155</v>
      </c>
      <c r="G72" s="418">
        <v>2345.6665927838499</v>
      </c>
      <c r="H72" s="420">
        <v>689.56966999999997</v>
      </c>
      <c r="I72" s="417">
        <v>2437.57656</v>
      </c>
      <c r="J72" s="418">
        <v>91.909967216149994</v>
      </c>
      <c r="K72" s="421">
        <v>0.34639429256400001</v>
      </c>
    </row>
    <row r="73" spans="1:11" ht="14.4" customHeight="1" thickBot="1" x14ac:dyDescent="0.35">
      <c r="A73" s="442" t="s">
        <v>348</v>
      </c>
      <c r="B73" s="422">
        <v>5017.99999999991</v>
      </c>
      <c r="C73" s="422">
        <v>5332.32</v>
      </c>
      <c r="D73" s="423">
        <v>314.32000000009202</v>
      </c>
      <c r="E73" s="429">
        <v>1.0626385013949999</v>
      </c>
      <c r="F73" s="422">
        <v>5216.9998356771403</v>
      </c>
      <c r="G73" s="423">
        <v>1738.99994522571</v>
      </c>
      <c r="H73" s="425">
        <v>510.79199999999997</v>
      </c>
      <c r="I73" s="422">
        <v>1807.325</v>
      </c>
      <c r="J73" s="423">
        <v>68.325054774286002</v>
      </c>
      <c r="K73" s="430">
        <v>0.34642995149</v>
      </c>
    </row>
    <row r="74" spans="1:11" ht="14.4" customHeight="1" thickBot="1" x14ac:dyDescent="0.35">
      <c r="A74" s="438" t="s">
        <v>349</v>
      </c>
      <c r="B74" s="422">
        <v>5001.99999999991</v>
      </c>
      <c r="C74" s="422">
        <v>5317.0389999999998</v>
      </c>
      <c r="D74" s="423">
        <v>315.03900000009298</v>
      </c>
      <c r="E74" s="429">
        <v>1.0629826069570001</v>
      </c>
      <c r="F74" s="422">
        <v>5199.9998362125998</v>
      </c>
      <c r="G74" s="423">
        <v>1733.33327873753</v>
      </c>
      <c r="H74" s="425">
        <v>510.79199999999997</v>
      </c>
      <c r="I74" s="422">
        <v>1800.518</v>
      </c>
      <c r="J74" s="423">
        <v>67.184721262465999</v>
      </c>
      <c r="K74" s="430">
        <v>0.34625347244400001</v>
      </c>
    </row>
    <row r="75" spans="1:11" ht="14.4" customHeight="1" thickBot="1" x14ac:dyDescent="0.35">
      <c r="A75" s="439" t="s">
        <v>350</v>
      </c>
      <c r="B75" s="417">
        <v>5001.99999999991</v>
      </c>
      <c r="C75" s="417">
        <v>5317.0389999999998</v>
      </c>
      <c r="D75" s="418">
        <v>315.03900000009298</v>
      </c>
      <c r="E75" s="419">
        <v>1.0629826069570001</v>
      </c>
      <c r="F75" s="417">
        <v>5199.9998362125998</v>
      </c>
      <c r="G75" s="418">
        <v>1733.33327873753</v>
      </c>
      <c r="H75" s="420">
        <v>510.79199999999997</v>
      </c>
      <c r="I75" s="417">
        <v>1800.518</v>
      </c>
      <c r="J75" s="418">
        <v>67.184721262465999</v>
      </c>
      <c r="K75" s="421">
        <v>0.34625347244400001</v>
      </c>
    </row>
    <row r="76" spans="1:11" ht="14.4" customHeight="1" thickBot="1" x14ac:dyDescent="0.35">
      <c r="A76" s="438" t="s">
        <v>351</v>
      </c>
      <c r="B76" s="422">
        <v>15.999999999999</v>
      </c>
      <c r="C76" s="422">
        <v>15.281000000000001</v>
      </c>
      <c r="D76" s="423">
        <v>-0.71899999999899999</v>
      </c>
      <c r="E76" s="429">
        <v>0.95506250000000004</v>
      </c>
      <c r="F76" s="422">
        <v>16.999999464540998</v>
      </c>
      <c r="G76" s="423">
        <v>5.6666664881799997</v>
      </c>
      <c r="H76" s="425">
        <v>0</v>
      </c>
      <c r="I76" s="422">
        <v>6.8070000000000004</v>
      </c>
      <c r="J76" s="423">
        <v>1.1403335118189999</v>
      </c>
      <c r="K76" s="430">
        <v>0.40041177731700001</v>
      </c>
    </row>
    <row r="77" spans="1:11" ht="14.4" customHeight="1" thickBot="1" x14ac:dyDescent="0.35">
      <c r="A77" s="439" t="s">
        <v>352</v>
      </c>
      <c r="B77" s="417">
        <v>15.999999999999</v>
      </c>
      <c r="C77" s="417">
        <v>15.281000000000001</v>
      </c>
      <c r="D77" s="418">
        <v>-0.71899999999899999</v>
      </c>
      <c r="E77" s="419">
        <v>0.95506250000000004</v>
      </c>
      <c r="F77" s="417">
        <v>16.999999464540998</v>
      </c>
      <c r="G77" s="418">
        <v>5.6666664881799997</v>
      </c>
      <c r="H77" s="420">
        <v>0</v>
      </c>
      <c r="I77" s="417">
        <v>6.8070000000000004</v>
      </c>
      <c r="J77" s="418">
        <v>1.1403335118189999</v>
      </c>
      <c r="K77" s="421">
        <v>0.40041177731700001</v>
      </c>
    </row>
    <row r="78" spans="1:11" ht="14.4" customHeight="1" thickBot="1" x14ac:dyDescent="0.35">
      <c r="A78" s="437" t="s">
        <v>353</v>
      </c>
      <c r="B78" s="417">
        <v>1702.03354406839</v>
      </c>
      <c r="C78" s="417">
        <v>1807.7899500000001</v>
      </c>
      <c r="D78" s="418">
        <v>105.756405931606</v>
      </c>
      <c r="E78" s="419">
        <v>1.0621353241239999</v>
      </c>
      <c r="F78" s="417">
        <v>1767.9999443122799</v>
      </c>
      <c r="G78" s="418">
        <v>589.33331477076104</v>
      </c>
      <c r="H78" s="420">
        <v>173.66900000000001</v>
      </c>
      <c r="I78" s="417">
        <v>612.17818</v>
      </c>
      <c r="J78" s="418">
        <v>22.844865229239002</v>
      </c>
      <c r="K78" s="421">
        <v>0.34625463760300002</v>
      </c>
    </row>
    <row r="79" spans="1:11" ht="14.4" customHeight="1" thickBot="1" x14ac:dyDescent="0.35">
      <c r="A79" s="438" t="s">
        <v>354</v>
      </c>
      <c r="B79" s="422">
        <v>451.03354406841999</v>
      </c>
      <c r="C79" s="422">
        <v>478.53019</v>
      </c>
      <c r="D79" s="423">
        <v>27.496645931580002</v>
      </c>
      <c r="E79" s="429">
        <v>1.060963638499</v>
      </c>
      <c r="F79" s="422">
        <v>467.99998525913401</v>
      </c>
      <c r="G79" s="423">
        <v>155.99999508637799</v>
      </c>
      <c r="H79" s="425">
        <v>45.970999999999997</v>
      </c>
      <c r="I79" s="422">
        <v>162.04867999999999</v>
      </c>
      <c r="J79" s="423">
        <v>6.048684913622</v>
      </c>
      <c r="K79" s="430">
        <v>0.346257874154</v>
      </c>
    </row>
    <row r="80" spans="1:11" ht="14.4" customHeight="1" thickBot="1" x14ac:dyDescent="0.35">
      <c r="A80" s="439" t="s">
        <v>355</v>
      </c>
      <c r="B80" s="417">
        <v>451.03354406841999</v>
      </c>
      <c r="C80" s="417">
        <v>478.53019</v>
      </c>
      <c r="D80" s="418">
        <v>27.496645931580002</v>
      </c>
      <c r="E80" s="419">
        <v>1.060963638499</v>
      </c>
      <c r="F80" s="417">
        <v>467.99998525913401</v>
      </c>
      <c r="G80" s="418">
        <v>155.99999508637799</v>
      </c>
      <c r="H80" s="420">
        <v>45.970999999999997</v>
      </c>
      <c r="I80" s="417">
        <v>162.04867999999999</v>
      </c>
      <c r="J80" s="418">
        <v>6.048684913622</v>
      </c>
      <c r="K80" s="421">
        <v>0.346257874154</v>
      </c>
    </row>
    <row r="81" spans="1:11" ht="14.4" customHeight="1" thickBot="1" x14ac:dyDescent="0.35">
      <c r="A81" s="438" t="s">
        <v>356</v>
      </c>
      <c r="B81" s="422">
        <v>1250.99999999997</v>
      </c>
      <c r="C81" s="422">
        <v>1329.2597599999999</v>
      </c>
      <c r="D81" s="423">
        <v>78.259760000024997</v>
      </c>
      <c r="E81" s="429">
        <v>1.0625577617899999</v>
      </c>
      <c r="F81" s="422">
        <v>1299.99995905315</v>
      </c>
      <c r="G81" s="423">
        <v>433.33331968438301</v>
      </c>
      <c r="H81" s="425">
        <v>127.69799999999999</v>
      </c>
      <c r="I81" s="422">
        <v>450.12950000000001</v>
      </c>
      <c r="J81" s="423">
        <v>16.796180315615999</v>
      </c>
      <c r="K81" s="430">
        <v>0.34625347244400001</v>
      </c>
    </row>
    <row r="82" spans="1:11" ht="14.4" customHeight="1" thickBot="1" x14ac:dyDescent="0.35">
      <c r="A82" s="439" t="s">
        <v>357</v>
      </c>
      <c r="B82" s="417">
        <v>1250.99999999997</v>
      </c>
      <c r="C82" s="417">
        <v>1329.2597599999999</v>
      </c>
      <c r="D82" s="418">
        <v>78.259760000024997</v>
      </c>
      <c r="E82" s="419">
        <v>1.0625577617899999</v>
      </c>
      <c r="F82" s="417">
        <v>1299.99995905315</v>
      </c>
      <c r="G82" s="418">
        <v>433.33331968438301</v>
      </c>
      <c r="H82" s="420">
        <v>127.69799999999999</v>
      </c>
      <c r="I82" s="417">
        <v>450.12950000000001</v>
      </c>
      <c r="J82" s="418">
        <v>16.796180315615999</v>
      </c>
      <c r="K82" s="421">
        <v>0.34625347244400001</v>
      </c>
    </row>
    <row r="83" spans="1:11" ht="14.4" customHeight="1" thickBot="1" x14ac:dyDescent="0.35">
      <c r="A83" s="437" t="s">
        <v>358</v>
      </c>
      <c r="B83" s="417">
        <v>50.999999999998998</v>
      </c>
      <c r="C83" s="417">
        <v>53.350409999999997</v>
      </c>
      <c r="D83" s="418">
        <v>2.3504100000010002</v>
      </c>
      <c r="E83" s="419">
        <v>1.046086470588</v>
      </c>
      <c r="F83" s="417">
        <v>51.999998362126</v>
      </c>
      <c r="G83" s="418">
        <v>17.333332787374999</v>
      </c>
      <c r="H83" s="420">
        <v>5.10867</v>
      </c>
      <c r="I83" s="417">
        <v>18.07338</v>
      </c>
      <c r="J83" s="418">
        <v>0.74004721262399997</v>
      </c>
      <c r="K83" s="421">
        <v>0.34756501094699999</v>
      </c>
    </row>
    <row r="84" spans="1:11" ht="14.4" customHeight="1" thickBot="1" x14ac:dyDescent="0.35">
      <c r="A84" s="438" t="s">
        <v>359</v>
      </c>
      <c r="B84" s="422">
        <v>50.999999999998998</v>
      </c>
      <c r="C84" s="422">
        <v>53.350409999999997</v>
      </c>
      <c r="D84" s="423">
        <v>2.3504100000010002</v>
      </c>
      <c r="E84" s="429">
        <v>1.046086470588</v>
      </c>
      <c r="F84" s="422">
        <v>51.999998362126</v>
      </c>
      <c r="G84" s="423">
        <v>17.333332787374999</v>
      </c>
      <c r="H84" s="425">
        <v>5.10867</v>
      </c>
      <c r="I84" s="422">
        <v>18.07338</v>
      </c>
      <c r="J84" s="423">
        <v>0.74004721262399997</v>
      </c>
      <c r="K84" s="430">
        <v>0.34756501094699999</v>
      </c>
    </row>
    <row r="85" spans="1:11" ht="14.4" customHeight="1" thickBot="1" x14ac:dyDescent="0.35">
      <c r="A85" s="439" t="s">
        <v>360</v>
      </c>
      <c r="B85" s="417">
        <v>50.999999999998998</v>
      </c>
      <c r="C85" s="417">
        <v>53.350409999999997</v>
      </c>
      <c r="D85" s="418">
        <v>2.3504100000010002</v>
      </c>
      <c r="E85" s="419">
        <v>1.046086470588</v>
      </c>
      <c r="F85" s="417">
        <v>51.999998362126</v>
      </c>
      <c r="G85" s="418">
        <v>17.333332787374999</v>
      </c>
      <c r="H85" s="420">
        <v>5.10867</v>
      </c>
      <c r="I85" s="417">
        <v>18.07338</v>
      </c>
      <c r="J85" s="418">
        <v>0.74004721262399997</v>
      </c>
      <c r="K85" s="421">
        <v>0.34756501094699999</v>
      </c>
    </row>
    <row r="86" spans="1:11" ht="14.4" customHeight="1" thickBot="1" x14ac:dyDescent="0.35">
      <c r="A86" s="436" t="s">
        <v>361</v>
      </c>
      <c r="B86" s="417">
        <v>0</v>
      </c>
      <c r="C86" s="417">
        <v>16.791219999999999</v>
      </c>
      <c r="D86" s="418">
        <v>16.791219999999999</v>
      </c>
      <c r="E86" s="427" t="s">
        <v>283</v>
      </c>
      <c r="F86" s="417">
        <v>0</v>
      </c>
      <c r="G86" s="418">
        <v>0</v>
      </c>
      <c r="H86" s="420">
        <v>0</v>
      </c>
      <c r="I86" s="417">
        <v>0</v>
      </c>
      <c r="J86" s="418">
        <v>0</v>
      </c>
      <c r="K86" s="428" t="s">
        <v>283</v>
      </c>
    </row>
    <row r="87" spans="1:11" ht="14.4" customHeight="1" thickBot="1" x14ac:dyDescent="0.35">
      <c r="A87" s="437" t="s">
        <v>362</v>
      </c>
      <c r="B87" s="417">
        <v>0</v>
      </c>
      <c r="C87" s="417">
        <v>14.782</v>
      </c>
      <c r="D87" s="418">
        <v>14.782</v>
      </c>
      <c r="E87" s="427" t="s">
        <v>283</v>
      </c>
      <c r="F87" s="417">
        <v>0</v>
      </c>
      <c r="G87" s="418">
        <v>0</v>
      </c>
      <c r="H87" s="420">
        <v>0</v>
      </c>
      <c r="I87" s="417">
        <v>0</v>
      </c>
      <c r="J87" s="418">
        <v>0</v>
      </c>
      <c r="K87" s="428" t="s">
        <v>283</v>
      </c>
    </row>
    <row r="88" spans="1:11" ht="14.4" customHeight="1" thickBot="1" x14ac:dyDescent="0.35">
      <c r="A88" s="438" t="s">
        <v>363</v>
      </c>
      <c r="B88" s="422">
        <v>0</v>
      </c>
      <c r="C88" s="422">
        <v>14.782</v>
      </c>
      <c r="D88" s="423">
        <v>14.782</v>
      </c>
      <c r="E88" s="424" t="s">
        <v>283</v>
      </c>
      <c r="F88" s="422">
        <v>0</v>
      </c>
      <c r="G88" s="423">
        <v>0</v>
      </c>
      <c r="H88" s="425">
        <v>0</v>
      </c>
      <c r="I88" s="422">
        <v>0</v>
      </c>
      <c r="J88" s="423">
        <v>0</v>
      </c>
      <c r="K88" s="426" t="s">
        <v>283</v>
      </c>
    </row>
    <row r="89" spans="1:11" ht="14.4" customHeight="1" thickBot="1" x14ac:dyDescent="0.35">
      <c r="A89" s="439" t="s">
        <v>364</v>
      </c>
      <c r="B89" s="417">
        <v>0</v>
      </c>
      <c r="C89" s="417">
        <v>14.782</v>
      </c>
      <c r="D89" s="418">
        <v>14.782</v>
      </c>
      <c r="E89" s="427" t="s">
        <v>283</v>
      </c>
      <c r="F89" s="417">
        <v>0</v>
      </c>
      <c r="G89" s="418">
        <v>0</v>
      </c>
      <c r="H89" s="420">
        <v>0</v>
      </c>
      <c r="I89" s="417">
        <v>0</v>
      </c>
      <c r="J89" s="418">
        <v>0</v>
      </c>
      <c r="K89" s="428" t="s">
        <v>283</v>
      </c>
    </row>
    <row r="90" spans="1:11" ht="14.4" customHeight="1" thickBot="1" x14ac:dyDescent="0.35">
      <c r="A90" s="437" t="s">
        <v>365</v>
      </c>
      <c r="B90" s="417">
        <v>0</v>
      </c>
      <c r="C90" s="417">
        <v>2.00922</v>
      </c>
      <c r="D90" s="418">
        <v>2.00922</v>
      </c>
      <c r="E90" s="427" t="s">
        <v>283</v>
      </c>
      <c r="F90" s="417">
        <v>0</v>
      </c>
      <c r="G90" s="418">
        <v>0</v>
      </c>
      <c r="H90" s="420">
        <v>0</v>
      </c>
      <c r="I90" s="417">
        <v>0</v>
      </c>
      <c r="J90" s="418">
        <v>0</v>
      </c>
      <c r="K90" s="428" t="s">
        <v>283</v>
      </c>
    </row>
    <row r="91" spans="1:11" ht="14.4" customHeight="1" thickBot="1" x14ac:dyDescent="0.35">
      <c r="A91" s="438" t="s">
        <v>366</v>
      </c>
      <c r="B91" s="422">
        <v>0</v>
      </c>
      <c r="C91" s="422">
        <v>2.00922</v>
      </c>
      <c r="D91" s="423">
        <v>2.00922</v>
      </c>
      <c r="E91" s="424" t="s">
        <v>289</v>
      </c>
      <c r="F91" s="422">
        <v>0</v>
      </c>
      <c r="G91" s="423">
        <v>0</v>
      </c>
      <c r="H91" s="425">
        <v>0</v>
      </c>
      <c r="I91" s="422">
        <v>0</v>
      </c>
      <c r="J91" s="423">
        <v>0</v>
      </c>
      <c r="K91" s="426" t="s">
        <v>283</v>
      </c>
    </row>
    <row r="92" spans="1:11" ht="14.4" customHeight="1" thickBot="1" x14ac:dyDescent="0.35">
      <c r="A92" s="439" t="s">
        <v>367</v>
      </c>
      <c r="B92" s="417">
        <v>0</v>
      </c>
      <c r="C92" s="417">
        <v>2.00922</v>
      </c>
      <c r="D92" s="418">
        <v>2.00922</v>
      </c>
      <c r="E92" s="427" t="s">
        <v>289</v>
      </c>
      <c r="F92" s="417">
        <v>0</v>
      </c>
      <c r="G92" s="418">
        <v>0</v>
      </c>
      <c r="H92" s="420">
        <v>0</v>
      </c>
      <c r="I92" s="417">
        <v>0</v>
      </c>
      <c r="J92" s="418">
        <v>0</v>
      </c>
      <c r="K92" s="428" t="s">
        <v>283</v>
      </c>
    </row>
    <row r="93" spans="1:11" ht="14.4" customHeight="1" thickBot="1" x14ac:dyDescent="0.35">
      <c r="A93" s="436" t="s">
        <v>368</v>
      </c>
      <c r="B93" s="417">
        <v>288.99459154803202</v>
      </c>
      <c r="C93" s="417">
        <v>292.69799999999998</v>
      </c>
      <c r="D93" s="418">
        <v>3.7034084519679999</v>
      </c>
      <c r="E93" s="419">
        <v>1.0128148019380001</v>
      </c>
      <c r="F93" s="417">
        <v>288.99970758665302</v>
      </c>
      <c r="G93" s="418">
        <v>96.333235862216995</v>
      </c>
      <c r="H93" s="420">
        <v>24.09</v>
      </c>
      <c r="I93" s="417">
        <v>96.361999999999995</v>
      </c>
      <c r="J93" s="418">
        <v>2.8764137782000002E-2</v>
      </c>
      <c r="K93" s="421">
        <v>0.33343286332200001</v>
      </c>
    </row>
    <row r="94" spans="1:11" ht="14.4" customHeight="1" thickBot="1" x14ac:dyDescent="0.35">
      <c r="A94" s="437" t="s">
        <v>369</v>
      </c>
      <c r="B94" s="417">
        <v>288.99459154803202</v>
      </c>
      <c r="C94" s="417">
        <v>289.09199999999998</v>
      </c>
      <c r="D94" s="418">
        <v>9.7408451968000007E-2</v>
      </c>
      <c r="E94" s="419">
        <v>1.000337059774</v>
      </c>
      <c r="F94" s="417">
        <v>288.99970758665302</v>
      </c>
      <c r="G94" s="418">
        <v>96.333235862216995</v>
      </c>
      <c r="H94" s="420">
        <v>24.09</v>
      </c>
      <c r="I94" s="417">
        <v>96.361999999999995</v>
      </c>
      <c r="J94" s="418">
        <v>2.8764137782000002E-2</v>
      </c>
      <c r="K94" s="421">
        <v>0.33343286332200001</v>
      </c>
    </row>
    <row r="95" spans="1:11" ht="14.4" customHeight="1" thickBot="1" x14ac:dyDescent="0.35">
      <c r="A95" s="438" t="s">
        <v>370</v>
      </c>
      <c r="B95" s="422">
        <v>288.99459154803202</v>
      </c>
      <c r="C95" s="422">
        <v>289.09199999999998</v>
      </c>
      <c r="D95" s="423">
        <v>9.7408451968000007E-2</v>
      </c>
      <c r="E95" s="429">
        <v>1.000337059774</v>
      </c>
      <c r="F95" s="422">
        <v>288.99970758665302</v>
      </c>
      <c r="G95" s="423">
        <v>96.333235862216995</v>
      </c>
      <c r="H95" s="425">
        <v>24.09</v>
      </c>
      <c r="I95" s="422">
        <v>96.361999999999995</v>
      </c>
      <c r="J95" s="423">
        <v>2.8764137782000002E-2</v>
      </c>
      <c r="K95" s="430">
        <v>0.33343286332200001</v>
      </c>
    </row>
    <row r="96" spans="1:11" ht="14.4" customHeight="1" thickBot="1" x14ac:dyDescent="0.35">
      <c r="A96" s="439" t="s">
        <v>371</v>
      </c>
      <c r="B96" s="417">
        <v>128.99487485858299</v>
      </c>
      <c r="C96" s="417">
        <v>129.084</v>
      </c>
      <c r="D96" s="418">
        <v>8.9125141416999995E-2</v>
      </c>
      <c r="E96" s="419">
        <v>1.000690920019</v>
      </c>
      <c r="F96" s="417">
        <v>128.99999593681</v>
      </c>
      <c r="G96" s="418">
        <v>42.999998645603</v>
      </c>
      <c r="H96" s="420">
        <v>10.757</v>
      </c>
      <c r="I96" s="417">
        <v>43.027999999999999</v>
      </c>
      <c r="J96" s="418">
        <v>2.8001354395999999E-2</v>
      </c>
      <c r="K96" s="421">
        <v>0.33355039810199999</v>
      </c>
    </row>
    <row r="97" spans="1:11" ht="14.4" customHeight="1" thickBot="1" x14ac:dyDescent="0.35">
      <c r="A97" s="439" t="s">
        <v>372</v>
      </c>
      <c r="B97" s="417">
        <v>136.99999999999801</v>
      </c>
      <c r="C97" s="417">
        <v>136.81200000000001</v>
      </c>
      <c r="D97" s="418">
        <v>-0.18799999999700001</v>
      </c>
      <c r="E97" s="419">
        <v>0.99862773722599996</v>
      </c>
      <c r="F97" s="417">
        <v>136.99999568482701</v>
      </c>
      <c r="G97" s="418">
        <v>45.666665228275001</v>
      </c>
      <c r="H97" s="420">
        <v>11.4</v>
      </c>
      <c r="I97" s="417">
        <v>45.601999999999997</v>
      </c>
      <c r="J97" s="418">
        <v>-6.4665228275E-2</v>
      </c>
      <c r="K97" s="421">
        <v>0.332861324352</v>
      </c>
    </row>
    <row r="98" spans="1:11" ht="14.4" customHeight="1" thickBot="1" x14ac:dyDescent="0.35">
      <c r="A98" s="439" t="s">
        <v>373</v>
      </c>
      <c r="B98" s="417">
        <v>22.999716689450999</v>
      </c>
      <c r="C98" s="417">
        <v>23.196000000000002</v>
      </c>
      <c r="D98" s="418">
        <v>0.196283310548</v>
      </c>
      <c r="E98" s="419">
        <v>1.0085341621020001</v>
      </c>
      <c r="F98" s="417">
        <v>22.999715965016001</v>
      </c>
      <c r="G98" s="418">
        <v>7.6665719883380001</v>
      </c>
      <c r="H98" s="420">
        <v>1.9330000000000001</v>
      </c>
      <c r="I98" s="417">
        <v>7.7320000000000002</v>
      </c>
      <c r="J98" s="418">
        <v>6.5428011660999999E-2</v>
      </c>
      <c r="K98" s="421">
        <v>0.33617806462299998</v>
      </c>
    </row>
    <row r="99" spans="1:11" ht="14.4" customHeight="1" thickBot="1" x14ac:dyDescent="0.35">
      <c r="A99" s="437" t="s">
        <v>374</v>
      </c>
      <c r="B99" s="417">
        <v>0</v>
      </c>
      <c r="C99" s="417">
        <v>3.6059999999999999</v>
      </c>
      <c r="D99" s="418">
        <v>3.6059999999999999</v>
      </c>
      <c r="E99" s="427" t="s">
        <v>283</v>
      </c>
      <c r="F99" s="417">
        <v>0</v>
      </c>
      <c r="G99" s="418">
        <v>0</v>
      </c>
      <c r="H99" s="420">
        <v>0</v>
      </c>
      <c r="I99" s="417">
        <v>0</v>
      </c>
      <c r="J99" s="418">
        <v>0</v>
      </c>
      <c r="K99" s="428" t="s">
        <v>283</v>
      </c>
    </row>
    <row r="100" spans="1:11" ht="14.4" customHeight="1" thickBot="1" x14ac:dyDescent="0.35">
      <c r="A100" s="438" t="s">
        <v>375</v>
      </c>
      <c r="B100" s="422">
        <v>0</v>
      </c>
      <c r="C100" s="422">
        <v>3.6059999999999999</v>
      </c>
      <c r="D100" s="423">
        <v>3.6059999999999999</v>
      </c>
      <c r="E100" s="424" t="s">
        <v>283</v>
      </c>
      <c r="F100" s="422">
        <v>0</v>
      </c>
      <c r="G100" s="423">
        <v>0</v>
      </c>
      <c r="H100" s="425">
        <v>0</v>
      </c>
      <c r="I100" s="422">
        <v>0</v>
      </c>
      <c r="J100" s="423">
        <v>0</v>
      </c>
      <c r="K100" s="426" t="s">
        <v>283</v>
      </c>
    </row>
    <row r="101" spans="1:11" ht="14.4" customHeight="1" thickBot="1" x14ac:dyDescent="0.35">
      <c r="A101" s="439" t="s">
        <v>376</v>
      </c>
      <c r="B101" s="417">
        <v>0</v>
      </c>
      <c r="C101" s="417">
        <v>3.6059999999999999</v>
      </c>
      <c r="D101" s="418">
        <v>3.6059999999999999</v>
      </c>
      <c r="E101" s="427" t="s">
        <v>283</v>
      </c>
      <c r="F101" s="417">
        <v>0</v>
      </c>
      <c r="G101" s="418">
        <v>0</v>
      </c>
      <c r="H101" s="420">
        <v>0</v>
      </c>
      <c r="I101" s="417">
        <v>0</v>
      </c>
      <c r="J101" s="418">
        <v>0</v>
      </c>
      <c r="K101" s="428" t="s">
        <v>283</v>
      </c>
    </row>
    <row r="102" spans="1:11" ht="14.4" customHeight="1" thickBot="1" x14ac:dyDescent="0.35">
      <c r="A102" s="435" t="s">
        <v>377</v>
      </c>
      <c r="B102" s="417">
        <v>5654.87228960634</v>
      </c>
      <c r="C102" s="417">
        <v>6048.6938700000001</v>
      </c>
      <c r="D102" s="418">
        <v>393.82158039366101</v>
      </c>
      <c r="E102" s="419">
        <v>1.069642877897</v>
      </c>
      <c r="F102" s="417">
        <v>5752.1966021168</v>
      </c>
      <c r="G102" s="418">
        <v>1917.3988673722699</v>
      </c>
      <c r="H102" s="420">
        <v>591.65229999999997</v>
      </c>
      <c r="I102" s="417">
        <v>2248.6379200000001</v>
      </c>
      <c r="J102" s="418">
        <v>331.23905262773297</v>
      </c>
      <c r="K102" s="421">
        <v>0.39091812667999998</v>
      </c>
    </row>
    <row r="103" spans="1:11" ht="14.4" customHeight="1" thickBot="1" x14ac:dyDescent="0.35">
      <c r="A103" s="436" t="s">
        <v>378</v>
      </c>
      <c r="B103" s="417">
        <v>5604.8615312176298</v>
      </c>
      <c r="C103" s="417">
        <v>6021.6411699999999</v>
      </c>
      <c r="D103" s="418">
        <v>416.77963878237102</v>
      </c>
      <c r="E103" s="419">
        <v>1.0743603809760001</v>
      </c>
      <c r="F103" s="417">
        <v>5731.1332493727105</v>
      </c>
      <c r="G103" s="418">
        <v>1910.3777497909</v>
      </c>
      <c r="H103" s="420">
        <v>591.63747999999998</v>
      </c>
      <c r="I103" s="417">
        <v>2228.6786699999998</v>
      </c>
      <c r="J103" s="418">
        <v>318.30092020909802</v>
      </c>
      <c r="K103" s="421">
        <v>0.38887224795199998</v>
      </c>
    </row>
    <row r="104" spans="1:11" ht="14.4" customHeight="1" thickBot="1" x14ac:dyDescent="0.35">
      <c r="A104" s="437" t="s">
        <v>379</v>
      </c>
      <c r="B104" s="417">
        <v>5604.8615312176298</v>
      </c>
      <c r="C104" s="417">
        <v>6021.6411699999999</v>
      </c>
      <c r="D104" s="418">
        <v>416.77963878237102</v>
      </c>
      <c r="E104" s="419">
        <v>1.0743603809760001</v>
      </c>
      <c r="F104" s="417">
        <v>5731.1332493727105</v>
      </c>
      <c r="G104" s="418">
        <v>1910.3777497909</v>
      </c>
      <c r="H104" s="420">
        <v>591.63747999999998</v>
      </c>
      <c r="I104" s="417">
        <v>2228.6786699999998</v>
      </c>
      <c r="J104" s="418">
        <v>318.30092020909802</v>
      </c>
      <c r="K104" s="421">
        <v>0.38887224795199998</v>
      </c>
    </row>
    <row r="105" spans="1:11" ht="14.4" customHeight="1" thickBot="1" x14ac:dyDescent="0.35">
      <c r="A105" s="438" t="s">
        <v>380</v>
      </c>
      <c r="B105" s="422">
        <v>3641.8615312176298</v>
      </c>
      <c r="C105" s="422">
        <v>3941.6800499999999</v>
      </c>
      <c r="D105" s="423">
        <v>299.818518782372</v>
      </c>
      <c r="E105" s="429">
        <v>1.08232562282</v>
      </c>
      <c r="F105" s="422">
        <v>3710.1332493721802</v>
      </c>
      <c r="G105" s="423">
        <v>1236.71108312406</v>
      </c>
      <c r="H105" s="425">
        <v>380.82139000000001</v>
      </c>
      <c r="I105" s="422">
        <v>1381.91841</v>
      </c>
      <c r="J105" s="423">
        <v>145.20732687594</v>
      </c>
      <c r="K105" s="430">
        <v>0.372471368847</v>
      </c>
    </row>
    <row r="106" spans="1:11" ht="14.4" customHeight="1" thickBot="1" x14ac:dyDescent="0.35">
      <c r="A106" s="439" t="s">
        <v>381</v>
      </c>
      <c r="B106" s="417">
        <v>2534.8075453193401</v>
      </c>
      <c r="C106" s="417">
        <v>2941.5703199999998</v>
      </c>
      <c r="D106" s="418">
        <v>406.76277468065598</v>
      </c>
      <c r="E106" s="419">
        <v>1.160470871025</v>
      </c>
      <c r="F106" s="417">
        <v>2781.1640440699298</v>
      </c>
      <c r="G106" s="418">
        <v>927.05468135664398</v>
      </c>
      <c r="H106" s="420">
        <v>296.86049000000003</v>
      </c>
      <c r="I106" s="417">
        <v>1054.25791</v>
      </c>
      <c r="J106" s="418">
        <v>127.203228643356</v>
      </c>
      <c r="K106" s="421">
        <v>0.37907073919200002</v>
      </c>
    </row>
    <row r="107" spans="1:11" ht="14.4" customHeight="1" thickBot="1" x14ac:dyDescent="0.35">
      <c r="A107" s="439" t="s">
        <v>382</v>
      </c>
      <c r="B107" s="417">
        <v>60.619384169268002</v>
      </c>
      <c r="C107" s="417">
        <v>36.945999999999998</v>
      </c>
      <c r="D107" s="418">
        <v>-23.673384169268001</v>
      </c>
      <c r="E107" s="419">
        <v>0.60947501374799995</v>
      </c>
      <c r="F107" s="417">
        <v>27</v>
      </c>
      <c r="G107" s="418">
        <v>9</v>
      </c>
      <c r="H107" s="420">
        <v>2.2871999999999999</v>
      </c>
      <c r="I107" s="417">
        <v>12.232799999999999</v>
      </c>
      <c r="J107" s="418">
        <v>3.2328000000000001</v>
      </c>
      <c r="K107" s="421">
        <v>0.45306666666599998</v>
      </c>
    </row>
    <row r="108" spans="1:11" ht="14.4" customHeight="1" thickBot="1" x14ac:dyDescent="0.35">
      <c r="A108" s="439" t="s">
        <v>383</v>
      </c>
      <c r="B108" s="417">
        <v>131.09853262869299</v>
      </c>
      <c r="C108" s="417">
        <v>66.95</v>
      </c>
      <c r="D108" s="418">
        <v>-64.148532628693005</v>
      </c>
      <c r="E108" s="419">
        <v>0.51068458706200004</v>
      </c>
      <c r="F108" s="417">
        <v>67</v>
      </c>
      <c r="G108" s="418">
        <v>22.333333333333002</v>
      </c>
      <c r="H108" s="420">
        <v>5.0124000000000004</v>
      </c>
      <c r="I108" s="417">
        <v>18.167999999999999</v>
      </c>
      <c r="J108" s="418">
        <v>-4.1653333333329998</v>
      </c>
      <c r="K108" s="421">
        <v>0.27116417910399998</v>
      </c>
    </row>
    <row r="109" spans="1:11" ht="14.4" customHeight="1" thickBot="1" x14ac:dyDescent="0.35">
      <c r="A109" s="439" t="s">
        <v>384</v>
      </c>
      <c r="B109" s="417">
        <v>915.33606910032199</v>
      </c>
      <c r="C109" s="417">
        <v>896.21373000000006</v>
      </c>
      <c r="D109" s="418">
        <v>-19.122339100322002</v>
      </c>
      <c r="E109" s="419">
        <v>0.97910894179100005</v>
      </c>
      <c r="F109" s="417">
        <v>834.96920530224702</v>
      </c>
      <c r="G109" s="418">
        <v>278.32306843408202</v>
      </c>
      <c r="H109" s="420">
        <v>76.661299999999997</v>
      </c>
      <c r="I109" s="417">
        <v>297.25970000000001</v>
      </c>
      <c r="J109" s="418">
        <v>18.936631565917001</v>
      </c>
      <c r="K109" s="421">
        <v>0.35601277042500001</v>
      </c>
    </row>
    <row r="110" spans="1:11" ht="14.4" customHeight="1" thickBot="1" x14ac:dyDescent="0.35">
      <c r="A110" s="438" t="s">
        <v>385</v>
      </c>
      <c r="B110" s="422">
        <v>0</v>
      </c>
      <c r="C110" s="422">
        <v>3.3508399999999998</v>
      </c>
      <c r="D110" s="423">
        <v>3.3508399999999998</v>
      </c>
      <c r="E110" s="424" t="s">
        <v>289</v>
      </c>
      <c r="F110" s="422">
        <v>2</v>
      </c>
      <c r="G110" s="423">
        <v>0.66666666666600005</v>
      </c>
      <c r="H110" s="425">
        <v>0</v>
      </c>
      <c r="I110" s="422">
        <v>0</v>
      </c>
      <c r="J110" s="423">
        <v>-0.66666666666600005</v>
      </c>
      <c r="K110" s="430">
        <v>0</v>
      </c>
    </row>
    <row r="111" spans="1:11" ht="14.4" customHeight="1" thickBot="1" x14ac:dyDescent="0.35">
      <c r="A111" s="439" t="s">
        <v>386</v>
      </c>
      <c r="B111" s="417">
        <v>0</v>
      </c>
      <c r="C111" s="417">
        <v>3.3508399999999998</v>
      </c>
      <c r="D111" s="418">
        <v>3.3508399999999998</v>
      </c>
      <c r="E111" s="427" t="s">
        <v>289</v>
      </c>
      <c r="F111" s="417">
        <v>2</v>
      </c>
      <c r="G111" s="418">
        <v>0.66666666666600005</v>
      </c>
      <c r="H111" s="420">
        <v>0</v>
      </c>
      <c r="I111" s="417">
        <v>0</v>
      </c>
      <c r="J111" s="418">
        <v>-0.66666666666600005</v>
      </c>
      <c r="K111" s="421">
        <v>0</v>
      </c>
    </row>
    <row r="112" spans="1:11" ht="14.4" customHeight="1" thickBot="1" x14ac:dyDescent="0.35">
      <c r="A112" s="438" t="s">
        <v>387</v>
      </c>
      <c r="B112" s="422">
        <v>0</v>
      </c>
      <c r="C112" s="422">
        <v>0.58899999999999997</v>
      </c>
      <c r="D112" s="423">
        <v>0.58899999999999997</v>
      </c>
      <c r="E112" s="424" t="s">
        <v>289</v>
      </c>
      <c r="F112" s="422">
        <v>2</v>
      </c>
      <c r="G112" s="423">
        <v>0.66666666666600005</v>
      </c>
      <c r="H112" s="425">
        <v>0</v>
      </c>
      <c r="I112" s="422">
        <v>0</v>
      </c>
      <c r="J112" s="423">
        <v>-0.66666666666600005</v>
      </c>
      <c r="K112" s="430">
        <v>0</v>
      </c>
    </row>
    <row r="113" spans="1:11" ht="14.4" customHeight="1" thickBot="1" x14ac:dyDescent="0.35">
      <c r="A113" s="439" t="s">
        <v>388</v>
      </c>
      <c r="B113" s="417">
        <v>0</v>
      </c>
      <c r="C113" s="417">
        <v>0.58899999999999997</v>
      </c>
      <c r="D113" s="418">
        <v>0.58899999999999997</v>
      </c>
      <c r="E113" s="427" t="s">
        <v>289</v>
      </c>
      <c r="F113" s="417">
        <v>2</v>
      </c>
      <c r="G113" s="418">
        <v>0.66666666666600005</v>
      </c>
      <c r="H113" s="420">
        <v>0</v>
      </c>
      <c r="I113" s="417">
        <v>0</v>
      </c>
      <c r="J113" s="418">
        <v>-0.66666666666600005</v>
      </c>
      <c r="K113" s="421">
        <v>0</v>
      </c>
    </row>
    <row r="114" spans="1:11" ht="14.4" customHeight="1" thickBot="1" x14ac:dyDescent="0.35">
      <c r="A114" s="438" t="s">
        <v>389</v>
      </c>
      <c r="B114" s="422">
        <v>1963</v>
      </c>
      <c r="C114" s="422">
        <v>1886.7173700000001</v>
      </c>
      <c r="D114" s="423">
        <v>-76.282630000001006</v>
      </c>
      <c r="E114" s="429">
        <v>0.96113977075900003</v>
      </c>
      <c r="F114" s="422">
        <v>2017.00000000053</v>
      </c>
      <c r="G114" s="423">
        <v>672.33333333350902</v>
      </c>
      <c r="H114" s="425">
        <v>199.82158000000001</v>
      </c>
      <c r="I114" s="422">
        <v>837.14345000000003</v>
      </c>
      <c r="J114" s="423">
        <v>164.81011666649101</v>
      </c>
      <c r="K114" s="430">
        <v>0.41504385225500001</v>
      </c>
    </row>
    <row r="115" spans="1:11" ht="14.4" customHeight="1" thickBot="1" x14ac:dyDescent="0.35">
      <c r="A115" s="439" t="s">
        <v>390</v>
      </c>
      <c r="B115" s="417">
        <v>718</v>
      </c>
      <c r="C115" s="417">
        <v>708.52462000000003</v>
      </c>
      <c r="D115" s="418">
        <v>-9.4753799999999995</v>
      </c>
      <c r="E115" s="419">
        <v>0.986803091922</v>
      </c>
      <c r="F115" s="417">
        <v>801.00000000020896</v>
      </c>
      <c r="G115" s="418">
        <v>267.00000000006997</v>
      </c>
      <c r="H115" s="420">
        <v>73.430390000000003</v>
      </c>
      <c r="I115" s="417">
        <v>312.51960000000003</v>
      </c>
      <c r="J115" s="418">
        <v>45.519599999930001</v>
      </c>
      <c r="K115" s="421">
        <v>0.39016179775199999</v>
      </c>
    </row>
    <row r="116" spans="1:11" ht="14.4" customHeight="1" thickBot="1" x14ac:dyDescent="0.35">
      <c r="A116" s="439" t="s">
        <v>391</v>
      </c>
      <c r="B116" s="417">
        <v>1245</v>
      </c>
      <c r="C116" s="417">
        <v>1178.1927499999999</v>
      </c>
      <c r="D116" s="418">
        <v>-66.807249999999996</v>
      </c>
      <c r="E116" s="419">
        <v>0.946339558232</v>
      </c>
      <c r="F116" s="417">
        <v>1216.0000000003199</v>
      </c>
      <c r="G116" s="418">
        <v>405.33333333343899</v>
      </c>
      <c r="H116" s="420">
        <v>126.39118999999999</v>
      </c>
      <c r="I116" s="417">
        <v>524.62384999999995</v>
      </c>
      <c r="J116" s="418">
        <v>119.290516666561</v>
      </c>
      <c r="K116" s="421">
        <v>0.43143408716999998</v>
      </c>
    </row>
    <row r="117" spans="1:11" ht="14.4" customHeight="1" thickBot="1" x14ac:dyDescent="0.35">
      <c r="A117" s="438" t="s">
        <v>392</v>
      </c>
      <c r="B117" s="422">
        <v>0</v>
      </c>
      <c r="C117" s="422">
        <v>189.30391</v>
      </c>
      <c r="D117" s="423">
        <v>189.30391</v>
      </c>
      <c r="E117" s="424" t="s">
        <v>283</v>
      </c>
      <c r="F117" s="422">
        <v>0</v>
      </c>
      <c r="G117" s="423">
        <v>0</v>
      </c>
      <c r="H117" s="425">
        <v>10.99451</v>
      </c>
      <c r="I117" s="422">
        <v>9.6168099999999992</v>
      </c>
      <c r="J117" s="423">
        <v>9.6168099999999992</v>
      </c>
      <c r="K117" s="426" t="s">
        <v>283</v>
      </c>
    </row>
    <row r="118" spans="1:11" ht="14.4" customHeight="1" thickBot="1" x14ac:dyDescent="0.35">
      <c r="A118" s="439" t="s">
        <v>393</v>
      </c>
      <c r="B118" s="417">
        <v>0</v>
      </c>
      <c r="C118" s="417">
        <v>14.09624</v>
      </c>
      <c r="D118" s="418">
        <v>14.09624</v>
      </c>
      <c r="E118" s="427" t="s">
        <v>283</v>
      </c>
      <c r="F118" s="417">
        <v>0</v>
      </c>
      <c r="G118" s="418">
        <v>0</v>
      </c>
      <c r="H118" s="420">
        <v>0</v>
      </c>
      <c r="I118" s="417">
        <v>0</v>
      </c>
      <c r="J118" s="418">
        <v>0</v>
      </c>
      <c r="K118" s="428" t="s">
        <v>283</v>
      </c>
    </row>
    <row r="119" spans="1:11" ht="14.4" customHeight="1" thickBot="1" x14ac:dyDescent="0.35">
      <c r="A119" s="439" t="s">
        <v>394</v>
      </c>
      <c r="B119" s="417">
        <v>0</v>
      </c>
      <c r="C119" s="417">
        <v>175.20767000000001</v>
      </c>
      <c r="D119" s="418">
        <v>175.20767000000001</v>
      </c>
      <c r="E119" s="427" t="s">
        <v>283</v>
      </c>
      <c r="F119" s="417">
        <v>0</v>
      </c>
      <c r="G119" s="418">
        <v>0</v>
      </c>
      <c r="H119" s="420">
        <v>10.99451</v>
      </c>
      <c r="I119" s="417">
        <v>9.6168099999999992</v>
      </c>
      <c r="J119" s="418">
        <v>9.6168099999999992</v>
      </c>
      <c r="K119" s="428" t="s">
        <v>283</v>
      </c>
    </row>
    <row r="120" spans="1:11" ht="14.4" customHeight="1" thickBot="1" x14ac:dyDescent="0.35">
      <c r="A120" s="436" t="s">
        <v>395</v>
      </c>
      <c r="B120" s="417">
        <v>50.010758388710002</v>
      </c>
      <c r="C120" s="417">
        <v>27.052700000000002</v>
      </c>
      <c r="D120" s="418">
        <v>-22.95805838871</v>
      </c>
      <c r="E120" s="419">
        <v>0.54093760765800003</v>
      </c>
      <c r="F120" s="417">
        <v>21.063352744088998</v>
      </c>
      <c r="G120" s="418">
        <v>7.0211175813629998</v>
      </c>
      <c r="H120" s="420">
        <v>1.482E-2</v>
      </c>
      <c r="I120" s="417">
        <v>19.959250000000001</v>
      </c>
      <c r="J120" s="418">
        <v>12.938132418636</v>
      </c>
      <c r="K120" s="421">
        <v>0.94758181389700002</v>
      </c>
    </row>
    <row r="121" spans="1:11" ht="14.4" customHeight="1" thickBot="1" x14ac:dyDescent="0.35">
      <c r="A121" s="442" t="s">
        <v>396</v>
      </c>
      <c r="B121" s="422">
        <v>50.010758388710002</v>
      </c>
      <c r="C121" s="422">
        <v>27.052700000000002</v>
      </c>
      <c r="D121" s="423">
        <v>-22.95805838871</v>
      </c>
      <c r="E121" s="429">
        <v>0.54093760765800003</v>
      </c>
      <c r="F121" s="422">
        <v>21.063352744088998</v>
      </c>
      <c r="G121" s="423">
        <v>7.0211175813629998</v>
      </c>
      <c r="H121" s="425">
        <v>1.482E-2</v>
      </c>
      <c r="I121" s="422">
        <v>19.959250000000001</v>
      </c>
      <c r="J121" s="423">
        <v>12.938132418636</v>
      </c>
      <c r="K121" s="430">
        <v>0.94758181389700002</v>
      </c>
    </row>
    <row r="122" spans="1:11" ht="14.4" customHeight="1" thickBot="1" x14ac:dyDescent="0.35">
      <c r="A122" s="438" t="s">
        <v>397</v>
      </c>
      <c r="B122" s="422">
        <v>0</v>
      </c>
      <c r="C122" s="422">
        <v>-3.841E-2</v>
      </c>
      <c r="D122" s="423">
        <v>-3.841E-2</v>
      </c>
      <c r="E122" s="424" t="s">
        <v>283</v>
      </c>
      <c r="F122" s="422">
        <v>0</v>
      </c>
      <c r="G122" s="423">
        <v>0</v>
      </c>
      <c r="H122" s="425">
        <v>1.282E-2</v>
      </c>
      <c r="I122" s="422">
        <v>1.427E-2</v>
      </c>
      <c r="J122" s="423">
        <v>1.427E-2</v>
      </c>
      <c r="K122" s="426" t="s">
        <v>283</v>
      </c>
    </row>
    <row r="123" spans="1:11" ht="14.4" customHeight="1" thickBot="1" x14ac:dyDescent="0.35">
      <c r="A123" s="439" t="s">
        <v>398</v>
      </c>
      <c r="B123" s="417">
        <v>0</v>
      </c>
      <c r="C123" s="417">
        <v>-3.841E-2</v>
      </c>
      <c r="D123" s="418">
        <v>-3.841E-2</v>
      </c>
      <c r="E123" s="427" t="s">
        <v>283</v>
      </c>
      <c r="F123" s="417">
        <v>0</v>
      </c>
      <c r="G123" s="418">
        <v>0</v>
      </c>
      <c r="H123" s="420">
        <v>1.282E-2</v>
      </c>
      <c r="I123" s="417">
        <v>1.427E-2</v>
      </c>
      <c r="J123" s="418">
        <v>1.427E-2</v>
      </c>
      <c r="K123" s="428" t="s">
        <v>283</v>
      </c>
    </row>
    <row r="124" spans="1:11" ht="14.4" customHeight="1" thickBot="1" x14ac:dyDescent="0.35">
      <c r="A124" s="438" t="s">
        <v>399</v>
      </c>
      <c r="B124" s="422">
        <v>50.010758388710002</v>
      </c>
      <c r="C124" s="422">
        <v>27.09111</v>
      </c>
      <c r="D124" s="423">
        <v>-22.919648388710002</v>
      </c>
      <c r="E124" s="429">
        <v>0.54170564240200003</v>
      </c>
      <c r="F124" s="422">
        <v>21.063352744088998</v>
      </c>
      <c r="G124" s="423">
        <v>7.0211175813629998</v>
      </c>
      <c r="H124" s="425">
        <v>2E-3</v>
      </c>
      <c r="I124" s="422">
        <v>19.944980000000001</v>
      </c>
      <c r="J124" s="423">
        <v>12.923862418636</v>
      </c>
      <c r="K124" s="430">
        <v>0.94690433390700002</v>
      </c>
    </row>
    <row r="125" spans="1:11" ht="14.4" customHeight="1" thickBot="1" x14ac:dyDescent="0.35">
      <c r="A125" s="439" t="s">
        <v>400</v>
      </c>
      <c r="B125" s="417">
        <v>0</v>
      </c>
      <c r="C125" s="417">
        <v>0.129</v>
      </c>
      <c r="D125" s="418">
        <v>0.129</v>
      </c>
      <c r="E125" s="427" t="s">
        <v>283</v>
      </c>
      <c r="F125" s="417">
        <v>5.9774860704000003E-2</v>
      </c>
      <c r="G125" s="418">
        <v>1.9924953568E-2</v>
      </c>
      <c r="H125" s="420">
        <v>2E-3</v>
      </c>
      <c r="I125" s="417">
        <v>2E-3</v>
      </c>
      <c r="J125" s="418">
        <v>-1.7924953568000002E-2</v>
      </c>
      <c r="K125" s="421">
        <v>3.3458881817999997E-2</v>
      </c>
    </row>
    <row r="126" spans="1:11" ht="14.4" customHeight="1" thickBot="1" x14ac:dyDescent="0.35">
      <c r="A126" s="439" t="s">
        <v>401</v>
      </c>
      <c r="B126" s="417">
        <v>48.819536412159998</v>
      </c>
      <c r="C126" s="417">
        <v>26.9</v>
      </c>
      <c r="D126" s="418">
        <v>-21.919536412159999</v>
      </c>
      <c r="E126" s="419">
        <v>0.55100891931600005</v>
      </c>
      <c r="F126" s="417">
        <v>21</v>
      </c>
      <c r="G126" s="418">
        <v>7</v>
      </c>
      <c r="H126" s="420">
        <v>0</v>
      </c>
      <c r="I126" s="417">
        <v>11.1</v>
      </c>
      <c r="J126" s="418">
        <v>4.0999999999999996</v>
      </c>
      <c r="K126" s="421">
        <v>0.52857142857100003</v>
      </c>
    </row>
    <row r="127" spans="1:11" ht="14.4" customHeight="1" thickBot="1" x14ac:dyDescent="0.35">
      <c r="A127" s="439" t="s">
        <v>402</v>
      </c>
      <c r="B127" s="417">
        <v>0</v>
      </c>
      <c r="C127" s="417">
        <v>4.1099999999999999E-3</v>
      </c>
      <c r="D127" s="418">
        <v>4.1099999999999999E-3</v>
      </c>
      <c r="E127" s="427" t="s">
        <v>289</v>
      </c>
      <c r="F127" s="417">
        <v>3.5778833850000002E-3</v>
      </c>
      <c r="G127" s="418">
        <v>1.192627795E-3</v>
      </c>
      <c r="H127" s="420">
        <v>0</v>
      </c>
      <c r="I127" s="417">
        <v>0</v>
      </c>
      <c r="J127" s="418">
        <v>-1.192627795E-3</v>
      </c>
      <c r="K127" s="421">
        <v>0</v>
      </c>
    </row>
    <row r="128" spans="1:11" ht="14.4" customHeight="1" thickBot="1" x14ac:dyDescent="0.35">
      <c r="A128" s="439" t="s">
        <v>403</v>
      </c>
      <c r="B128" s="417">
        <v>0</v>
      </c>
      <c r="C128" s="417">
        <v>5.8000000000000003E-2</v>
      </c>
      <c r="D128" s="418">
        <v>5.8000000000000003E-2</v>
      </c>
      <c r="E128" s="427" t="s">
        <v>289</v>
      </c>
      <c r="F128" s="417">
        <v>0</v>
      </c>
      <c r="G128" s="418">
        <v>0</v>
      </c>
      <c r="H128" s="420">
        <v>0</v>
      </c>
      <c r="I128" s="417">
        <v>0</v>
      </c>
      <c r="J128" s="418">
        <v>0</v>
      </c>
      <c r="K128" s="421">
        <v>4</v>
      </c>
    </row>
    <row r="129" spans="1:11" ht="14.4" customHeight="1" thickBot="1" x14ac:dyDescent="0.35">
      <c r="A129" s="439" t="s">
        <v>404</v>
      </c>
      <c r="B129" s="417">
        <v>1.1912219765500001</v>
      </c>
      <c r="C129" s="417">
        <v>0</v>
      </c>
      <c r="D129" s="418">
        <v>-1.1912219765500001</v>
      </c>
      <c r="E129" s="419">
        <v>0</v>
      </c>
      <c r="F129" s="417">
        <v>0</v>
      </c>
      <c r="G129" s="418">
        <v>0</v>
      </c>
      <c r="H129" s="420">
        <v>0</v>
      </c>
      <c r="I129" s="417">
        <v>8.8429800000000007</v>
      </c>
      <c r="J129" s="418">
        <v>8.8429800000000007</v>
      </c>
      <c r="K129" s="428" t="s">
        <v>289</v>
      </c>
    </row>
    <row r="130" spans="1:11" ht="14.4" customHeight="1" thickBot="1" x14ac:dyDescent="0.35">
      <c r="A130" s="435" t="s">
        <v>405</v>
      </c>
      <c r="B130" s="417">
        <v>1321.0015593989201</v>
      </c>
      <c r="C130" s="417">
        <v>1316.13417</v>
      </c>
      <c r="D130" s="418">
        <v>-4.8673893989219996</v>
      </c>
      <c r="E130" s="419">
        <v>0.99631537952000004</v>
      </c>
      <c r="F130" s="417">
        <v>0</v>
      </c>
      <c r="G130" s="418">
        <v>0</v>
      </c>
      <c r="H130" s="420">
        <v>106.91498</v>
      </c>
      <c r="I130" s="417">
        <v>402.45968000000101</v>
      </c>
      <c r="J130" s="418">
        <v>402.45968000000101</v>
      </c>
      <c r="K130" s="428" t="s">
        <v>283</v>
      </c>
    </row>
    <row r="131" spans="1:11" ht="14.4" customHeight="1" thickBot="1" x14ac:dyDescent="0.35">
      <c r="A131" s="440" t="s">
        <v>406</v>
      </c>
      <c r="B131" s="422">
        <v>1321.0015593989201</v>
      </c>
      <c r="C131" s="422">
        <v>1316.13417</v>
      </c>
      <c r="D131" s="423">
        <v>-4.8673893989219996</v>
      </c>
      <c r="E131" s="429">
        <v>0.99631537952000004</v>
      </c>
      <c r="F131" s="422">
        <v>0</v>
      </c>
      <c r="G131" s="423">
        <v>0</v>
      </c>
      <c r="H131" s="425">
        <v>106.91498</v>
      </c>
      <c r="I131" s="422">
        <v>402.45968000000101</v>
      </c>
      <c r="J131" s="423">
        <v>402.45968000000101</v>
      </c>
      <c r="K131" s="426" t="s">
        <v>283</v>
      </c>
    </row>
    <row r="132" spans="1:11" ht="14.4" customHeight="1" thickBot="1" x14ac:dyDescent="0.35">
      <c r="A132" s="442" t="s">
        <v>54</v>
      </c>
      <c r="B132" s="422">
        <v>1321.0015593989201</v>
      </c>
      <c r="C132" s="422">
        <v>1316.13417</v>
      </c>
      <c r="D132" s="423">
        <v>-4.8673893989219996</v>
      </c>
      <c r="E132" s="429">
        <v>0.99631537952000004</v>
      </c>
      <c r="F132" s="422">
        <v>0</v>
      </c>
      <c r="G132" s="423">
        <v>0</v>
      </c>
      <c r="H132" s="425">
        <v>106.91498</v>
      </c>
      <c r="I132" s="422">
        <v>402.45968000000101</v>
      </c>
      <c r="J132" s="423">
        <v>402.45968000000101</v>
      </c>
      <c r="K132" s="426" t="s">
        <v>283</v>
      </c>
    </row>
    <row r="133" spans="1:11" ht="14.4" customHeight="1" thickBot="1" x14ac:dyDescent="0.35">
      <c r="A133" s="438" t="s">
        <v>407</v>
      </c>
      <c r="B133" s="422">
        <v>17</v>
      </c>
      <c r="C133" s="422">
        <v>25.74</v>
      </c>
      <c r="D133" s="423">
        <v>8.74</v>
      </c>
      <c r="E133" s="429">
        <v>1.514117647058</v>
      </c>
      <c r="F133" s="422">
        <v>0</v>
      </c>
      <c r="G133" s="423">
        <v>0</v>
      </c>
      <c r="H133" s="425">
        <v>2.7160000000000002</v>
      </c>
      <c r="I133" s="422">
        <v>10.865</v>
      </c>
      <c r="J133" s="423">
        <v>10.865</v>
      </c>
      <c r="K133" s="426" t="s">
        <v>283</v>
      </c>
    </row>
    <row r="134" spans="1:11" ht="14.4" customHeight="1" thickBot="1" x14ac:dyDescent="0.35">
      <c r="A134" s="439" t="s">
        <v>408</v>
      </c>
      <c r="B134" s="417">
        <v>17</v>
      </c>
      <c r="C134" s="417">
        <v>25.74</v>
      </c>
      <c r="D134" s="418">
        <v>8.74</v>
      </c>
      <c r="E134" s="419">
        <v>1.514117647058</v>
      </c>
      <c r="F134" s="417">
        <v>0</v>
      </c>
      <c r="G134" s="418">
        <v>0</v>
      </c>
      <c r="H134" s="420">
        <v>2.7160000000000002</v>
      </c>
      <c r="I134" s="417">
        <v>10.865</v>
      </c>
      <c r="J134" s="418">
        <v>10.865</v>
      </c>
      <c r="K134" s="428" t="s">
        <v>283</v>
      </c>
    </row>
    <row r="135" spans="1:11" ht="14.4" customHeight="1" thickBot="1" x14ac:dyDescent="0.35">
      <c r="A135" s="438" t="s">
        <v>409</v>
      </c>
      <c r="B135" s="422">
        <v>11.001559398922</v>
      </c>
      <c r="C135" s="422">
        <v>8.2559000000000005</v>
      </c>
      <c r="D135" s="423">
        <v>-2.7456593989220002</v>
      </c>
      <c r="E135" s="429">
        <v>0.75042998002700001</v>
      </c>
      <c r="F135" s="422">
        <v>0</v>
      </c>
      <c r="G135" s="423">
        <v>0</v>
      </c>
      <c r="H135" s="425">
        <v>1.1759999999999999</v>
      </c>
      <c r="I135" s="422">
        <v>5.0839999999999996</v>
      </c>
      <c r="J135" s="423">
        <v>5.0839999999999996</v>
      </c>
      <c r="K135" s="426" t="s">
        <v>283</v>
      </c>
    </row>
    <row r="136" spans="1:11" ht="14.4" customHeight="1" thickBot="1" x14ac:dyDescent="0.35">
      <c r="A136" s="439" t="s">
        <v>410</v>
      </c>
      <c r="B136" s="417">
        <v>11.001559398922</v>
      </c>
      <c r="C136" s="417">
        <v>8.2559000000000005</v>
      </c>
      <c r="D136" s="418">
        <v>-2.7456593989220002</v>
      </c>
      <c r="E136" s="419">
        <v>0.75042998002700001</v>
      </c>
      <c r="F136" s="417">
        <v>0</v>
      </c>
      <c r="G136" s="418">
        <v>0</v>
      </c>
      <c r="H136" s="420">
        <v>1.1759999999999999</v>
      </c>
      <c r="I136" s="417">
        <v>5.0839999999999996</v>
      </c>
      <c r="J136" s="418">
        <v>5.0839999999999996</v>
      </c>
      <c r="K136" s="428" t="s">
        <v>283</v>
      </c>
    </row>
    <row r="137" spans="1:11" ht="14.4" customHeight="1" thickBot="1" x14ac:dyDescent="0.35">
      <c r="A137" s="438" t="s">
        <v>411</v>
      </c>
      <c r="B137" s="422">
        <v>39</v>
      </c>
      <c r="C137" s="422">
        <v>29.834019999999999</v>
      </c>
      <c r="D137" s="423">
        <v>-9.1659799999989993</v>
      </c>
      <c r="E137" s="429">
        <v>0.76497487179400003</v>
      </c>
      <c r="F137" s="422">
        <v>0</v>
      </c>
      <c r="G137" s="423">
        <v>0</v>
      </c>
      <c r="H137" s="425">
        <v>3.2449599999999998</v>
      </c>
      <c r="I137" s="422">
        <v>10.74248</v>
      </c>
      <c r="J137" s="423">
        <v>10.74248</v>
      </c>
      <c r="K137" s="426" t="s">
        <v>283</v>
      </c>
    </row>
    <row r="138" spans="1:11" ht="14.4" customHeight="1" thickBot="1" x14ac:dyDescent="0.35">
      <c r="A138" s="439" t="s">
        <v>412</v>
      </c>
      <c r="B138" s="417">
        <v>39</v>
      </c>
      <c r="C138" s="417">
        <v>29.834019999999999</v>
      </c>
      <c r="D138" s="418">
        <v>-9.1659799999989993</v>
      </c>
      <c r="E138" s="419">
        <v>0.76497487179400003</v>
      </c>
      <c r="F138" s="417">
        <v>0</v>
      </c>
      <c r="G138" s="418">
        <v>0</v>
      </c>
      <c r="H138" s="420">
        <v>3.2449599999999998</v>
      </c>
      <c r="I138" s="417">
        <v>10.74248</v>
      </c>
      <c r="J138" s="418">
        <v>10.74248</v>
      </c>
      <c r="K138" s="428" t="s">
        <v>283</v>
      </c>
    </row>
    <row r="139" spans="1:11" ht="14.4" customHeight="1" thickBot="1" x14ac:dyDescent="0.35">
      <c r="A139" s="438" t="s">
        <v>413</v>
      </c>
      <c r="B139" s="422">
        <v>0</v>
      </c>
      <c r="C139" s="422">
        <v>1.034</v>
      </c>
      <c r="D139" s="423">
        <v>1.034</v>
      </c>
      <c r="E139" s="424" t="s">
        <v>289</v>
      </c>
      <c r="F139" s="422">
        <v>0</v>
      </c>
      <c r="G139" s="423">
        <v>0</v>
      </c>
      <c r="H139" s="425">
        <v>0.16800000000000001</v>
      </c>
      <c r="I139" s="422">
        <v>0.502</v>
      </c>
      <c r="J139" s="423">
        <v>0.502</v>
      </c>
      <c r="K139" s="426" t="s">
        <v>283</v>
      </c>
    </row>
    <row r="140" spans="1:11" ht="14.4" customHeight="1" thickBot="1" x14ac:dyDescent="0.35">
      <c r="A140" s="439" t="s">
        <v>414</v>
      </c>
      <c r="B140" s="417">
        <v>0</v>
      </c>
      <c r="C140" s="417">
        <v>1.034</v>
      </c>
      <c r="D140" s="418">
        <v>1.034</v>
      </c>
      <c r="E140" s="427" t="s">
        <v>289</v>
      </c>
      <c r="F140" s="417">
        <v>0</v>
      </c>
      <c r="G140" s="418">
        <v>0</v>
      </c>
      <c r="H140" s="420">
        <v>0.16800000000000001</v>
      </c>
      <c r="I140" s="417">
        <v>0.502</v>
      </c>
      <c r="J140" s="418">
        <v>0.502</v>
      </c>
      <c r="K140" s="428" t="s">
        <v>283</v>
      </c>
    </row>
    <row r="141" spans="1:11" ht="14.4" customHeight="1" thickBot="1" x14ac:dyDescent="0.35">
      <c r="A141" s="438" t="s">
        <v>415</v>
      </c>
      <c r="B141" s="422">
        <v>489</v>
      </c>
      <c r="C141" s="422">
        <v>430.84708000000001</v>
      </c>
      <c r="D141" s="423">
        <v>-58.152920000000002</v>
      </c>
      <c r="E141" s="429">
        <v>0.88107787320999997</v>
      </c>
      <c r="F141" s="422">
        <v>0</v>
      </c>
      <c r="G141" s="423">
        <v>0</v>
      </c>
      <c r="H141" s="425">
        <v>22.97645</v>
      </c>
      <c r="I141" s="422">
        <v>106.91027</v>
      </c>
      <c r="J141" s="423">
        <v>106.91027</v>
      </c>
      <c r="K141" s="426" t="s">
        <v>283</v>
      </c>
    </row>
    <row r="142" spans="1:11" ht="14.4" customHeight="1" thickBot="1" x14ac:dyDescent="0.35">
      <c r="A142" s="439" t="s">
        <v>416</v>
      </c>
      <c r="B142" s="417">
        <v>483</v>
      </c>
      <c r="C142" s="417">
        <v>424.17072999999999</v>
      </c>
      <c r="D142" s="418">
        <v>-58.829270000000001</v>
      </c>
      <c r="E142" s="419">
        <v>0.87820026915100002</v>
      </c>
      <c r="F142" s="417">
        <v>0</v>
      </c>
      <c r="G142" s="418">
        <v>0</v>
      </c>
      <c r="H142" s="420">
        <v>22.97645</v>
      </c>
      <c r="I142" s="417">
        <v>106.91027</v>
      </c>
      <c r="J142" s="418">
        <v>106.91027</v>
      </c>
      <c r="K142" s="428" t="s">
        <v>283</v>
      </c>
    </row>
    <row r="143" spans="1:11" ht="14.4" customHeight="1" thickBot="1" x14ac:dyDescent="0.35">
      <c r="A143" s="439" t="s">
        <v>417</v>
      </c>
      <c r="B143" s="417">
        <v>6</v>
      </c>
      <c r="C143" s="417">
        <v>6.6763500000000002</v>
      </c>
      <c r="D143" s="418">
        <v>0.67635000000000001</v>
      </c>
      <c r="E143" s="419">
        <v>1.112725</v>
      </c>
      <c r="F143" s="417">
        <v>0</v>
      </c>
      <c r="G143" s="418">
        <v>0</v>
      </c>
      <c r="H143" s="420">
        <v>0</v>
      </c>
      <c r="I143" s="417">
        <v>0</v>
      </c>
      <c r="J143" s="418">
        <v>0</v>
      </c>
      <c r="K143" s="428" t="s">
        <v>283</v>
      </c>
    </row>
    <row r="144" spans="1:11" ht="14.4" customHeight="1" thickBot="1" x14ac:dyDescent="0.35">
      <c r="A144" s="438" t="s">
        <v>418</v>
      </c>
      <c r="B144" s="422">
        <v>0</v>
      </c>
      <c r="C144" s="422">
        <v>2.5289999999999999</v>
      </c>
      <c r="D144" s="423">
        <v>2.5289999999999999</v>
      </c>
      <c r="E144" s="424" t="s">
        <v>289</v>
      </c>
      <c r="F144" s="422">
        <v>0</v>
      </c>
      <c r="G144" s="423">
        <v>0</v>
      </c>
      <c r="H144" s="425">
        <v>0</v>
      </c>
      <c r="I144" s="422">
        <v>0</v>
      </c>
      <c r="J144" s="423">
        <v>0</v>
      </c>
      <c r="K144" s="426" t="s">
        <v>283</v>
      </c>
    </row>
    <row r="145" spans="1:11" ht="14.4" customHeight="1" thickBot="1" x14ac:dyDescent="0.35">
      <c r="A145" s="439" t="s">
        <v>419</v>
      </c>
      <c r="B145" s="417">
        <v>0</v>
      </c>
      <c r="C145" s="417">
        <v>2.5289999999999999</v>
      </c>
      <c r="D145" s="418">
        <v>2.5289999999999999</v>
      </c>
      <c r="E145" s="427" t="s">
        <v>289</v>
      </c>
      <c r="F145" s="417">
        <v>0</v>
      </c>
      <c r="G145" s="418">
        <v>0</v>
      </c>
      <c r="H145" s="420">
        <v>0</v>
      </c>
      <c r="I145" s="417">
        <v>0</v>
      </c>
      <c r="J145" s="418">
        <v>0</v>
      </c>
      <c r="K145" s="428" t="s">
        <v>283</v>
      </c>
    </row>
    <row r="146" spans="1:11" ht="14.4" customHeight="1" thickBot="1" x14ac:dyDescent="0.35">
      <c r="A146" s="438" t="s">
        <v>420</v>
      </c>
      <c r="B146" s="422">
        <v>765</v>
      </c>
      <c r="C146" s="422">
        <v>817.89417000000003</v>
      </c>
      <c r="D146" s="423">
        <v>52.894170000000003</v>
      </c>
      <c r="E146" s="429">
        <v>1.069142705882</v>
      </c>
      <c r="F146" s="422">
        <v>0</v>
      </c>
      <c r="G146" s="423">
        <v>0</v>
      </c>
      <c r="H146" s="425">
        <v>76.633570000000006</v>
      </c>
      <c r="I146" s="422">
        <v>268.35593000000102</v>
      </c>
      <c r="J146" s="423">
        <v>268.35593000000102</v>
      </c>
      <c r="K146" s="426" t="s">
        <v>283</v>
      </c>
    </row>
    <row r="147" spans="1:11" ht="14.4" customHeight="1" thickBot="1" x14ac:dyDescent="0.35">
      <c r="A147" s="439" t="s">
        <v>421</v>
      </c>
      <c r="B147" s="417">
        <v>765</v>
      </c>
      <c r="C147" s="417">
        <v>817.89417000000003</v>
      </c>
      <c r="D147" s="418">
        <v>52.894170000000003</v>
      </c>
      <c r="E147" s="419">
        <v>1.069142705882</v>
      </c>
      <c r="F147" s="417">
        <v>0</v>
      </c>
      <c r="G147" s="418">
        <v>0</v>
      </c>
      <c r="H147" s="420">
        <v>76.633570000000006</v>
      </c>
      <c r="I147" s="417">
        <v>268.35593000000102</v>
      </c>
      <c r="J147" s="418">
        <v>268.35593000000102</v>
      </c>
      <c r="K147" s="428" t="s">
        <v>283</v>
      </c>
    </row>
    <row r="148" spans="1:11" ht="14.4" customHeight="1" thickBot="1" x14ac:dyDescent="0.35">
      <c r="A148" s="443" t="s">
        <v>422</v>
      </c>
      <c r="B148" s="422">
        <v>0</v>
      </c>
      <c r="C148" s="422">
        <v>0.46333000000000002</v>
      </c>
      <c r="D148" s="423">
        <v>0.46333000000000002</v>
      </c>
      <c r="E148" s="424" t="s">
        <v>289</v>
      </c>
      <c r="F148" s="422">
        <v>0</v>
      </c>
      <c r="G148" s="423">
        <v>0</v>
      </c>
      <c r="H148" s="425">
        <v>0</v>
      </c>
      <c r="I148" s="422">
        <v>0</v>
      </c>
      <c r="J148" s="423">
        <v>0</v>
      </c>
      <c r="K148" s="426" t="s">
        <v>283</v>
      </c>
    </row>
    <row r="149" spans="1:11" ht="14.4" customHeight="1" thickBot="1" x14ac:dyDescent="0.35">
      <c r="A149" s="440" t="s">
        <v>423</v>
      </c>
      <c r="B149" s="422">
        <v>0</v>
      </c>
      <c r="C149" s="422">
        <v>0.46333000000000002</v>
      </c>
      <c r="D149" s="423">
        <v>0.46333000000000002</v>
      </c>
      <c r="E149" s="424" t="s">
        <v>289</v>
      </c>
      <c r="F149" s="422">
        <v>0</v>
      </c>
      <c r="G149" s="423">
        <v>0</v>
      </c>
      <c r="H149" s="425">
        <v>0</v>
      </c>
      <c r="I149" s="422">
        <v>0</v>
      </c>
      <c r="J149" s="423">
        <v>0</v>
      </c>
      <c r="K149" s="426" t="s">
        <v>283</v>
      </c>
    </row>
    <row r="150" spans="1:11" ht="14.4" customHeight="1" thickBot="1" x14ac:dyDescent="0.35">
      <c r="A150" s="442" t="s">
        <v>424</v>
      </c>
      <c r="B150" s="422">
        <v>0</v>
      </c>
      <c r="C150" s="422">
        <v>0.46333000000000002</v>
      </c>
      <c r="D150" s="423">
        <v>0.46333000000000002</v>
      </c>
      <c r="E150" s="424" t="s">
        <v>289</v>
      </c>
      <c r="F150" s="422">
        <v>0</v>
      </c>
      <c r="G150" s="423">
        <v>0</v>
      </c>
      <c r="H150" s="425">
        <v>0</v>
      </c>
      <c r="I150" s="422">
        <v>0</v>
      </c>
      <c r="J150" s="423">
        <v>0</v>
      </c>
      <c r="K150" s="426" t="s">
        <v>283</v>
      </c>
    </row>
    <row r="151" spans="1:11" ht="14.4" customHeight="1" thickBot="1" x14ac:dyDescent="0.35">
      <c r="A151" s="438" t="s">
        <v>425</v>
      </c>
      <c r="B151" s="422">
        <v>0</v>
      </c>
      <c r="C151" s="422">
        <v>0.46333000000000002</v>
      </c>
      <c r="D151" s="423">
        <v>0.46333000000000002</v>
      </c>
      <c r="E151" s="424" t="s">
        <v>289</v>
      </c>
      <c r="F151" s="422">
        <v>0</v>
      </c>
      <c r="G151" s="423">
        <v>0</v>
      </c>
      <c r="H151" s="425">
        <v>0</v>
      </c>
      <c r="I151" s="422">
        <v>0</v>
      </c>
      <c r="J151" s="423">
        <v>0</v>
      </c>
      <c r="K151" s="426" t="s">
        <v>283</v>
      </c>
    </row>
    <row r="152" spans="1:11" ht="14.4" customHeight="1" thickBot="1" x14ac:dyDescent="0.35">
      <c r="A152" s="439" t="s">
        <v>426</v>
      </c>
      <c r="B152" s="417">
        <v>0</v>
      </c>
      <c r="C152" s="417">
        <v>0.40200000000000002</v>
      </c>
      <c r="D152" s="418">
        <v>0.40200000000000002</v>
      </c>
      <c r="E152" s="427" t="s">
        <v>289</v>
      </c>
      <c r="F152" s="417">
        <v>0</v>
      </c>
      <c r="G152" s="418">
        <v>0</v>
      </c>
      <c r="H152" s="420">
        <v>0</v>
      </c>
      <c r="I152" s="417">
        <v>0</v>
      </c>
      <c r="J152" s="418">
        <v>0</v>
      </c>
      <c r="K152" s="428" t="s">
        <v>283</v>
      </c>
    </row>
    <row r="153" spans="1:11" ht="14.4" customHeight="1" thickBot="1" x14ac:dyDescent="0.35">
      <c r="A153" s="439" t="s">
        <v>427</v>
      </c>
      <c r="B153" s="417">
        <v>0</v>
      </c>
      <c r="C153" s="417">
        <v>6.1330000000000003E-2</v>
      </c>
      <c r="D153" s="418">
        <v>6.1330000000000003E-2</v>
      </c>
      <c r="E153" s="427" t="s">
        <v>289</v>
      </c>
      <c r="F153" s="417">
        <v>0</v>
      </c>
      <c r="G153" s="418">
        <v>0</v>
      </c>
      <c r="H153" s="420">
        <v>0</v>
      </c>
      <c r="I153" s="417">
        <v>0</v>
      </c>
      <c r="J153" s="418">
        <v>0</v>
      </c>
      <c r="K153" s="428" t="s">
        <v>283</v>
      </c>
    </row>
    <row r="154" spans="1:11" ht="14.4" customHeight="1" thickBot="1" x14ac:dyDescent="0.35">
      <c r="A154" s="444"/>
      <c r="B154" s="417">
        <v>-5177.1374471791396</v>
      </c>
      <c r="C154" s="417">
        <v>-4891.0793100000001</v>
      </c>
      <c r="D154" s="418">
        <v>286.05813717913401</v>
      </c>
      <c r="E154" s="419">
        <v>0.94474588706600005</v>
      </c>
      <c r="F154" s="417">
        <v>-3872.8520662106098</v>
      </c>
      <c r="G154" s="418">
        <v>-1290.95068873687</v>
      </c>
      <c r="H154" s="420">
        <v>-401.60243000000003</v>
      </c>
      <c r="I154" s="417">
        <v>-1508.21181</v>
      </c>
      <c r="J154" s="418">
        <v>-217.26112126313399</v>
      </c>
      <c r="K154" s="421">
        <v>0.38943181516199998</v>
      </c>
    </row>
    <row r="155" spans="1:11" ht="14.4" customHeight="1" thickBot="1" x14ac:dyDescent="0.35">
      <c r="A155" s="445" t="s">
        <v>66</v>
      </c>
      <c r="B155" s="431">
        <v>-5177.1374471791396</v>
      </c>
      <c r="C155" s="431">
        <v>-4891.0793100000001</v>
      </c>
      <c r="D155" s="432">
        <v>286.05813717913401</v>
      </c>
      <c r="E155" s="433" t="s">
        <v>289</v>
      </c>
      <c r="F155" s="431">
        <v>-3872.8520662106098</v>
      </c>
      <c r="G155" s="432">
        <v>-1290.95068873687</v>
      </c>
      <c r="H155" s="431">
        <v>-401.60243000000003</v>
      </c>
      <c r="I155" s="431">
        <v>-1508.21181</v>
      </c>
      <c r="J155" s="432">
        <v>-217.26112126313501</v>
      </c>
      <c r="K155" s="434">
        <v>0.38943181516199998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428</v>
      </c>
      <c r="B5" s="447" t="s">
        <v>429</v>
      </c>
      <c r="C5" s="448" t="s">
        <v>430</v>
      </c>
      <c r="D5" s="448" t="s">
        <v>430</v>
      </c>
      <c r="E5" s="448"/>
      <c r="F5" s="448" t="s">
        <v>430</v>
      </c>
      <c r="G5" s="448" t="s">
        <v>430</v>
      </c>
      <c r="H5" s="448" t="s">
        <v>430</v>
      </c>
      <c r="I5" s="449" t="s">
        <v>430</v>
      </c>
      <c r="J5" s="450" t="s">
        <v>69</v>
      </c>
    </row>
    <row r="6" spans="1:10" ht="14.4" customHeight="1" x14ac:dyDescent="0.3">
      <c r="A6" s="446" t="s">
        <v>428</v>
      </c>
      <c r="B6" s="447" t="s">
        <v>292</v>
      </c>
      <c r="C6" s="448">
        <v>232.977399999998</v>
      </c>
      <c r="D6" s="448">
        <v>208.64609000000002</v>
      </c>
      <c r="E6" s="448"/>
      <c r="F6" s="448">
        <v>179.42383000000001</v>
      </c>
      <c r="G6" s="448">
        <v>222.87006410885232</v>
      </c>
      <c r="H6" s="448">
        <v>-43.446234108852309</v>
      </c>
      <c r="I6" s="449">
        <v>0.80506025211338983</v>
      </c>
      <c r="J6" s="450" t="s">
        <v>1</v>
      </c>
    </row>
    <row r="7" spans="1:10" ht="14.4" customHeight="1" x14ac:dyDescent="0.3">
      <c r="A7" s="446" t="s">
        <v>428</v>
      </c>
      <c r="B7" s="447" t="s">
        <v>293</v>
      </c>
      <c r="C7" s="448">
        <v>3.7470000000000003E-2</v>
      </c>
      <c r="D7" s="448">
        <v>0</v>
      </c>
      <c r="E7" s="448"/>
      <c r="F7" s="448" t="s">
        <v>430</v>
      </c>
      <c r="G7" s="448" t="s">
        <v>430</v>
      </c>
      <c r="H7" s="448" t="s">
        <v>430</v>
      </c>
      <c r="I7" s="449" t="s">
        <v>430</v>
      </c>
      <c r="J7" s="450" t="s">
        <v>1</v>
      </c>
    </row>
    <row r="8" spans="1:10" ht="14.4" customHeight="1" x14ac:dyDescent="0.3">
      <c r="A8" s="446" t="s">
        <v>428</v>
      </c>
      <c r="B8" s="447" t="s">
        <v>431</v>
      </c>
      <c r="C8" s="448">
        <v>0</v>
      </c>
      <c r="D8" s="448" t="s">
        <v>430</v>
      </c>
      <c r="E8" s="448"/>
      <c r="F8" s="448" t="s">
        <v>430</v>
      </c>
      <c r="G8" s="448" t="s">
        <v>430</v>
      </c>
      <c r="H8" s="448" t="s">
        <v>430</v>
      </c>
      <c r="I8" s="449" t="s">
        <v>430</v>
      </c>
      <c r="J8" s="450" t="s">
        <v>1</v>
      </c>
    </row>
    <row r="9" spans="1:10" ht="14.4" customHeight="1" x14ac:dyDescent="0.3">
      <c r="A9" s="446" t="s">
        <v>428</v>
      </c>
      <c r="B9" s="447" t="s">
        <v>432</v>
      </c>
      <c r="C9" s="448">
        <v>233.01486999999801</v>
      </c>
      <c r="D9" s="448">
        <v>208.64609000000002</v>
      </c>
      <c r="E9" s="448"/>
      <c r="F9" s="448">
        <v>179.42383000000001</v>
      </c>
      <c r="G9" s="448">
        <v>222.87006410885232</v>
      </c>
      <c r="H9" s="448">
        <v>-43.446234108852309</v>
      </c>
      <c r="I9" s="449">
        <v>0.80506025211338983</v>
      </c>
      <c r="J9" s="450" t="s">
        <v>433</v>
      </c>
    </row>
    <row r="11" spans="1:10" ht="14.4" customHeight="1" x14ac:dyDescent="0.3">
      <c r="A11" s="446" t="s">
        <v>428</v>
      </c>
      <c r="B11" s="447" t="s">
        <v>429</v>
      </c>
      <c r="C11" s="448" t="s">
        <v>430</v>
      </c>
      <c r="D11" s="448" t="s">
        <v>430</v>
      </c>
      <c r="E11" s="448"/>
      <c r="F11" s="448" t="s">
        <v>430</v>
      </c>
      <c r="G11" s="448" t="s">
        <v>430</v>
      </c>
      <c r="H11" s="448" t="s">
        <v>430</v>
      </c>
      <c r="I11" s="449" t="s">
        <v>430</v>
      </c>
      <c r="J11" s="450" t="s">
        <v>69</v>
      </c>
    </row>
    <row r="12" spans="1:10" ht="14.4" customHeight="1" x14ac:dyDescent="0.3">
      <c r="A12" s="446" t="s">
        <v>434</v>
      </c>
      <c r="B12" s="447" t="s">
        <v>435</v>
      </c>
      <c r="C12" s="448" t="s">
        <v>430</v>
      </c>
      <c r="D12" s="448" t="s">
        <v>430</v>
      </c>
      <c r="E12" s="448"/>
      <c r="F12" s="448" t="s">
        <v>430</v>
      </c>
      <c r="G12" s="448" t="s">
        <v>430</v>
      </c>
      <c r="H12" s="448" t="s">
        <v>430</v>
      </c>
      <c r="I12" s="449" t="s">
        <v>430</v>
      </c>
      <c r="J12" s="450" t="s">
        <v>0</v>
      </c>
    </row>
    <row r="13" spans="1:10" ht="14.4" customHeight="1" x14ac:dyDescent="0.3">
      <c r="A13" s="446" t="s">
        <v>434</v>
      </c>
      <c r="B13" s="447" t="s">
        <v>292</v>
      </c>
      <c r="C13" s="448">
        <v>50.764089999999001</v>
      </c>
      <c r="D13" s="448">
        <v>37.750659999999996</v>
      </c>
      <c r="E13" s="448"/>
      <c r="F13" s="448">
        <v>37.075610000000005</v>
      </c>
      <c r="G13" s="448">
        <v>37.484589324468665</v>
      </c>
      <c r="H13" s="448">
        <v>-0.40897932446866037</v>
      </c>
      <c r="I13" s="449">
        <v>0.98908940095545628</v>
      </c>
      <c r="J13" s="450" t="s">
        <v>1</v>
      </c>
    </row>
    <row r="14" spans="1:10" ht="14.4" customHeight="1" x14ac:dyDescent="0.3">
      <c r="A14" s="446" t="s">
        <v>434</v>
      </c>
      <c r="B14" s="447" t="s">
        <v>293</v>
      </c>
      <c r="C14" s="448">
        <v>3.7470000000000003E-2</v>
      </c>
      <c r="D14" s="448">
        <v>0</v>
      </c>
      <c r="E14" s="448"/>
      <c r="F14" s="448" t="s">
        <v>430</v>
      </c>
      <c r="G14" s="448" t="s">
        <v>430</v>
      </c>
      <c r="H14" s="448" t="s">
        <v>430</v>
      </c>
      <c r="I14" s="449" t="s">
        <v>430</v>
      </c>
      <c r="J14" s="450" t="s">
        <v>1</v>
      </c>
    </row>
    <row r="15" spans="1:10" ht="14.4" customHeight="1" x14ac:dyDescent="0.3">
      <c r="A15" s="446" t="s">
        <v>434</v>
      </c>
      <c r="B15" s="447" t="s">
        <v>431</v>
      </c>
      <c r="C15" s="448">
        <v>0</v>
      </c>
      <c r="D15" s="448" t="s">
        <v>430</v>
      </c>
      <c r="E15" s="448"/>
      <c r="F15" s="448" t="s">
        <v>430</v>
      </c>
      <c r="G15" s="448" t="s">
        <v>430</v>
      </c>
      <c r="H15" s="448" t="s">
        <v>430</v>
      </c>
      <c r="I15" s="449" t="s">
        <v>430</v>
      </c>
      <c r="J15" s="450" t="s">
        <v>1</v>
      </c>
    </row>
    <row r="16" spans="1:10" ht="14.4" customHeight="1" x14ac:dyDescent="0.3">
      <c r="A16" s="446" t="s">
        <v>434</v>
      </c>
      <c r="B16" s="447" t="s">
        <v>436</v>
      </c>
      <c r="C16" s="448">
        <v>50.801559999999</v>
      </c>
      <c r="D16" s="448">
        <v>37.750659999999996</v>
      </c>
      <c r="E16" s="448"/>
      <c r="F16" s="448">
        <v>37.075610000000005</v>
      </c>
      <c r="G16" s="448">
        <v>37.484589324468665</v>
      </c>
      <c r="H16" s="448">
        <v>-0.40897932446866037</v>
      </c>
      <c r="I16" s="449">
        <v>0.98908940095545628</v>
      </c>
      <c r="J16" s="450" t="s">
        <v>437</v>
      </c>
    </row>
    <row r="17" spans="1:10" ht="14.4" customHeight="1" x14ac:dyDescent="0.3">
      <c r="A17" s="446" t="s">
        <v>430</v>
      </c>
      <c r="B17" s="447" t="s">
        <v>430</v>
      </c>
      <c r="C17" s="448" t="s">
        <v>430</v>
      </c>
      <c r="D17" s="448" t="s">
        <v>430</v>
      </c>
      <c r="E17" s="448"/>
      <c r="F17" s="448" t="s">
        <v>430</v>
      </c>
      <c r="G17" s="448" t="s">
        <v>430</v>
      </c>
      <c r="H17" s="448" t="s">
        <v>430</v>
      </c>
      <c r="I17" s="449" t="s">
        <v>430</v>
      </c>
      <c r="J17" s="450" t="s">
        <v>438</v>
      </c>
    </row>
    <row r="18" spans="1:10" ht="14.4" customHeight="1" x14ac:dyDescent="0.3">
      <c r="A18" s="446" t="s">
        <v>439</v>
      </c>
      <c r="B18" s="447" t="s">
        <v>440</v>
      </c>
      <c r="C18" s="448" t="s">
        <v>430</v>
      </c>
      <c r="D18" s="448" t="s">
        <v>430</v>
      </c>
      <c r="E18" s="448"/>
      <c r="F18" s="448" t="s">
        <v>430</v>
      </c>
      <c r="G18" s="448" t="s">
        <v>430</v>
      </c>
      <c r="H18" s="448" t="s">
        <v>430</v>
      </c>
      <c r="I18" s="449" t="s">
        <v>430</v>
      </c>
      <c r="J18" s="450" t="s">
        <v>0</v>
      </c>
    </row>
    <row r="19" spans="1:10" ht="14.4" customHeight="1" x14ac:dyDescent="0.3">
      <c r="A19" s="446" t="s">
        <v>439</v>
      </c>
      <c r="B19" s="447" t="s">
        <v>292</v>
      </c>
      <c r="C19" s="448">
        <v>182.21330999999898</v>
      </c>
      <c r="D19" s="448">
        <v>170.89543</v>
      </c>
      <c r="E19" s="448"/>
      <c r="F19" s="448">
        <v>142.34822</v>
      </c>
      <c r="G19" s="448">
        <v>185.38547478438366</v>
      </c>
      <c r="H19" s="448">
        <v>-43.037254784383663</v>
      </c>
      <c r="I19" s="449">
        <v>0.7678499093068698</v>
      </c>
      <c r="J19" s="450" t="s">
        <v>1</v>
      </c>
    </row>
    <row r="20" spans="1:10" ht="14.4" customHeight="1" x14ac:dyDescent="0.3">
      <c r="A20" s="446" t="s">
        <v>439</v>
      </c>
      <c r="B20" s="447" t="s">
        <v>441</v>
      </c>
      <c r="C20" s="448">
        <v>182.21330999999898</v>
      </c>
      <c r="D20" s="448">
        <v>170.89543</v>
      </c>
      <c r="E20" s="448"/>
      <c r="F20" s="448">
        <v>142.34822</v>
      </c>
      <c r="G20" s="448">
        <v>185.38547478438366</v>
      </c>
      <c r="H20" s="448">
        <v>-43.037254784383663</v>
      </c>
      <c r="I20" s="449">
        <v>0.7678499093068698</v>
      </c>
      <c r="J20" s="450" t="s">
        <v>437</v>
      </c>
    </row>
    <row r="21" spans="1:10" ht="14.4" customHeight="1" x14ac:dyDescent="0.3">
      <c r="A21" s="446" t="s">
        <v>430</v>
      </c>
      <c r="B21" s="447" t="s">
        <v>430</v>
      </c>
      <c r="C21" s="448" t="s">
        <v>430</v>
      </c>
      <c r="D21" s="448" t="s">
        <v>430</v>
      </c>
      <c r="E21" s="448"/>
      <c r="F21" s="448" t="s">
        <v>430</v>
      </c>
      <c r="G21" s="448" t="s">
        <v>430</v>
      </c>
      <c r="H21" s="448" t="s">
        <v>430</v>
      </c>
      <c r="I21" s="449" t="s">
        <v>430</v>
      </c>
      <c r="J21" s="450" t="s">
        <v>438</v>
      </c>
    </row>
    <row r="22" spans="1:10" ht="14.4" customHeight="1" x14ac:dyDescent="0.3">
      <c r="A22" s="446" t="s">
        <v>428</v>
      </c>
      <c r="B22" s="447" t="s">
        <v>432</v>
      </c>
      <c r="C22" s="448">
        <v>233.01486999999798</v>
      </c>
      <c r="D22" s="448">
        <v>208.64609000000002</v>
      </c>
      <c r="E22" s="448"/>
      <c r="F22" s="448">
        <v>179.42383000000001</v>
      </c>
      <c r="G22" s="448">
        <v>222.87006410885232</v>
      </c>
      <c r="H22" s="448">
        <v>-43.446234108852309</v>
      </c>
      <c r="I22" s="449">
        <v>0.80506025211338983</v>
      </c>
      <c r="J22" s="450" t="s">
        <v>433</v>
      </c>
    </row>
  </sheetData>
  <mergeCells count="3">
    <mergeCell ref="F3:I3"/>
    <mergeCell ref="C4:D4"/>
    <mergeCell ref="A1:I1"/>
  </mergeCells>
  <conditionalFormatting sqref="F10 F23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2">
    <cfRule type="expression" dxfId="45" priority="5">
      <formula>$H11&gt;0</formula>
    </cfRule>
  </conditionalFormatting>
  <conditionalFormatting sqref="A11:A22">
    <cfRule type="expression" dxfId="44" priority="2">
      <formula>AND($J11&lt;&gt;"mezeraKL",$J11&lt;&gt;"")</formula>
    </cfRule>
  </conditionalFormatting>
  <conditionalFormatting sqref="I11:I22">
    <cfRule type="expression" dxfId="43" priority="6">
      <formula>$I11&gt;1</formula>
    </cfRule>
  </conditionalFormatting>
  <conditionalFormatting sqref="B11:B22">
    <cfRule type="expression" dxfId="42" priority="1">
      <formula>OR($J11="NS",$J11="SumaNS",$J11="Účet")</formula>
    </cfRule>
  </conditionalFormatting>
  <conditionalFormatting sqref="A11:D22 F11:I22">
    <cfRule type="expression" dxfId="41" priority="8">
      <formula>AND($J11&lt;&gt;"",$J11&lt;&gt;"mezeraKL")</formula>
    </cfRule>
  </conditionalFormatting>
  <conditionalFormatting sqref="B11:D22 F11:I22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311.99415096408666</v>
      </c>
      <c r="M3" s="98">
        <f>SUBTOTAL(9,M5:M1048576)</f>
        <v>575</v>
      </c>
      <c r="N3" s="99">
        <f>SUBTOTAL(9,N5:N1048576)</f>
        <v>179396.63680434984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428</v>
      </c>
      <c r="B5" s="459" t="s">
        <v>429</v>
      </c>
      <c r="C5" s="460" t="s">
        <v>434</v>
      </c>
      <c r="D5" s="461" t="s">
        <v>531</v>
      </c>
      <c r="E5" s="460" t="s">
        <v>442</v>
      </c>
      <c r="F5" s="461" t="s">
        <v>533</v>
      </c>
      <c r="G5" s="460" t="s">
        <v>443</v>
      </c>
      <c r="H5" s="460" t="s">
        <v>444</v>
      </c>
      <c r="I5" s="460" t="s">
        <v>444</v>
      </c>
      <c r="J5" s="460" t="s">
        <v>445</v>
      </c>
      <c r="K5" s="460" t="s">
        <v>446</v>
      </c>
      <c r="L5" s="462">
        <v>171.6</v>
      </c>
      <c r="M5" s="462">
        <v>48</v>
      </c>
      <c r="N5" s="463">
        <v>8236.7999999999993</v>
      </c>
    </row>
    <row r="6" spans="1:14" ht="14.4" customHeight="1" x14ac:dyDescent="0.3">
      <c r="A6" s="464" t="s">
        <v>428</v>
      </c>
      <c r="B6" s="465" t="s">
        <v>429</v>
      </c>
      <c r="C6" s="466" t="s">
        <v>434</v>
      </c>
      <c r="D6" s="467" t="s">
        <v>531</v>
      </c>
      <c r="E6" s="466" t="s">
        <v>442</v>
      </c>
      <c r="F6" s="467" t="s">
        <v>533</v>
      </c>
      <c r="G6" s="466" t="s">
        <v>443</v>
      </c>
      <c r="H6" s="466" t="s">
        <v>447</v>
      </c>
      <c r="I6" s="466" t="s">
        <v>448</v>
      </c>
      <c r="J6" s="466" t="s">
        <v>449</v>
      </c>
      <c r="K6" s="466" t="s">
        <v>450</v>
      </c>
      <c r="L6" s="468">
        <v>87.02977912637509</v>
      </c>
      <c r="M6" s="468">
        <v>1</v>
      </c>
      <c r="N6" s="469">
        <v>87.02977912637509</v>
      </c>
    </row>
    <row r="7" spans="1:14" ht="14.4" customHeight="1" x14ac:dyDescent="0.3">
      <c r="A7" s="464" t="s">
        <v>428</v>
      </c>
      <c r="B7" s="465" t="s">
        <v>429</v>
      </c>
      <c r="C7" s="466" t="s">
        <v>434</v>
      </c>
      <c r="D7" s="467" t="s">
        <v>531</v>
      </c>
      <c r="E7" s="466" t="s">
        <v>442</v>
      </c>
      <c r="F7" s="467" t="s">
        <v>533</v>
      </c>
      <c r="G7" s="466" t="s">
        <v>443</v>
      </c>
      <c r="H7" s="466" t="s">
        <v>451</v>
      </c>
      <c r="I7" s="466" t="s">
        <v>452</v>
      </c>
      <c r="J7" s="466" t="s">
        <v>453</v>
      </c>
      <c r="K7" s="466" t="s">
        <v>454</v>
      </c>
      <c r="L7" s="468">
        <v>97.54821600192399</v>
      </c>
      <c r="M7" s="468">
        <v>185</v>
      </c>
      <c r="N7" s="469">
        <v>18046.419960355939</v>
      </c>
    </row>
    <row r="8" spans="1:14" ht="14.4" customHeight="1" x14ac:dyDescent="0.3">
      <c r="A8" s="464" t="s">
        <v>428</v>
      </c>
      <c r="B8" s="465" t="s">
        <v>429</v>
      </c>
      <c r="C8" s="466" t="s">
        <v>434</v>
      </c>
      <c r="D8" s="467" t="s">
        <v>531</v>
      </c>
      <c r="E8" s="466" t="s">
        <v>442</v>
      </c>
      <c r="F8" s="467" t="s">
        <v>533</v>
      </c>
      <c r="G8" s="466" t="s">
        <v>443</v>
      </c>
      <c r="H8" s="466" t="s">
        <v>455</v>
      </c>
      <c r="I8" s="466" t="s">
        <v>456</v>
      </c>
      <c r="J8" s="466" t="s">
        <v>453</v>
      </c>
      <c r="K8" s="466" t="s">
        <v>457</v>
      </c>
      <c r="L8" s="468">
        <v>100.76</v>
      </c>
      <c r="M8" s="468">
        <v>2</v>
      </c>
      <c r="N8" s="469">
        <v>201.52</v>
      </c>
    </row>
    <row r="9" spans="1:14" ht="14.4" customHeight="1" x14ac:dyDescent="0.3">
      <c r="A9" s="464" t="s">
        <v>428</v>
      </c>
      <c r="B9" s="465" t="s">
        <v>429</v>
      </c>
      <c r="C9" s="466" t="s">
        <v>434</v>
      </c>
      <c r="D9" s="467" t="s">
        <v>531</v>
      </c>
      <c r="E9" s="466" t="s">
        <v>442</v>
      </c>
      <c r="F9" s="467" t="s">
        <v>533</v>
      </c>
      <c r="G9" s="466" t="s">
        <v>443</v>
      </c>
      <c r="H9" s="466" t="s">
        <v>458</v>
      </c>
      <c r="I9" s="466" t="s">
        <v>459</v>
      </c>
      <c r="J9" s="466" t="s">
        <v>460</v>
      </c>
      <c r="K9" s="466" t="s">
        <v>461</v>
      </c>
      <c r="L9" s="468">
        <v>57.729659030615636</v>
      </c>
      <c r="M9" s="468">
        <v>12</v>
      </c>
      <c r="N9" s="469">
        <v>692.75590836738763</v>
      </c>
    </row>
    <row r="10" spans="1:14" ht="14.4" customHeight="1" x14ac:dyDescent="0.3">
      <c r="A10" s="464" t="s">
        <v>428</v>
      </c>
      <c r="B10" s="465" t="s">
        <v>429</v>
      </c>
      <c r="C10" s="466" t="s">
        <v>434</v>
      </c>
      <c r="D10" s="467" t="s">
        <v>531</v>
      </c>
      <c r="E10" s="466" t="s">
        <v>442</v>
      </c>
      <c r="F10" s="467" t="s">
        <v>533</v>
      </c>
      <c r="G10" s="466" t="s">
        <v>443</v>
      </c>
      <c r="H10" s="466" t="s">
        <v>462</v>
      </c>
      <c r="I10" s="466" t="s">
        <v>463</v>
      </c>
      <c r="J10" s="466" t="s">
        <v>464</v>
      </c>
      <c r="K10" s="466"/>
      <c r="L10" s="468">
        <v>205.05643742627424</v>
      </c>
      <c r="M10" s="468">
        <v>13</v>
      </c>
      <c r="N10" s="469">
        <v>2665.733686541565</v>
      </c>
    </row>
    <row r="11" spans="1:14" ht="14.4" customHeight="1" x14ac:dyDescent="0.3">
      <c r="A11" s="464" t="s">
        <v>428</v>
      </c>
      <c r="B11" s="465" t="s">
        <v>429</v>
      </c>
      <c r="C11" s="466" t="s">
        <v>434</v>
      </c>
      <c r="D11" s="467" t="s">
        <v>531</v>
      </c>
      <c r="E11" s="466" t="s">
        <v>442</v>
      </c>
      <c r="F11" s="467" t="s">
        <v>533</v>
      </c>
      <c r="G11" s="466" t="s">
        <v>443</v>
      </c>
      <c r="H11" s="466" t="s">
        <v>465</v>
      </c>
      <c r="I11" s="466" t="s">
        <v>466</v>
      </c>
      <c r="J11" s="466" t="s">
        <v>467</v>
      </c>
      <c r="K11" s="466" t="s">
        <v>468</v>
      </c>
      <c r="L11" s="468">
        <v>42.622727272727275</v>
      </c>
      <c r="M11" s="468">
        <v>110</v>
      </c>
      <c r="N11" s="469">
        <v>4688.5</v>
      </c>
    </row>
    <row r="12" spans="1:14" ht="14.4" customHeight="1" x14ac:dyDescent="0.3">
      <c r="A12" s="464" t="s">
        <v>428</v>
      </c>
      <c r="B12" s="465" t="s">
        <v>429</v>
      </c>
      <c r="C12" s="466" t="s">
        <v>434</v>
      </c>
      <c r="D12" s="467" t="s">
        <v>531</v>
      </c>
      <c r="E12" s="466" t="s">
        <v>442</v>
      </c>
      <c r="F12" s="467" t="s">
        <v>533</v>
      </c>
      <c r="G12" s="466" t="s">
        <v>443</v>
      </c>
      <c r="H12" s="466" t="s">
        <v>469</v>
      </c>
      <c r="I12" s="466" t="s">
        <v>169</v>
      </c>
      <c r="J12" s="466" t="s">
        <v>470</v>
      </c>
      <c r="K12" s="466"/>
      <c r="L12" s="468">
        <v>97.320309380154569</v>
      </c>
      <c r="M12" s="468">
        <v>3</v>
      </c>
      <c r="N12" s="469">
        <v>291.96092814046369</v>
      </c>
    </row>
    <row r="13" spans="1:14" ht="14.4" customHeight="1" x14ac:dyDescent="0.3">
      <c r="A13" s="464" t="s">
        <v>428</v>
      </c>
      <c r="B13" s="465" t="s">
        <v>429</v>
      </c>
      <c r="C13" s="466" t="s">
        <v>434</v>
      </c>
      <c r="D13" s="467" t="s">
        <v>531</v>
      </c>
      <c r="E13" s="466" t="s">
        <v>442</v>
      </c>
      <c r="F13" s="467" t="s">
        <v>533</v>
      </c>
      <c r="G13" s="466" t="s">
        <v>443</v>
      </c>
      <c r="H13" s="466" t="s">
        <v>471</v>
      </c>
      <c r="I13" s="466" t="s">
        <v>169</v>
      </c>
      <c r="J13" s="466" t="s">
        <v>472</v>
      </c>
      <c r="K13" s="466"/>
      <c r="L13" s="468">
        <v>216.30221276892189</v>
      </c>
      <c r="M13" s="468">
        <v>2</v>
      </c>
      <c r="N13" s="469">
        <v>432.60442553784378</v>
      </c>
    </row>
    <row r="14" spans="1:14" ht="14.4" customHeight="1" x14ac:dyDescent="0.3">
      <c r="A14" s="464" t="s">
        <v>428</v>
      </c>
      <c r="B14" s="465" t="s">
        <v>429</v>
      </c>
      <c r="C14" s="466" t="s">
        <v>434</v>
      </c>
      <c r="D14" s="467" t="s">
        <v>531</v>
      </c>
      <c r="E14" s="466" t="s">
        <v>442</v>
      </c>
      <c r="F14" s="467" t="s">
        <v>533</v>
      </c>
      <c r="G14" s="466" t="s">
        <v>443</v>
      </c>
      <c r="H14" s="466" t="s">
        <v>473</v>
      </c>
      <c r="I14" s="466" t="s">
        <v>474</v>
      </c>
      <c r="J14" s="466" t="s">
        <v>475</v>
      </c>
      <c r="K14" s="466" t="s">
        <v>476</v>
      </c>
      <c r="L14" s="468">
        <v>52.26988057341903</v>
      </c>
      <c r="M14" s="468">
        <v>1</v>
      </c>
      <c r="N14" s="469">
        <v>52.26988057341903</v>
      </c>
    </row>
    <row r="15" spans="1:14" ht="14.4" customHeight="1" x14ac:dyDescent="0.3">
      <c r="A15" s="464" t="s">
        <v>428</v>
      </c>
      <c r="B15" s="465" t="s">
        <v>429</v>
      </c>
      <c r="C15" s="466" t="s">
        <v>434</v>
      </c>
      <c r="D15" s="467" t="s">
        <v>531</v>
      </c>
      <c r="E15" s="466" t="s">
        <v>442</v>
      </c>
      <c r="F15" s="467" t="s">
        <v>533</v>
      </c>
      <c r="G15" s="466" t="s">
        <v>443</v>
      </c>
      <c r="H15" s="466" t="s">
        <v>477</v>
      </c>
      <c r="I15" s="466" t="s">
        <v>478</v>
      </c>
      <c r="J15" s="466" t="s">
        <v>479</v>
      </c>
      <c r="K15" s="466" t="s">
        <v>480</v>
      </c>
      <c r="L15" s="468">
        <v>69.850147657706913</v>
      </c>
      <c r="M15" s="468">
        <v>4</v>
      </c>
      <c r="N15" s="469">
        <v>279.40059063082765</v>
      </c>
    </row>
    <row r="16" spans="1:14" ht="14.4" customHeight="1" x14ac:dyDescent="0.3">
      <c r="A16" s="464" t="s">
        <v>428</v>
      </c>
      <c r="B16" s="465" t="s">
        <v>429</v>
      </c>
      <c r="C16" s="466" t="s">
        <v>434</v>
      </c>
      <c r="D16" s="467" t="s">
        <v>531</v>
      </c>
      <c r="E16" s="466" t="s">
        <v>442</v>
      </c>
      <c r="F16" s="467" t="s">
        <v>533</v>
      </c>
      <c r="G16" s="466" t="s">
        <v>443</v>
      </c>
      <c r="H16" s="466" t="s">
        <v>481</v>
      </c>
      <c r="I16" s="466" t="s">
        <v>169</v>
      </c>
      <c r="J16" s="466" t="s">
        <v>482</v>
      </c>
      <c r="K16" s="466"/>
      <c r="L16" s="468">
        <v>47.606839481502007</v>
      </c>
      <c r="M16" s="468">
        <v>4</v>
      </c>
      <c r="N16" s="469">
        <v>190.42735792600803</v>
      </c>
    </row>
    <row r="17" spans="1:14" ht="14.4" customHeight="1" x14ac:dyDescent="0.3">
      <c r="A17" s="464" t="s">
        <v>428</v>
      </c>
      <c r="B17" s="465" t="s">
        <v>429</v>
      </c>
      <c r="C17" s="466" t="s">
        <v>434</v>
      </c>
      <c r="D17" s="467" t="s">
        <v>531</v>
      </c>
      <c r="E17" s="466" t="s">
        <v>442</v>
      </c>
      <c r="F17" s="467" t="s">
        <v>533</v>
      </c>
      <c r="G17" s="466" t="s">
        <v>443</v>
      </c>
      <c r="H17" s="466" t="s">
        <v>483</v>
      </c>
      <c r="I17" s="466" t="s">
        <v>169</v>
      </c>
      <c r="J17" s="466" t="s">
        <v>484</v>
      </c>
      <c r="K17" s="466"/>
      <c r="L17" s="468">
        <v>223.92357731415083</v>
      </c>
      <c r="M17" s="468">
        <v>4</v>
      </c>
      <c r="N17" s="469">
        <v>895.69430925660333</v>
      </c>
    </row>
    <row r="18" spans="1:14" ht="14.4" customHeight="1" x14ac:dyDescent="0.3">
      <c r="A18" s="464" t="s">
        <v>428</v>
      </c>
      <c r="B18" s="465" t="s">
        <v>429</v>
      </c>
      <c r="C18" s="466" t="s">
        <v>434</v>
      </c>
      <c r="D18" s="467" t="s">
        <v>531</v>
      </c>
      <c r="E18" s="466" t="s">
        <v>442</v>
      </c>
      <c r="F18" s="467" t="s">
        <v>533</v>
      </c>
      <c r="G18" s="466" t="s">
        <v>485</v>
      </c>
      <c r="H18" s="466" t="s">
        <v>486</v>
      </c>
      <c r="I18" s="466" t="s">
        <v>487</v>
      </c>
      <c r="J18" s="466" t="s">
        <v>488</v>
      </c>
      <c r="K18" s="466" t="s">
        <v>476</v>
      </c>
      <c r="L18" s="468">
        <v>143.65</v>
      </c>
      <c r="M18" s="468">
        <v>2</v>
      </c>
      <c r="N18" s="469">
        <v>287.3</v>
      </c>
    </row>
    <row r="19" spans="1:14" ht="14.4" customHeight="1" x14ac:dyDescent="0.3">
      <c r="A19" s="464" t="s">
        <v>428</v>
      </c>
      <c r="B19" s="465" t="s">
        <v>429</v>
      </c>
      <c r="C19" s="466" t="s">
        <v>439</v>
      </c>
      <c r="D19" s="467" t="s">
        <v>532</v>
      </c>
      <c r="E19" s="466" t="s">
        <v>442</v>
      </c>
      <c r="F19" s="467" t="s">
        <v>533</v>
      </c>
      <c r="G19" s="466" t="s">
        <v>443</v>
      </c>
      <c r="H19" s="466" t="s">
        <v>489</v>
      </c>
      <c r="I19" s="466" t="s">
        <v>490</v>
      </c>
      <c r="J19" s="466" t="s">
        <v>491</v>
      </c>
      <c r="K19" s="466" t="s">
        <v>492</v>
      </c>
      <c r="L19" s="468">
        <v>729.00296617017466</v>
      </c>
      <c r="M19" s="468">
        <v>2</v>
      </c>
      <c r="N19" s="469">
        <v>1458.0059323403493</v>
      </c>
    </row>
    <row r="20" spans="1:14" ht="14.4" customHeight="1" x14ac:dyDescent="0.3">
      <c r="A20" s="464" t="s">
        <v>428</v>
      </c>
      <c r="B20" s="465" t="s">
        <v>429</v>
      </c>
      <c r="C20" s="466" t="s">
        <v>439</v>
      </c>
      <c r="D20" s="467" t="s">
        <v>532</v>
      </c>
      <c r="E20" s="466" t="s">
        <v>442</v>
      </c>
      <c r="F20" s="467" t="s">
        <v>533</v>
      </c>
      <c r="G20" s="466" t="s">
        <v>443</v>
      </c>
      <c r="H20" s="466" t="s">
        <v>493</v>
      </c>
      <c r="I20" s="466" t="s">
        <v>494</v>
      </c>
      <c r="J20" s="466" t="s">
        <v>495</v>
      </c>
      <c r="K20" s="466" t="s">
        <v>496</v>
      </c>
      <c r="L20" s="468">
        <v>1319.9488149129777</v>
      </c>
      <c r="M20" s="468">
        <v>34</v>
      </c>
      <c r="N20" s="469">
        <v>44878.259707041245</v>
      </c>
    </row>
    <row r="21" spans="1:14" ht="14.4" customHeight="1" x14ac:dyDescent="0.3">
      <c r="A21" s="464" t="s">
        <v>428</v>
      </c>
      <c r="B21" s="465" t="s">
        <v>429</v>
      </c>
      <c r="C21" s="466" t="s">
        <v>439</v>
      </c>
      <c r="D21" s="467" t="s">
        <v>532</v>
      </c>
      <c r="E21" s="466" t="s">
        <v>442</v>
      </c>
      <c r="F21" s="467" t="s">
        <v>533</v>
      </c>
      <c r="G21" s="466" t="s">
        <v>443</v>
      </c>
      <c r="H21" s="466" t="s">
        <v>497</v>
      </c>
      <c r="I21" s="466" t="s">
        <v>498</v>
      </c>
      <c r="J21" s="466" t="s">
        <v>499</v>
      </c>
      <c r="K21" s="466" t="s">
        <v>500</v>
      </c>
      <c r="L21" s="468">
        <v>768.99929962840588</v>
      </c>
      <c r="M21" s="468">
        <v>4</v>
      </c>
      <c r="N21" s="469">
        <v>3075.9971985136235</v>
      </c>
    </row>
    <row r="22" spans="1:14" ht="14.4" customHeight="1" x14ac:dyDescent="0.3">
      <c r="A22" s="464" t="s">
        <v>428</v>
      </c>
      <c r="B22" s="465" t="s">
        <v>429</v>
      </c>
      <c r="C22" s="466" t="s">
        <v>439</v>
      </c>
      <c r="D22" s="467" t="s">
        <v>532</v>
      </c>
      <c r="E22" s="466" t="s">
        <v>442</v>
      </c>
      <c r="F22" s="467" t="s">
        <v>533</v>
      </c>
      <c r="G22" s="466" t="s">
        <v>443</v>
      </c>
      <c r="H22" s="466" t="s">
        <v>501</v>
      </c>
      <c r="I22" s="466" t="s">
        <v>502</v>
      </c>
      <c r="J22" s="466" t="s">
        <v>503</v>
      </c>
      <c r="K22" s="466" t="s">
        <v>504</v>
      </c>
      <c r="L22" s="468">
        <v>667.7561517673945</v>
      </c>
      <c r="M22" s="468">
        <v>38</v>
      </c>
      <c r="N22" s="469">
        <v>25374.733767160993</v>
      </c>
    </row>
    <row r="23" spans="1:14" ht="14.4" customHeight="1" x14ac:dyDescent="0.3">
      <c r="A23" s="464" t="s">
        <v>428</v>
      </c>
      <c r="B23" s="465" t="s">
        <v>429</v>
      </c>
      <c r="C23" s="466" t="s">
        <v>439</v>
      </c>
      <c r="D23" s="467" t="s">
        <v>532</v>
      </c>
      <c r="E23" s="466" t="s">
        <v>442</v>
      </c>
      <c r="F23" s="467" t="s">
        <v>533</v>
      </c>
      <c r="G23" s="466" t="s">
        <v>443</v>
      </c>
      <c r="H23" s="466" t="s">
        <v>505</v>
      </c>
      <c r="I23" s="466" t="s">
        <v>506</v>
      </c>
      <c r="J23" s="466" t="s">
        <v>507</v>
      </c>
      <c r="K23" s="466" t="s">
        <v>508</v>
      </c>
      <c r="L23" s="468">
        <v>909.0445042016031</v>
      </c>
      <c r="M23" s="468">
        <v>36</v>
      </c>
      <c r="N23" s="469">
        <v>32725.602151257714</v>
      </c>
    </row>
    <row r="24" spans="1:14" ht="14.4" customHeight="1" x14ac:dyDescent="0.3">
      <c r="A24" s="464" t="s">
        <v>428</v>
      </c>
      <c r="B24" s="465" t="s">
        <v>429</v>
      </c>
      <c r="C24" s="466" t="s">
        <v>439</v>
      </c>
      <c r="D24" s="467" t="s">
        <v>532</v>
      </c>
      <c r="E24" s="466" t="s">
        <v>442</v>
      </c>
      <c r="F24" s="467" t="s">
        <v>533</v>
      </c>
      <c r="G24" s="466" t="s">
        <v>443</v>
      </c>
      <c r="H24" s="466" t="s">
        <v>509</v>
      </c>
      <c r="I24" s="466" t="s">
        <v>510</v>
      </c>
      <c r="J24" s="466" t="s">
        <v>511</v>
      </c>
      <c r="K24" s="466" t="s">
        <v>512</v>
      </c>
      <c r="L24" s="468">
        <v>468.36196621078227</v>
      </c>
      <c r="M24" s="468">
        <v>50</v>
      </c>
      <c r="N24" s="469">
        <v>23418.098310539113</v>
      </c>
    </row>
    <row r="25" spans="1:14" ht="14.4" customHeight="1" x14ac:dyDescent="0.3">
      <c r="A25" s="464" t="s">
        <v>428</v>
      </c>
      <c r="B25" s="465" t="s">
        <v>429</v>
      </c>
      <c r="C25" s="466" t="s">
        <v>439</v>
      </c>
      <c r="D25" s="467" t="s">
        <v>532</v>
      </c>
      <c r="E25" s="466" t="s">
        <v>442</v>
      </c>
      <c r="F25" s="467" t="s">
        <v>533</v>
      </c>
      <c r="G25" s="466" t="s">
        <v>443</v>
      </c>
      <c r="H25" s="466" t="s">
        <v>513</v>
      </c>
      <c r="I25" s="466" t="s">
        <v>514</v>
      </c>
      <c r="J25" s="466" t="s">
        <v>515</v>
      </c>
      <c r="K25" s="466" t="s">
        <v>516</v>
      </c>
      <c r="L25" s="468">
        <v>270.83999999999997</v>
      </c>
      <c r="M25" s="468">
        <v>9</v>
      </c>
      <c r="N25" s="469">
        <v>2437.56</v>
      </c>
    </row>
    <row r="26" spans="1:14" ht="14.4" customHeight="1" x14ac:dyDescent="0.3">
      <c r="A26" s="464" t="s">
        <v>428</v>
      </c>
      <c r="B26" s="465" t="s">
        <v>429</v>
      </c>
      <c r="C26" s="466" t="s">
        <v>439</v>
      </c>
      <c r="D26" s="467" t="s">
        <v>532</v>
      </c>
      <c r="E26" s="466" t="s">
        <v>442</v>
      </c>
      <c r="F26" s="467" t="s">
        <v>533</v>
      </c>
      <c r="G26" s="466" t="s">
        <v>443</v>
      </c>
      <c r="H26" s="466" t="s">
        <v>517</v>
      </c>
      <c r="I26" s="466" t="s">
        <v>517</v>
      </c>
      <c r="J26" s="466" t="s">
        <v>518</v>
      </c>
      <c r="K26" s="466" t="s">
        <v>519</v>
      </c>
      <c r="L26" s="468">
        <v>573.09999999999991</v>
      </c>
      <c r="M26" s="468">
        <v>2</v>
      </c>
      <c r="N26" s="469">
        <v>1146.1999999999998</v>
      </c>
    </row>
    <row r="27" spans="1:14" ht="14.4" customHeight="1" x14ac:dyDescent="0.3">
      <c r="A27" s="464" t="s">
        <v>428</v>
      </c>
      <c r="B27" s="465" t="s">
        <v>429</v>
      </c>
      <c r="C27" s="466" t="s">
        <v>439</v>
      </c>
      <c r="D27" s="467" t="s">
        <v>532</v>
      </c>
      <c r="E27" s="466" t="s">
        <v>442</v>
      </c>
      <c r="F27" s="467" t="s">
        <v>533</v>
      </c>
      <c r="G27" s="466" t="s">
        <v>443</v>
      </c>
      <c r="H27" s="466" t="s">
        <v>520</v>
      </c>
      <c r="I27" s="466" t="s">
        <v>521</v>
      </c>
      <c r="J27" s="466" t="s">
        <v>522</v>
      </c>
      <c r="K27" s="466" t="s">
        <v>523</v>
      </c>
      <c r="L27" s="468">
        <v>639.00097034677185</v>
      </c>
      <c r="M27" s="468">
        <v>3</v>
      </c>
      <c r="N27" s="469">
        <v>1917.0029110403157</v>
      </c>
    </row>
    <row r="28" spans="1:14" ht="14.4" customHeight="1" x14ac:dyDescent="0.3">
      <c r="A28" s="464" t="s">
        <v>428</v>
      </c>
      <c r="B28" s="465" t="s">
        <v>429</v>
      </c>
      <c r="C28" s="466" t="s">
        <v>439</v>
      </c>
      <c r="D28" s="467" t="s">
        <v>532</v>
      </c>
      <c r="E28" s="466" t="s">
        <v>442</v>
      </c>
      <c r="F28" s="467" t="s">
        <v>533</v>
      </c>
      <c r="G28" s="466" t="s">
        <v>443</v>
      </c>
      <c r="H28" s="466" t="s">
        <v>524</v>
      </c>
      <c r="I28" s="466" t="s">
        <v>525</v>
      </c>
      <c r="J28" s="466" t="s">
        <v>526</v>
      </c>
      <c r="K28" s="466" t="s">
        <v>527</v>
      </c>
      <c r="L28" s="468">
        <v>588.58000000000004</v>
      </c>
      <c r="M28" s="468">
        <v>2</v>
      </c>
      <c r="N28" s="469">
        <v>1177.1600000000001</v>
      </c>
    </row>
    <row r="29" spans="1:14" ht="14.4" customHeight="1" thickBot="1" x14ac:dyDescent="0.35">
      <c r="A29" s="470" t="s">
        <v>428</v>
      </c>
      <c r="B29" s="471" t="s">
        <v>429</v>
      </c>
      <c r="C29" s="472" t="s">
        <v>439</v>
      </c>
      <c r="D29" s="473" t="s">
        <v>532</v>
      </c>
      <c r="E29" s="472" t="s">
        <v>442</v>
      </c>
      <c r="F29" s="473" t="s">
        <v>533</v>
      </c>
      <c r="G29" s="472" t="s">
        <v>443</v>
      </c>
      <c r="H29" s="472" t="s">
        <v>528</v>
      </c>
      <c r="I29" s="472" t="s">
        <v>528</v>
      </c>
      <c r="J29" s="472" t="s">
        <v>529</v>
      </c>
      <c r="K29" s="472" t="s">
        <v>530</v>
      </c>
      <c r="L29" s="474">
        <v>1184.9000000000003</v>
      </c>
      <c r="M29" s="474">
        <v>4</v>
      </c>
      <c r="N29" s="475">
        <v>4739.6000000000013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534</v>
      </c>
      <c r="B5" s="456"/>
      <c r="C5" s="480">
        <v>0</v>
      </c>
      <c r="D5" s="456">
        <v>287.3</v>
      </c>
      <c r="E5" s="480">
        <v>1</v>
      </c>
      <c r="F5" s="457">
        <v>287.3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287.3</v>
      </c>
      <c r="E6" s="488">
        <v>1</v>
      </c>
      <c r="F6" s="489">
        <v>287.3</v>
      </c>
    </row>
    <row r="7" spans="1:6" ht="14.4" customHeight="1" thickBot="1" x14ac:dyDescent="0.35"/>
    <row r="8" spans="1:6" ht="14.4" customHeight="1" thickBot="1" x14ac:dyDescent="0.35">
      <c r="A8" s="490" t="s">
        <v>535</v>
      </c>
      <c r="B8" s="456"/>
      <c r="C8" s="480">
        <v>0</v>
      </c>
      <c r="D8" s="456">
        <v>287.3</v>
      </c>
      <c r="E8" s="480">
        <v>1</v>
      </c>
      <c r="F8" s="457">
        <v>287.3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287.3</v>
      </c>
      <c r="E9" s="488">
        <v>1</v>
      </c>
      <c r="F9" s="489">
        <v>287.3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2015-05-21T19:22:34Z</dcterms:modified>
</cp:coreProperties>
</file>