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Detail'!$A$5:$Q$5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H26" i="419" l="1"/>
  <c r="H25" i="419"/>
  <c r="E26" i="419"/>
  <c r="H28" i="419" l="1"/>
  <c r="H27" i="419"/>
  <c r="E25" i="419"/>
  <c r="H20" i="419"/>
  <c r="H19" i="419"/>
  <c r="H17" i="419"/>
  <c r="H16" i="419"/>
  <c r="H14" i="419"/>
  <c r="H13" i="419"/>
  <c r="H12" i="419"/>
  <c r="H11" i="419"/>
  <c r="AW3" i="418"/>
  <c r="AV3" i="418"/>
  <c r="AU3" i="418"/>
  <c r="AT3" i="418"/>
  <c r="AS3" i="418"/>
  <c r="AR3" i="418"/>
  <c r="AQ3" i="418"/>
  <c r="AP3" i="418"/>
  <c r="H18" i="419" l="1"/>
  <c r="B25" i="419"/>
  <c r="E27" i="419" l="1"/>
  <c r="B26" i="419"/>
  <c r="B27" i="419" s="1"/>
  <c r="E28" i="419"/>
  <c r="A11" i="414"/>
  <c r="A10" i="414"/>
  <c r="A8" i="414"/>
  <c r="A7" i="414"/>
  <c r="F3" i="344" l="1"/>
  <c r="D3" i="344"/>
  <c r="B3" i="344"/>
  <c r="G21" i="419" l="1"/>
  <c r="F21" i="419"/>
  <c r="E21" i="419"/>
  <c r="G20" i="419"/>
  <c r="F20" i="419"/>
  <c r="E20" i="419"/>
  <c r="G19" i="419"/>
  <c r="F19" i="419"/>
  <c r="E19" i="419"/>
  <c r="G17" i="419"/>
  <c r="F17" i="419"/>
  <c r="E17" i="419"/>
  <c r="G16" i="419"/>
  <c r="F16" i="419"/>
  <c r="E16" i="419"/>
  <c r="G14" i="419"/>
  <c r="F14" i="419"/>
  <c r="E14" i="419"/>
  <c r="G13" i="419"/>
  <c r="F13" i="419"/>
  <c r="E13" i="419"/>
  <c r="G12" i="419"/>
  <c r="F12" i="419"/>
  <c r="E12" i="419"/>
  <c r="G11" i="419"/>
  <c r="F11" i="419"/>
  <c r="E11" i="419"/>
  <c r="E18" i="419" l="1"/>
  <c r="E23" i="419"/>
  <c r="G18" i="419"/>
  <c r="F23" i="419"/>
  <c r="G23" i="419"/>
  <c r="F18" i="419"/>
  <c r="E22" i="419"/>
  <c r="F22" i="419"/>
  <c r="G22" i="419"/>
  <c r="M3" i="418"/>
  <c r="D21" i="419" l="1"/>
  <c r="D22" i="419" s="1"/>
  <c r="C21" i="419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C23" i="419"/>
  <c r="D18" i="419"/>
  <c r="D23" i="419"/>
  <c r="C22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H6" i="419" l="1"/>
  <c r="G6" i="419"/>
  <c r="F6" i="419"/>
  <c r="E6" i="419"/>
  <c r="C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9" i="414" s="1"/>
  <c r="C11" i="339"/>
  <c r="H11" i="339" l="1"/>
  <c r="G11" i="339"/>
  <c r="A20" i="414"/>
  <c r="A19" i="414"/>
  <c r="A14" i="414"/>
  <c r="A15" i="414"/>
  <c r="A4" i="414"/>
  <c r="A6" i="339" l="1"/>
  <c r="A5" i="339"/>
  <c r="D4" i="414"/>
  <c r="C15" i="414"/>
  <c r="D18" i="414"/>
  <c r="D15" i="414"/>
  <c r="C18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1" i="414"/>
  <c r="D21" i="414"/>
  <c r="H3" i="390" l="1"/>
  <c r="Q3" i="347"/>
  <c r="S3" i="347"/>
  <c r="U3" i="347"/>
  <c r="F13" i="339"/>
  <c r="E13" i="339"/>
  <c r="E15" i="339" s="1"/>
  <c r="H12" i="339"/>
  <c r="G12" i="339"/>
  <c r="K3" i="390"/>
  <c r="A4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7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<sst xmlns="http://schemas.openxmlformats.org/spreadsheetml/2006/main" count="2434" uniqueCount="834">
  <si>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</si>
  <si>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</si>
  <si>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</si>
  <si>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</si>
  <si>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</si>
  <si>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</si>
  <si>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</si>
  <si>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</si>
  <si>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</si>
  <si>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</si>
  <si>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</si>
  <si>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</si>
  <si>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</si>
  <si>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</si>
  <si>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</si>
  <si>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</si>
  <si>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</si>
  <si>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</si>
  <si>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</si>
  <si>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</si>
  <si>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</si>
  <si>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</si>
  <si>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</si>
  <si>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</si>
  <si>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</si>
  <si>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</si>
  <si>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</si>
  <si>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</si>
  <si>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</si>
  <si>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</si>
  <si>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</si>
  <si>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</si>
  <si>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</si>
  <si>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</si>
  <si>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</si>
  <si>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</si>
  <si>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</si>
  <si>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</si>
  <si>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</si>
  <si>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</si>
  <si>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</si>
  <si>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</si>
  <si>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</si>
  <si>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</si>
  <si>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</si>
  <si>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</si>
  <si>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</si>
  <si>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</si>
  <si>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</si>
  <si>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</si>
  <si>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</si>
  <si>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</si>
  <si>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</si>
  <si>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</si>
  <si>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</si>
  <si>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</si>
  <si>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</si>
  <si>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</si>
  <si>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</si>
  <si>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</si>
  <si>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</si>
  <si>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</si>
  <si>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</si>
  <si>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</si>
  <si>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</si>
  <si>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</si>
  <si>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</si>
  <si>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</si>
  <si>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</si>
  <si>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</si>
  <si>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</si>
  <si>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</si>
  <si>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</si>
  <si>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</si>
  <si>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</si>
  <si>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</si>
  <si>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</si>
  <si>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</si>
  <si>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</si>
  <si>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</si>
  <si>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</si>
  <si>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</si>
  <si>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</si>
  <si>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</si>
  <si>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</si>
  <si>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</si>
  <si>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</si>
  <si>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</si>
  <si>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</si>
  <si>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</si>
  <si>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</si>
  <si>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</si>
  <si>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</si>
  <si>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</si>
  <si>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</si>
  <si>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</si>
  <si>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</si>
  <si>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</si>
  <si>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</si>
  <si>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</si>
  <si>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</si>
  <si>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</si>
  <si>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</si>
  <si>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</si>
  <si>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</si>
  <si>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</si>
  <si>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</si>
  <si>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</si>
  <si>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</si>
  <si>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</si>
  <si>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</si>
  <si>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</si>
  <si>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</si>
  <si>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</si>
  <si>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</si>
  <si>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</si>
  <si>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</si>
  <si>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</si>
  <si>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</si>
  <si>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</si>
  <si>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</si>
  <si>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</si>
  <si>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</si>
  <si>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</si>
  <si>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</si>
  <si>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</si>
  <si>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</si>
  <si>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</si>
  <si>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</si>
  <si>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</si>
  <si>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</si>
  <si>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</si>
  <si>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</si>
  <si>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</si>
  <si>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</si>
  <si>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</si>
  <si>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</si>
  <si>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</si>
  <si>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</si>
  <si>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</si>
  <si>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</si>
  <si>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</si>
  <si>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</si>
  <si>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</si>
  <si>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</si>
  <si>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</si>
  <si>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</si>
  <si>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</si>
  <si>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</si>
  <si>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</si>
  <si>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</si>
  <si>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</si>
  <si>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</si>
  <si>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</si>
  <si>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</si>
  <si>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</si>
  <si>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</si>
  <si>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</si>
  <si>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</si>
  <si>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</si>
  <si>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</si>
  <si>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</si>
  <si>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</si>
  <si>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</si>
  <si>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</si>
  <si>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</si>
  <si>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</si>
  <si>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</si>
  <si>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</si>
  <si>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</si>
  <si>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</si>
  <si>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</si>
  <si>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</si>
  <si>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</si>
  <si>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</si>
  <si>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</si>
  <si>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</si>
  <si>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</si>
  <si>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</si>
  <si>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</si>
  <si>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</si>
  <si>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</si>
  <si>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</si>
  <si>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</si>
  <si>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</si>
  <si>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</si>
  <si>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</si>
  <si>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</si>
  <si>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</si>
  <si>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</si>
  <si>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</si>
  <si>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</si>
  <si>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</si>
  <si>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</si>
  <si>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</si>
  <si>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</si>
  <si>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</si>
  <si>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</si>
  <si>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</si>
  <si>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</si>
  <si>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</si>
  <si>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</si>
  <si>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</si>
  <si>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</si>
  <si>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</si>
  <si>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</si>
  <si>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</si>
  <si>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</si>
  <si>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</si>
  <si>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</si>
  <si>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</si>
  <si>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</si>
  <si>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</si>
  <si>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</si>
  <si>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</si>
  <si>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</si>
  <si>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</si>
  <si>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</si>
  <si>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</si>
  <si>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</si>
  <si>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</si>
  <si>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</si>
  <si>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</si>
  <si>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</si>
  <si>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</si>
  <si>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</si>
  <si>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</si>
  <si>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</si>
  <si>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</si>
  <si>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</si>
  <si>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</si>
  <si>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</si>
  <si>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</si>
  <si>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</si>
  <si>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</si>
  <si>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</si>
  <si>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</si>
  <si>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</si>
  <si>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</si>
  <si>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</si>
  <si>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</si>
  <si>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</si>
  <si>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</si>
  <si>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</si>
  <si>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</si>
  <si>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</si>
  <si>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</si>
  <si>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</si>
  <si>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</si>
  <si>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</si>
  <si>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</si>
  <si>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</si>
  <si>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</si>
  <si>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</si>
  <si>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</si>
  <si>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</si>
  <si>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</si>
  <si>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</si>
  <si>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</si>
  <si>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</si>
  <si>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</si>
  <si>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</si>
  <si>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</si>
  <si>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</si>
  <si>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</si>
  <si>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--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</si>
  <si>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</si>
  <si>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</si>
  <si>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</si>
  <si>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</si>
  <si>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</si>
  <si>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</si>
  <si>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</si>
  <si>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</si>
  <si>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</si>
  <si>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</si>
  <si>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</si>
  <si>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</si>
  <si>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</si>
  <si>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</si>
  <si>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</si>
  <si>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</si>
  <si>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</si>
  <si>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</si>
  <si>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</si>
  <si>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</si>
  <si>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</si>
  <si>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</si>
  <si>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</si>
  <si>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</si>
  <si>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</si>
  <si>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</si>
  <si>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</si>
  <si>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</si>
  <si>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</si>
  <si>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</si>
  <si>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</si>
  <si>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</si>
  <si>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</si>
  <si>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</si>
  <si>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</si>
  <si>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</si>
  <si>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</si>
  <si>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</si>
  <si>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</si>
  <si>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</si>
  <si>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</si>
  <si>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</si>
  <si>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</si>
  <si>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</si>
  <si>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</si>
  <si>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</si>
  <si>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</si>
  <si>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</si>
  <si>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51874003     znalecké posudky, odměny z klinických hodnocení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</si>
  <si>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</si>
  <si>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</si>
  <si>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</si>
  <si>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</si>
  <si>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</si>
  <si>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</si>
  <si>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</si>
  <si>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</si>
  <si>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</si>
  <si>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</si>
  <si>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</si>
  <si>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</si>
  <si>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</si>
  <si>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</si>
  <si>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</si>
  <si>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</si>
  <si>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</si>
  <si>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</si>
  <si>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</si>
  <si>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</si>
  <si>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</si>
  <si>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</si>
  <si>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</si>
  <si>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</si>
  <si>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</si>
  <si>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</si>
  <si>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</si>
  <si>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</si>
  <si>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</si>
  <si>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</si>
  <si>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</si>
  <si>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</si>
  <si>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</si>
  <si>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</si>
  <si>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</si>
  <si>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</si>
  <si>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</si>
  <si>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</si>
  <si>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</si>
  <si>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</si>
  <si>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</si>
  <si>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</si>
  <si>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</si>
  <si>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</si>
  <si>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</si>
  <si>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</si>
  <si>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</si>
  <si>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</si>
  <si>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</si>
  <si>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</si>
  <si>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</si>
  <si>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</si>
  <si>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</si>
  <si>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</si>
  <si>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</si>
  <si>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</si>
  <si>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</si>
  <si>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</si>
  <si>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</si>
  <si>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</si>
  <si>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</si>
  <si>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</si>
  <si>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64924450     poštovné, balné za odeslání</t>
  </si>
  <si>
    <t>64924459     školení, stáže, odb. semináře, konference</t>
  </si>
  <si>
    <t>64925     Služby k pronájmu          FAKTURACE</t>
  </si>
  <si>
    <t>64925449     ost. služby k pronájmům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</si>
  <si>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</si>
  <si>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</si>
  <si>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</si>
  <si>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</si>
  <si>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</si>
  <si>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</si>
  <si>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</si>
  <si>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</si>
  <si>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</si>
  <si>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</si>
  <si>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</si>
  <si>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</si>
  <si>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</si>
  <si>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</si>
  <si>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</si>
  <si>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</si>
  <si>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</si>
  <si>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</si>
  <si>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</si>
  <si>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</si>
  <si>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</si>
  <si>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</si>
  <si>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</si>
  <si>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19</t>
  </si>
  <si>
    <t>Klinika pracovního lékařství</t>
  </si>
  <si>
    <t/>
  </si>
  <si>
    <t>50113013     léky - antibiotika (LEK)</t>
  </si>
  <si>
    <t>Klinika pracovního lékařství Celkem</t>
  </si>
  <si>
    <t>SumaKL</t>
  </si>
  <si>
    <t>1921</t>
  </si>
  <si>
    <t>ambulance</t>
  </si>
  <si>
    <t>ambulance Celkem</t>
  </si>
  <si>
    <t>SumaNS</t>
  </si>
  <si>
    <t>mezeraNS</t>
  </si>
  <si>
    <t>1923</t>
  </si>
  <si>
    <t>ambulance - Centrum očkování</t>
  </si>
  <si>
    <t>ambulance - Centrum očkování Celkem</t>
  </si>
  <si>
    <t>50113001</t>
  </si>
  <si>
    <t>O</t>
  </si>
  <si>
    <t>51366</t>
  </si>
  <si>
    <t>CHLORID SODNÝ 0,9% BRAUN</t>
  </si>
  <si>
    <t>INF SOL 20X100MLPELAH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</si>
  <si>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</si>
  <si>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</si>
  <si>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</si>
  <si>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</si>
  <si>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</si>
  <si>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</si>
  <si>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</si>
  <si>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</si>
  <si>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107981</t>
  </si>
  <si>
    <t>7981</t>
  </si>
  <si>
    <t>NOVALGIN</t>
  </si>
  <si>
    <t>INJ 10X2ML/1000MG</t>
  </si>
  <si>
    <t>158249</t>
  </si>
  <si>
    <t>58249</t>
  </si>
  <si>
    <t>GUAJACURAN « 5 % INJ</t>
  </si>
  <si>
    <t>189212</t>
  </si>
  <si>
    <t>89212</t>
  </si>
  <si>
    <t>INJECTIO PROCAIN.CHLOR.0.2% ARD</t>
  </si>
  <si>
    <t>INJ 1X200ML 0.2%</t>
  </si>
  <si>
    <t>846629</t>
  </si>
  <si>
    <t>100013</t>
  </si>
  <si>
    <t>IBALGIN 400 TBL 24</t>
  </si>
  <si>
    <t xml:space="preserve">POR TBL FLM 24X400MG </t>
  </si>
  <si>
    <t>920304</t>
  </si>
  <si>
    <t>0</t>
  </si>
  <si>
    <t>KL EKG GEL 100G</t>
  </si>
  <si>
    <t>100231</t>
  </si>
  <si>
    <t>231</t>
  </si>
  <si>
    <t>NITROGLYCERIN SLOVAKOFARMA</t>
  </si>
  <si>
    <t>TBL 20X0.5MG</t>
  </si>
  <si>
    <t>102684</t>
  </si>
  <si>
    <t>2684</t>
  </si>
  <si>
    <t>MESOCAIN</t>
  </si>
  <si>
    <t>GEL 1X20GM</t>
  </si>
  <si>
    <t>930035</t>
  </si>
  <si>
    <t>KL GLUCOSUM 75g</t>
  </si>
  <si>
    <t>900321</t>
  </si>
  <si>
    <t>KL PRIPRAVEK</t>
  </si>
  <si>
    <t>51734</t>
  </si>
  <si>
    <t>SUCCICAPTAL</t>
  </si>
  <si>
    <t>POR CPS DUR 15X200MG</t>
  </si>
  <si>
    <t>126816</t>
  </si>
  <si>
    <t>26816</t>
  </si>
  <si>
    <t>TWINRIX ADULT</t>
  </si>
  <si>
    <t>INJSUS 1X1ML+STŘ+SJ</t>
  </si>
  <si>
    <t>147208</t>
  </si>
  <si>
    <t>103543</t>
  </si>
  <si>
    <t>STAMARIL PASTEUR</t>
  </si>
  <si>
    <t>INJ PSULQF1X1DÁV+ST</t>
  </si>
  <si>
    <t>155111</t>
  </si>
  <si>
    <t>55111</t>
  </si>
  <si>
    <t>FSME-IMMUN 0.5ML BAXTER</t>
  </si>
  <si>
    <t>INJ SUS1X0.5ML/DÁV</t>
  </si>
  <si>
    <t>156573</t>
  </si>
  <si>
    <t>56573</t>
  </si>
  <si>
    <t>HAVRIX 1440</t>
  </si>
  <si>
    <t>INJ SUS 1X1ML STŘ</t>
  </si>
  <si>
    <t>186403</t>
  </si>
  <si>
    <t>85170</t>
  </si>
  <si>
    <t>TYPHIM VI(TYPHOIDE POLYS.VACC.)</t>
  </si>
  <si>
    <t>INJ 1X0.5ML/DAV+STR</t>
  </si>
  <si>
    <t>193236</t>
  </si>
  <si>
    <t>NIMENRIX 5 MCG</t>
  </si>
  <si>
    <t>INJ PSO LQF 1+1X1.25ML</t>
  </si>
  <si>
    <t>847178</t>
  </si>
  <si>
    <t>107496</t>
  </si>
  <si>
    <t>VERORAB</t>
  </si>
  <si>
    <t>INJ PSU LQF 1DAV.+0.5ML ST</t>
  </si>
  <si>
    <t>120102</t>
  </si>
  <si>
    <t>BOOSTRIX INJ. STŘÍKAČKA</t>
  </si>
  <si>
    <t>INJ SUS 1X1DÁV</t>
  </si>
  <si>
    <t>847983</t>
  </si>
  <si>
    <t>149868</t>
  </si>
  <si>
    <t>Prevenar 13 inj.sus.1x0.5 ml+SJ</t>
  </si>
  <si>
    <t>845282</t>
  </si>
  <si>
    <t>107133</t>
  </si>
  <si>
    <t>AVAXIM</t>
  </si>
  <si>
    <t>INJ SUS 1X0.5ML-STŘ</t>
  </si>
  <si>
    <t>103073</t>
  </si>
  <si>
    <t>ENGERIX-B 20 MCG</t>
  </si>
  <si>
    <t>INJ SUS 1X1ML/20RG</t>
  </si>
  <si>
    <t>Klinika pracovního lékařství, ambulance</t>
  </si>
  <si>
    <t>PRAC, ambulance - Centrum očkování</t>
  </si>
  <si>
    <t>Lékárna - léčiva</t>
  </si>
  <si>
    <t>19 - Klinika pracovního lékařství</t>
  </si>
  <si>
    <t>1921 - ambulance</t>
  </si>
  <si>
    <t>1923 - ambulance - Centrum očkování</t>
  </si>
  <si>
    <t>HVLP</t>
  </si>
  <si>
    <t>89301192</t>
  </si>
  <si>
    <t>Všeobecná ambulance Celkem</t>
  </si>
  <si>
    <t xml:space="preserve"> </t>
  </si>
  <si>
    <t>* Legenda</t>
  </si>
  <si>
    <t>DIAPZT = Pomůcky pro diabetiky, jejichž název začíná slovem "Pumpa"</t>
  </si>
  <si>
    <t>Boriková Alena</t>
  </si>
  <si>
    <t>Holá Jaroslava</t>
  </si>
  <si>
    <t>Nakládalová Marie</t>
  </si>
  <si>
    <t>Radiměřská Dagmar</t>
  </si>
  <si>
    <t>Vildová Helena</t>
  </si>
  <si>
    <t>Benzathin-fenoxymethylpenicilin</t>
  </si>
  <si>
    <t>49549</t>
  </si>
  <si>
    <t>OSPEN 400</t>
  </si>
  <si>
    <t>SIR 150MLX80KU/ML</t>
  </si>
  <si>
    <t>Dexamethason a antiinfektiva</t>
  </si>
  <si>
    <t>2546</t>
  </si>
  <si>
    <t>MAXITROL</t>
  </si>
  <si>
    <t>OPH GTT SUS 1X5ML</t>
  </si>
  <si>
    <t>2547</t>
  </si>
  <si>
    <t>OPH UNG 1X3,5GM</t>
  </si>
  <si>
    <t>Erythromycin, kombinace</t>
  </si>
  <si>
    <t>17110</t>
  </si>
  <si>
    <t>ZINERYT</t>
  </si>
  <si>
    <t>DRM SOL 1+1X70MLX40MG/12MG/ML</t>
  </si>
  <si>
    <t>Kyanokobalamin</t>
  </si>
  <si>
    <t>643</t>
  </si>
  <si>
    <t>VITAMIN B12 LÉČIVA 1000 MCG</t>
  </si>
  <si>
    <t>INJ SOL 5X1MLX1MG/ML</t>
  </si>
  <si>
    <t>Metronidazol</t>
  </si>
  <si>
    <t>2427</t>
  </si>
  <si>
    <t>ENTIZOL</t>
  </si>
  <si>
    <t>TBL NOB 20X250MG</t>
  </si>
  <si>
    <t>Nifuroxazid</t>
  </si>
  <si>
    <t>155871</t>
  </si>
  <si>
    <t>ERCEFURYL 200 MG CPS.</t>
  </si>
  <si>
    <t>CPS DUR 14X200MG</t>
  </si>
  <si>
    <t>Pentoxifylin</t>
  </si>
  <si>
    <t>155875</t>
  </si>
  <si>
    <t>TRENTAL</t>
  </si>
  <si>
    <t>INF SOL 5X5MLX20MG/ML</t>
  </si>
  <si>
    <t>214616</t>
  </si>
  <si>
    <t>Progvanil, kombinace</t>
  </si>
  <si>
    <t>30690</t>
  </si>
  <si>
    <t>MALARONE</t>
  </si>
  <si>
    <t>TBL FLM 12X250MG/100MG</t>
  </si>
  <si>
    <t>Sodná sůl metamizolu</t>
  </si>
  <si>
    <t>55823</t>
  </si>
  <si>
    <t>NOVALGIN TABLETY</t>
  </si>
  <si>
    <t>TBL FLM 20X500MG</t>
  </si>
  <si>
    <t>Chlorprotixen</t>
  </si>
  <si>
    <t>75428</t>
  </si>
  <si>
    <t>CHLORPROTHIXEN 50 LÉČIVA</t>
  </si>
  <si>
    <t>TBL FLM 30X50MG</t>
  </si>
  <si>
    <t>Metformin</t>
  </si>
  <si>
    <t>191922</t>
  </si>
  <si>
    <t>SIOFOR 1000</t>
  </si>
  <si>
    <t>TBL FLM 60X1000MG</t>
  </si>
  <si>
    <t>Nitrofurantoin</t>
  </si>
  <si>
    <t>154748</t>
  </si>
  <si>
    <t>NITROFURANTOIN - RATIOPHARM 100 MG</t>
  </si>
  <si>
    <t>POR CPS PRO 50X100MG</t>
  </si>
  <si>
    <t>Omeprazol</t>
  </si>
  <si>
    <t>25365</t>
  </si>
  <si>
    <t>HELICID 20 ZENTIVA</t>
  </si>
  <si>
    <t>CPS ETD 28X20MG</t>
  </si>
  <si>
    <t>Pikosíran sodný, kombinace</t>
  </si>
  <si>
    <t>196442</t>
  </si>
  <si>
    <t>CITRAFLEET PRÁŠEK PRO PERORÁLNÍ ROZTOK</t>
  </si>
  <si>
    <t>POR PLV SOL SCC 2</t>
  </si>
  <si>
    <t>Salbutamol</t>
  </si>
  <si>
    <t>58380</t>
  </si>
  <si>
    <t>VENTOLIN ROZTOK K INHALACI</t>
  </si>
  <si>
    <t>INH SOL 1X20MLX5MG/ML</t>
  </si>
  <si>
    <t>Sulfamethoxazol a trimethoprim</t>
  </si>
  <si>
    <t>3377</t>
  </si>
  <si>
    <t>BISEPTOL 480</t>
  </si>
  <si>
    <t>TBL NOB 20X400MG/80MG</t>
  </si>
  <si>
    <t>203954</t>
  </si>
  <si>
    <t>TBL NOB 28X400MG/80MG</t>
  </si>
  <si>
    <t>Atorvastatin</t>
  </si>
  <si>
    <t>93016</t>
  </si>
  <si>
    <t>SORTIS 20 MG</t>
  </si>
  <si>
    <t>TBL FLM 30X20MG</t>
  </si>
  <si>
    <t>93018</t>
  </si>
  <si>
    <t>TBL FLM 100X20MG</t>
  </si>
  <si>
    <t>Klopidogrel</t>
  </si>
  <si>
    <t>149480</t>
  </si>
  <si>
    <t>ZYLLT 75 MG</t>
  </si>
  <si>
    <t>TBL FLM 28X75MG</t>
  </si>
  <si>
    <t>149483</t>
  </si>
  <si>
    <t>TBL FLM 56X75MG</t>
  </si>
  <si>
    <t>Levothyroxin, sodná sůl</t>
  </si>
  <si>
    <t>187425</t>
  </si>
  <si>
    <t>LETROX 50</t>
  </si>
  <si>
    <t>TBL NOB 100X50RG II</t>
  </si>
  <si>
    <t>Ramipril a diuretika</t>
  </si>
  <si>
    <t>125098</t>
  </si>
  <si>
    <t>TRITAZIDE 2,5 MG/12,5 MG</t>
  </si>
  <si>
    <t>TBL NOB 28X2,5MG/12,5MG</t>
  </si>
  <si>
    <t>Telmisartan</t>
  </si>
  <si>
    <t>167666</t>
  </si>
  <si>
    <t>TOLURA 40 MG</t>
  </si>
  <si>
    <t>TBL NOB 28X40MG</t>
  </si>
  <si>
    <t>167667</t>
  </si>
  <si>
    <t>TBL NOB 30X40MG</t>
  </si>
  <si>
    <t>Zolpidem</t>
  </si>
  <si>
    <t>163145</t>
  </si>
  <si>
    <t>HYPNOGEN</t>
  </si>
  <si>
    <t>TBL FLM 30X10MG</t>
  </si>
  <si>
    <t>214604</t>
  </si>
  <si>
    <t>TBL FLM 100X10MG</t>
  </si>
  <si>
    <t>214601</t>
  </si>
  <si>
    <t>TBL FLM 20X10MG</t>
  </si>
  <si>
    <t>Diklofenak</t>
  </si>
  <si>
    <t>75633</t>
  </si>
  <si>
    <t>DICLOFENAC AL RETARD</t>
  </si>
  <si>
    <t>TBL PRO 100X100MG</t>
  </si>
  <si>
    <t>169550</t>
  </si>
  <si>
    <t>METFORMIN MYLAN 1000 MG</t>
  </si>
  <si>
    <t>TBL FLM 90X1000MG</t>
  </si>
  <si>
    <t>Metoprolol</t>
  </si>
  <si>
    <t>46980</t>
  </si>
  <si>
    <t>BETALOC SR 200 MG</t>
  </si>
  <si>
    <t>TBL PRO 100X200MG</t>
  </si>
  <si>
    <t>58042</t>
  </si>
  <si>
    <t>BETALOC ZOK 200 MG</t>
  </si>
  <si>
    <t>Telmisartan a diuretika</t>
  </si>
  <si>
    <t>26578</t>
  </si>
  <si>
    <t>MICARDISPLUS 80 MG/12,5 MG</t>
  </si>
  <si>
    <t>TBL NOB 28X80MG/12,5MG</t>
  </si>
  <si>
    <t>Všeobecná ambulance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</si>
  <si>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</si>
  <si>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</si>
  <si>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</si>
  <si>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C09CA07 - Telmisartan</t>
  </si>
  <si>
    <t>C09BA05 - Ramipril a diuretika</t>
  </si>
  <si>
    <t>H03AA01 - Levothyroxin, sodná sůl</t>
  </si>
  <si>
    <t>C10AA05 - Atorvastatin</t>
  </si>
  <si>
    <t>R03AC02 - Salbutamol</t>
  </si>
  <si>
    <t>B01AC04 - Klopidogrel</t>
  </si>
  <si>
    <t>A10BA02 - Metformin</t>
  </si>
  <si>
    <t>A10BA02</t>
  </si>
  <si>
    <t>R03AC02</t>
  </si>
  <si>
    <t>B01AC04</t>
  </si>
  <si>
    <t>C09BA05</t>
  </si>
  <si>
    <t>C09CA07</t>
  </si>
  <si>
    <t>C10AA05</t>
  </si>
  <si>
    <t>H03AA01</t>
  </si>
  <si>
    <t>Přehled plnění PL - Preskripce léčivých přípravků - orientační přehled</t>
  </si>
  <si>
    <t>1922</t>
  </si>
  <si>
    <t>ambulance - péče o zaměstnance FNO</t>
  </si>
  <si>
    <t>ambulance - péče o zaměstnance FNO Celkem</t>
  </si>
  <si>
    <t>ZA318</t>
  </si>
  <si>
    <t>Náplast transpore 1,25 cm x 9,14 m 1527-0</t>
  </si>
  <si>
    <t>ZA446</t>
  </si>
  <si>
    <t>Vata buničitá přířezy 20 x 30 cm 1230200129</t>
  </si>
  <si>
    <t>ZA544</t>
  </si>
  <si>
    <t>Krytí inadine nepřilnavé 5,0 x 5,0 cm 1/10 SYS01481EE</t>
  </si>
  <si>
    <t>ZB404</t>
  </si>
  <si>
    <t>Náplast cosmos 8 cm x 1 m 5403353</t>
  </si>
  <si>
    <t>ZC100</t>
  </si>
  <si>
    <t>Vata buničitá dělená 2 role / 500 ks 40 x 50 mm 1230200310</t>
  </si>
  <si>
    <t>ZA788</t>
  </si>
  <si>
    <t>Stříkačka injekční 2-dílná 20 ml L Inject Solo 4606205V</t>
  </si>
  <si>
    <t>ZB724</t>
  </si>
  <si>
    <t>Kapilára sedimentační kalibrovaná 727111</t>
  </si>
  <si>
    <t>ZB754</t>
  </si>
  <si>
    <t>Zkumavka černá 2 ml 454073</t>
  </si>
  <si>
    <t>ZB756</t>
  </si>
  <si>
    <t>Zkumavka 3 ml K3 edta fialová 454086</t>
  </si>
  <si>
    <t>ZB761</t>
  </si>
  <si>
    <t>Zkumavka červená 4 ml 454092</t>
  </si>
  <si>
    <t>ZB763</t>
  </si>
  <si>
    <t>Zkumavka červená 9 ml 455092</t>
  </si>
  <si>
    <t>ZB771</t>
  </si>
  <si>
    <t>Držák jehly základní 450201</t>
  </si>
  <si>
    <t>ZB774</t>
  </si>
  <si>
    <t>Zkumavka červená 5 ml gel 456071</t>
  </si>
  <si>
    <t>ZB775</t>
  </si>
  <si>
    <t>Zkumavka koagulace 4 ml modrá 454329</t>
  </si>
  <si>
    <t>ZB777</t>
  </si>
  <si>
    <t>Zkumavka červená 4 ml gel 454071</t>
  </si>
  <si>
    <t>ZD903</t>
  </si>
  <si>
    <t>Kontejner+ lopatka 30 ml nesterilní FLME25133</t>
  </si>
  <si>
    <t>ZI179</t>
  </si>
  <si>
    <t>Zkumavka s mediem+ flovakovaný tampon eSwab růžový 490CE.A</t>
  </si>
  <si>
    <t>ZI182</t>
  </si>
  <si>
    <t>Zkumavka + aplikátor s chem.stabilizátorem UriSwab žlutá 802CE.A</t>
  </si>
  <si>
    <t>ZG466</t>
  </si>
  <si>
    <t>Náústek papírový pro spirometr 26/24 flowscreen bal. á 100 ks 400847690</t>
  </si>
  <si>
    <t>ZA715</t>
  </si>
  <si>
    <t>Set infuzní intrafix primeline classic 150 cm 4062957</t>
  </si>
  <si>
    <t>ZA360</t>
  </si>
  <si>
    <t>Jehla sterican 0,5 x 25 mm oranžová 9186158</t>
  </si>
  <si>
    <t>ZB556</t>
  </si>
  <si>
    <t>Jehla injekční 1,2 x 40 mm růžová 4665120</t>
  </si>
  <si>
    <t>ZB768</t>
  </si>
  <si>
    <t>Jehla vakuová 216/38 mm zelená 450076</t>
  </si>
  <si>
    <t>ZM293</t>
  </si>
  <si>
    <t>Rukavice nitril sempercare bez p. L bal. á 200 ks 30804</t>
  </si>
  <si>
    <t>DG211</t>
  </si>
  <si>
    <t>HEPTAPHAN, DIAG.PROUZKY 50 ks</t>
  </si>
  <si>
    <t>396404</t>
  </si>
  <si>
    <t>-Zinek práškový k likvidaci rtuti 25g</t>
  </si>
  <si>
    <t>ZA547</t>
  </si>
  <si>
    <t>Krytí inadine nepřilnavé 9,5 x 9,5 cm 1/10 SYS01512EE</t>
  </si>
  <si>
    <t>ZA789</t>
  </si>
  <si>
    <t>Stříkačka injekční 2-dílná 2 ml L Inject Solo 4606027V</t>
  </si>
  <si>
    <t>ZF159</t>
  </si>
  <si>
    <t>Nádoba na kontaminovaný odpad 1 l 15-0002</t>
  </si>
  <si>
    <t>ZG515</t>
  </si>
  <si>
    <t>Zkumavka močová vacuette 10,5 ml bal. á 50 ks 455007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</si>
  <si>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</si>
  <si>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</si>
  <si>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</si>
  <si>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</si>
  <si>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</si>
  <si>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</si>
  <si>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</si>
  <si>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</si>
  <si>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</si>
  <si>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</si>
  <si>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</si>
  <si>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</si>
  <si>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PRAC, ambulance - péče o zaměstnance FNO</t>
  </si>
  <si>
    <t>Spotřeba zdravotnického materiálu - orientační přehled</t>
  </si>
  <si>
    <t>ON Data</t>
  </si>
  <si>
    <t>401 - Pracoviště pracovního lékařství</t>
  </si>
  <si>
    <t>902 - Samostatné pracoviště fyzioterapeutů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</si>
  <si>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</si>
  <si>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</si>
  <si>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</si>
  <si>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Fialová Jarmila</t>
  </si>
  <si>
    <t>Radiměřský Karel</t>
  </si>
  <si>
    <t>Zdravotní výkony vykázané na pracovišti v rámci ambulantní péče dle lékařů *</t>
  </si>
  <si>
    <t>401</t>
  </si>
  <si>
    <t>1</t>
  </si>
  <si>
    <t>0000498</t>
  </si>
  <si>
    <t>MAGNESIUM SULFURICUM BIOTIKA 10%</t>
  </si>
  <si>
    <t>0000499</t>
  </si>
  <si>
    <t>MAGNESIUM SULFURICUM BIOTIKA 20%</t>
  </si>
  <si>
    <t>0000527</t>
  </si>
  <si>
    <t>NATRIUM SALICYLICUM BIOTIKA</t>
  </si>
  <si>
    <t>0000610</t>
  </si>
  <si>
    <t>SYNTOPHYLLIN</t>
  </si>
  <si>
    <t>0007981</t>
  </si>
  <si>
    <t>NOVALGIN INJEKCE</t>
  </si>
  <si>
    <t>0058249</t>
  </si>
  <si>
    <t>GUAJACURAN 5%</t>
  </si>
  <si>
    <t>0058712</t>
  </si>
  <si>
    <t>0083947</t>
  </si>
  <si>
    <t>0089212</t>
  </si>
  <si>
    <t>INJECTIO PROCAINII CHLORATI 0,2% ARDEAPHARMA</t>
  </si>
  <si>
    <t>0107295</t>
  </si>
  <si>
    <t>0.9% SODIUM CHLORIDE IN WATER FOR INJECTION FRESEN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</si>
  <si>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</si>
  <si>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</si>
  <si>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</si>
  <si>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</si>
  <si>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</si>
  <si>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</si>
  <si>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</si>
  <si>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</si>
  <si>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PROHLÍDKA OSOBY DISPENZARIZOVANÉ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</si>
  <si>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</si>
  <si>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</si>
  <si>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</si>
  <si>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</si>
  <si>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</si>
  <si>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</si>
  <si>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12130</t>
  </si>
  <si>
    <t>VODNÍ CHLADOVÝ POKUS</t>
  </si>
  <si>
    <t>12230</t>
  </si>
  <si>
    <t>21115</t>
  </si>
  <si>
    <t>FYZIKÁLNÍ TERAPIE III</t>
  </si>
  <si>
    <t>41023</t>
  </si>
  <si>
    <t>KONTROLNÍ VYŠETŘENÍ PRACOVNÍM LÉKAŘEM</t>
  </si>
  <si>
    <t>09547</t>
  </si>
  <si>
    <t>REGULAČNÍ POPLATEK -- POJIŠTĚNEC OD ÚHRADY POPLATK</t>
  </si>
  <si>
    <t>25213</t>
  </si>
  <si>
    <t>SPIROMETRIE (OBVYKLE METODOU PRŮTOK - OBJEM)</t>
  </si>
  <si>
    <t>09543</t>
  </si>
  <si>
    <t>Signalni kod</t>
  </si>
  <si>
    <t>09119</t>
  </si>
  <si>
    <t xml:space="preserve">ODBĚR KRVE ZE ŽÍLY U DOSPĚLÉHO NEBO DÍTĚTE NAD 10 </t>
  </si>
  <si>
    <t>09233</t>
  </si>
  <si>
    <t>INJEKČNÍ OKRSKOVÁ ANESTÉZIE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</si>
  <si>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</si>
  <si>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</si>
  <si>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</si>
  <si>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</si>
  <si>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</si>
  <si>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</si>
  <si>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</si>
  <si>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</si>
  <si>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</si>
  <si>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</si>
  <si>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</si>
  <si>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</si>
  <si>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</si>
  <si>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</si>
  <si>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12232</t>
  </si>
  <si>
    <t>41021</t>
  </si>
  <si>
    <t>KOMPLEXNÍ VYŠETŘENÍ PRACOVNÍM LÉKAŘEM</t>
  </si>
  <si>
    <t>41040</t>
  </si>
  <si>
    <t>POSOUZENÍ ZDRAVOTNÍHO STAVU Z HLEDISKA PROFESIONÁL</t>
  </si>
  <si>
    <t>41050</t>
  </si>
  <si>
    <t>PRSTOVÁ PLETYSMOGRAFIE ZÁTĚŽOVÁ</t>
  </si>
  <si>
    <t>902</t>
  </si>
  <si>
    <t>Zdravotní výkony + ZUM + ZULP vykázané na pracovišti v rámci ambulantní péče - orientační přehled</t>
  </si>
  <si>
    <t>01 - I. interní klinika - kardiologická</t>
  </si>
  <si>
    <t>03 - III. interní klinika - nefrologická, revmatologická a endokrinologická</t>
  </si>
  <si>
    <t>05 - II. chirurgická klinika - cévně-transplantační</t>
  </si>
  <si>
    <t>06 - Neurochirurgická klinika</t>
  </si>
  <si>
    <t>16 - Klinika plicních nemocí a tuberkulózy</t>
  </si>
  <si>
    <t>17 - Neurologická klinika</t>
  </si>
  <si>
    <t>01</t>
  </si>
  <si>
    <t>03</t>
  </si>
  <si>
    <t>05</t>
  </si>
  <si>
    <t>06</t>
  </si>
  <si>
    <t>16</t>
  </si>
  <si>
    <t>17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</si>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</sst>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18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1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0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59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0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7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3" xfId="0" applyNumberFormat="1" applyFont="1" applyFill="1" applyBorder="1"/>
    <xf numFmtId="3" fontId="54" fillId="8" borderId="74" xfId="0" applyNumberFormat="1" applyFont="1" applyFill="1" applyBorder="1"/>
    <xf numFmtId="3" fontId="54" fillId="8" borderId="73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40" fillId="2" borderId="78" xfId="0" applyFont="1" applyFill="1" applyBorder="1" applyAlignment="1">
      <alignment horizontal="center" vertical="center"/>
    </xf>
    <xf numFmtId="0" fontId="56" fillId="2" borderId="81" xfId="0" applyFont="1" applyFill="1" applyBorder="1" applyAlignment="1">
      <alignment horizontal="center" vertical="center" wrapText="1"/>
    </xf>
    <xf numFmtId="0" fontId="40" fillId="2" borderId="83" xfId="0" applyFont="1" applyFill="1" applyBorder="1" applyAlignment="1"/>
    <xf numFmtId="0" fontId="40" fillId="2" borderId="85" xfId="0" applyFont="1" applyFill="1" applyBorder="1" applyAlignment="1">
      <alignment horizontal="left" indent="1"/>
    </xf>
    <xf numFmtId="0" fontId="40" fillId="2" borderId="91" xfId="0" applyFont="1" applyFill="1" applyBorder="1" applyAlignment="1">
      <alignment horizontal="left" indent="1"/>
    </xf>
    <xf numFmtId="0" fontId="40" fillId="4" borderId="83" xfId="0" applyFont="1" applyFill="1" applyBorder="1" applyAlignment="1"/>
    <xf numFmtId="0" fontId="40" fillId="4" borderId="85" xfId="0" applyFont="1" applyFill="1" applyBorder="1" applyAlignment="1">
      <alignment horizontal="left" indent="1"/>
    </xf>
    <xf numFmtId="0" fontId="40" fillId="4" borderId="96" xfId="0" applyFont="1" applyFill="1" applyBorder="1" applyAlignment="1">
      <alignment horizontal="left" indent="1"/>
    </xf>
    <xf numFmtId="0" fontId="33" fillId="2" borderId="85" xfId="0" quotePrefix="1" applyFont="1" applyFill="1" applyBorder="1" applyAlignment="1">
      <alignment horizontal="left" indent="2"/>
    </xf>
    <xf numFmtId="0" fontId="33" fillId="2" borderId="91" xfId="0" quotePrefix="1" applyFont="1" applyFill="1" applyBorder="1" applyAlignment="1">
      <alignment horizontal="left" indent="2"/>
    </xf>
    <xf numFmtId="0" fontId="40" fillId="2" borderId="83" xfId="0" applyFont="1" applyFill="1" applyBorder="1" applyAlignment="1">
      <alignment horizontal="left" indent="1"/>
    </xf>
    <xf numFmtId="0" fontId="40" fillId="2" borderId="96" xfId="0" applyFont="1" applyFill="1" applyBorder="1" applyAlignment="1">
      <alignment horizontal="left" indent="1"/>
    </xf>
    <xf numFmtId="0" fontId="40" fillId="4" borderId="91" xfId="0" applyFont="1" applyFill="1" applyBorder="1" applyAlignment="1">
      <alignment horizontal="left" indent="1"/>
    </xf>
    <xf numFmtId="0" fontId="33" fillId="0" borderId="101" xfId="0" applyFont="1" applyBorder="1"/>
    <xf numFmtId="3" fontId="33" fillId="0" borderId="101" xfId="0" applyNumberFormat="1" applyFont="1" applyBorder="1"/>
    <xf numFmtId="0" fontId="40" fillId="4" borderId="75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0" xfId="0" applyNumberFormat="1" applyFont="1" applyFill="1" applyBorder="1" applyAlignment="1">
      <alignment horizontal="center" vertical="center"/>
    </xf>
    <xf numFmtId="3" fontId="56" fillId="2" borderId="98" xfId="0" applyNumberFormat="1" applyFont="1" applyFill="1" applyBorder="1" applyAlignment="1">
      <alignment horizontal="center" vertical="center" wrapText="1"/>
    </xf>
    <xf numFmtId="173" fontId="40" fillId="4" borderId="84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0" borderId="86" xfId="0" applyNumberFormat="1" applyFont="1" applyBorder="1"/>
    <xf numFmtId="173" fontId="33" fillId="0" borderId="88" xfId="0" applyNumberFormat="1" applyFont="1" applyBorder="1"/>
    <xf numFmtId="173" fontId="40" fillId="0" borderId="97" xfId="0" applyNumberFormat="1" applyFont="1" applyBorder="1"/>
    <xf numFmtId="173" fontId="33" fillId="0" borderId="81" xfId="0" applyNumberFormat="1" applyFont="1" applyBorder="1"/>
    <xf numFmtId="173" fontId="40" fillId="2" borderId="99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0" borderId="92" xfId="0" applyNumberFormat="1" applyFont="1" applyBorder="1"/>
    <xf numFmtId="173" fontId="33" fillId="0" borderId="94" xfId="0" applyNumberFormat="1" applyFont="1" applyBorder="1"/>
    <xf numFmtId="173" fontId="40" fillId="0" borderId="84" xfId="0" applyNumberFormat="1" applyFont="1" applyBorder="1"/>
    <xf numFmtId="173" fontId="33" fillId="0" borderId="78" xfId="0" applyNumberFormat="1" applyFont="1" applyBorder="1"/>
    <xf numFmtId="174" fontId="40" fillId="2" borderId="84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40" fillId="0" borderId="86" xfId="0" applyNumberFormat="1" applyFont="1" applyBorder="1"/>
    <xf numFmtId="174" fontId="33" fillId="0" borderId="88" xfId="0" applyNumberFormat="1" applyFont="1" applyBorder="1"/>
    <xf numFmtId="174" fontId="40" fillId="0" borderId="92" xfId="0" applyNumberFormat="1" applyFont="1" applyBorder="1"/>
    <xf numFmtId="174" fontId="33" fillId="0" borderId="94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4" xfId="0" applyNumberFormat="1" applyFont="1" applyFill="1" applyBorder="1" applyAlignment="1">
      <alignment horizontal="center"/>
    </xf>
    <xf numFmtId="175" fontId="40" fillId="0" borderId="92" xfId="0" applyNumberFormat="1" applyFont="1" applyBorder="1"/>
    <xf numFmtId="0" fontId="32" fillId="2" borderId="108" xfId="74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89" xfId="0" applyFont="1" applyFill="1" applyBorder="1"/>
    <xf numFmtId="0" fontId="33" fillId="0" borderId="90" xfId="0" applyFont="1" applyBorder="1" applyAlignment="1"/>
    <xf numFmtId="9" fontId="33" fillId="0" borderId="88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1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6" xfId="0" applyNumberFormat="1" applyFont="1" applyBorder="1"/>
    <xf numFmtId="9" fontId="33" fillId="0" borderId="88" xfId="0" applyNumberFormat="1" applyFont="1" applyBorder="1"/>
    <xf numFmtId="0" fontId="41" fillId="0" borderId="101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8" xfId="81" applyFont="1" applyFill="1" applyBorder="1" applyAlignment="1">
      <alignment horizontal="center"/>
    </xf>
    <xf numFmtId="0" fontId="32" fillId="2" borderId="105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2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2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1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3" fontId="3" fillId="2" borderId="99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6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09" xfId="26" applyNumberFormat="1" applyFont="1" applyFill="1" applyBorder="1" applyAlignment="1">
      <alignment horizontal="center"/>
    </xf>
    <xf numFmtId="3" fontId="32" fillId="2" borderId="101" xfId="26" applyNumberFormat="1" applyFont="1" applyFill="1" applyBorder="1" applyAlignment="1">
      <alignment horizontal="center"/>
    </xf>
    <xf numFmtId="3" fontId="32" fillId="2" borderId="76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5" xfId="0" applyNumberFormat="1" applyFont="1" applyFill="1" applyBorder="1" applyAlignment="1">
      <alignment horizontal="center" vertical="top"/>
    </xf>
    <xf numFmtId="0" fontId="32" fillId="2" borderId="75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3" xfId="0" applyNumberFormat="1" applyFont="1" applyFill="1" applyBorder="1" applyAlignment="1">
      <alignment horizontal="right" vertical="top"/>
    </xf>
    <xf numFmtId="3" fontId="34" fillId="9" borderId="114" xfId="0" applyNumberFormat="1" applyFont="1" applyFill="1" applyBorder="1" applyAlignment="1">
      <alignment horizontal="right" vertical="top"/>
    </xf>
    <xf numFmtId="176" fontId="34" fillId="9" borderId="115" xfId="0" applyNumberFormat="1" applyFont="1" applyFill="1" applyBorder="1" applyAlignment="1">
      <alignment horizontal="right" vertical="top"/>
    </xf>
    <xf numFmtId="3" fontId="34" fillId="0" borderId="113" xfId="0" applyNumberFormat="1" applyFont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6" fillId="9" borderId="118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0" fontId="36" fillId="9" borderId="120" xfId="0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0" fontId="34" fillId="9" borderId="115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176" fontId="36" fillId="9" borderId="120" xfId="0" applyNumberFormat="1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0" fontId="36" fillId="0" borderId="124" xfId="0" applyFont="1" applyBorder="1" applyAlignment="1">
      <alignment horizontal="right" vertical="top"/>
    </xf>
    <xf numFmtId="176" fontId="36" fillId="9" borderId="125" xfId="0" applyNumberFormat="1" applyFont="1" applyFill="1" applyBorder="1" applyAlignment="1">
      <alignment horizontal="right" vertical="top"/>
    </xf>
    <xf numFmtId="0" fontId="38" fillId="10" borderId="112" xfId="0" applyFont="1" applyFill="1" applyBorder="1" applyAlignment="1">
      <alignment vertical="top"/>
    </xf>
    <xf numFmtId="0" fontId="38" fillId="10" borderId="112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 indent="6"/>
    </xf>
    <xf numFmtId="0" fontId="38" fillId="10" borderId="112" xfId="0" applyFont="1" applyFill="1" applyBorder="1" applyAlignment="1">
      <alignment vertical="top" indent="8"/>
    </xf>
    <xf numFmtId="0" fontId="39" fillId="10" borderId="117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6"/>
    </xf>
    <xf numFmtId="0" fontId="39" fillId="10" borderId="117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/>
    </xf>
    <xf numFmtId="0" fontId="33" fillId="10" borderId="112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6" xfId="53" applyNumberFormat="1" applyFont="1" applyFill="1" applyBorder="1" applyAlignment="1">
      <alignment horizontal="left"/>
    </xf>
    <xf numFmtId="164" fontId="32" fillId="2" borderId="127" xfId="53" applyNumberFormat="1" applyFont="1" applyFill="1" applyBorder="1" applyAlignment="1">
      <alignment horizontal="left"/>
    </xf>
    <xf numFmtId="164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7" xfId="0" applyFont="1" applyFill="1" applyBorder="1"/>
    <xf numFmtId="0" fontId="33" fillId="0" borderId="78" xfId="0" applyFont="1" applyFill="1" applyBorder="1"/>
    <xf numFmtId="164" fontId="33" fillId="0" borderId="78" xfId="0" applyNumberFormat="1" applyFont="1" applyFill="1" applyBorder="1"/>
    <xf numFmtId="164" fontId="33" fillId="0" borderId="78" xfId="0" applyNumberFormat="1" applyFont="1" applyFill="1" applyBorder="1" applyAlignment="1">
      <alignment horizontal="right"/>
    </xf>
    <xf numFmtId="3" fontId="33" fillId="0" borderId="78" xfId="0" applyNumberFormat="1" applyFont="1" applyFill="1" applyBorder="1"/>
    <xf numFmtId="3" fontId="33" fillId="0" borderId="79" xfId="0" applyNumberFormat="1" applyFont="1" applyFill="1" applyBorder="1"/>
    <xf numFmtId="0" fontId="33" fillId="0" borderId="87" xfId="0" applyFont="1" applyFill="1" applyBorder="1"/>
    <xf numFmtId="0" fontId="33" fillId="0" borderId="88" xfId="0" applyFont="1" applyFill="1" applyBorder="1"/>
    <xf numFmtId="164" fontId="33" fillId="0" borderId="88" xfId="0" applyNumberFormat="1" applyFont="1" applyFill="1" applyBorder="1"/>
    <xf numFmtId="164" fontId="33" fillId="0" borderId="88" xfId="0" applyNumberFormat="1" applyFont="1" applyFill="1" applyBorder="1" applyAlignment="1">
      <alignment horizontal="right"/>
    </xf>
    <xf numFmtId="3" fontId="33" fillId="0" borderId="88" xfId="0" applyNumberFormat="1" applyFont="1" applyFill="1" applyBorder="1"/>
    <xf numFmtId="3" fontId="33" fillId="0" borderId="89" xfId="0" applyNumberFormat="1" applyFont="1" applyFill="1" applyBorder="1"/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3" fillId="2" borderId="126" xfId="79" applyFont="1" applyFill="1" applyBorder="1" applyAlignment="1">
      <alignment horizontal="left"/>
    </xf>
    <xf numFmtId="3" fontId="3" fillId="2" borderId="94" xfId="80" applyNumberFormat="1" applyFont="1" applyFill="1" applyBorder="1"/>
    <xf numFmtId="3" fontId="3" fillId="2" borderId="95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3" fillId="0" borderId="78" xfId="0" applyNumberFormat="1" applyFont="1" applyFill="1" applyBorder="1"/>
    <xf numFmtId="9" fontId="33" fillId="0" borderId="79" xfId="0" applyNumberFormat="1" applyFont="1" applyFill="1" applyBorder="1"/>
    <xf numFmtId="9" fontId="33" fillId="0" borderId="88" xfId="0" applyNumberFormat="1" applyFont="1" applyFill="1" applyBorder="1"/>
    <xf numFmtId="9" fontId="33" fillId="0" borderId="89" xfId="0" applyNumberFormat="1" applyFont="1" applyFill="1" applyBorder="1"/>
    <xf numFmtId="9" fontId="33" fillId="0" borderId="81" xfId="0" applyNumberFormat="1" applyFont="1" applyFill="1" applyBorder="1"/>
    <xf numFmtId="9" fontId="33" fillId="0" borderId="82" xfId="0" applyNumberFormat="1" applyFont="1" applyFill="1" applyBorder="1"/>
    <xf numFmtId="0" fontId="40" fillId="0" borderId="108" xfId="0" applyFont="1" applyFill="1" applyBorder="1"/>
    <xf numFmtId="0" fontId="40" fillId="0" borderId="106" xfId="0" applyFont="1" applyFill="1" applyBorder="1" applyAlignment="1">
      <alignment horizontal="left" indent="1"/>
    </xf>
    <xf numFmtId="0" fontId="40" fillId="0" borderId="107" xfId="0" applyFont="1" applyFill="1" applyBorder="1" applyAlignment="1">
      <alignment horizontal="left" indent="1"/>
    </xf>
    <xf numFmtId="9" fontId="33" fillId="0" borderId="100" xfId="0" applyNumberFormat="1" applyFont="1" applyFill="1" applyBorder="1"/>
    <xf numFmtId="9" fontId="33" fillId="0" borderId="90" xfId="0" applyNumberFormat="1" applyFont="1" applyFill="1" applyBorder="1"/>
    <xf numFmtId="9" fontId="33" fillId="0" borderId="98" xfId="0" applyNumberFormat="1" applyFont="1" applyFill="1" applyBorder="1"/>
    <xf numFmtId="3" fontId="33" fillId="0" borderId="77" xfId="0" applyNumberFormat="1" applyFont="1" applyFill="1" applyBorder="1"/>
    <xf numFmtId="3" fontId="33" fillId="0" borderId="87" xfId="0" applyNumberFormat="1" applyFont="1" applyFill="1" applyBorder="1"/>
    <xf numFmtId="3" fontId="33" fillId="0" borderId="80" xfId="0" applyNumberFormat="1" applyFont="1" applyFill="1" applyBorder="1"/>
    <xf numFmtId="9" fontId="33" fillId="0" borderId="104" xfId="0" applyNumberFormat="1" applyFont="1" applyFill="1" applyBorder="1"/>
    <xf numFmtId="9" fontId="33" fillId="0" borderId="102" xfId="0" applyNumberFormat="1" applyFont="1" applyFill="1" applyBorder="1"/>
    <xf numFmtId="9" fontId="33" fillId="0" borderId="103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8" xfId="0" applyFont="1" applyFill="1" applyBorder="1"/>
    <xf numFmtId="0" fontId="40" fillId="10" borderId="106" xfId="0" applyFont="1" applyFill="1" applyBorder="1"/>
    <xf numFmtId="0" fontId="40" fillId="10" borderId="107" xfId="0" applyFont="1" applyFill="1" applyBorder="1"/>
    <xf numFmtId="0" fontId="3" fillId="2" borderId="94" xfId="80" applyFont="1" applyFill="1" applyBorder="1"/>
    <xf numFmtId="3" fontId="33" fillId="0" borderId="104" xfId="0" applyNumberFormat="1" applyFont="1" applyFill="1" applyBorder="1"/>
    <xf numFmtId="3" fontId="33" fillId="0" borderId="102" xfId="0" applyNumberFormat="1" applyFont="1" applyFill="1" applyBorder="1"/>
    <xf numFmtId="3" fontId="33" fillId="0" borderId="103" xfId="0" applyNumberFormat="1" applyFont="1" applyFill="1" applyBorder="1"/>
    <xf numFmtId="0" fontId="33" fillId="0" borderId="108" xfId="0" applyFont="1" applyFill="1" applyBorder="1"/>
    <xf numFmtId="0" fontId="33" fillId="0" borderId="106" xfId="0" applyFont="1" applyFill="1" applyBorder="1"/>
    <xf numFmtId="0" fontId="33" fillId="0" borderId="107" xfId="0" applyFont="1" applyFill="1" applyBorder="1"/>
    <xf numFmtId="3" fontId="33" fillId="0" borderId="100" xfId="0" applyNumberFormat="1" applyFont="1" applyFill="1" applyBorder="1"/>
    <xf numFmtId="3" fontId="33" fillId="0" borderId="90" xfId="0" applyNumberFormat="1" applyFont="1" applyFill="1" applyBorder="1"/>
    <xf numFmtId="3" fontId="33" fillId="0" borderId="98" xfId="0" applyNumberFormat="1" applyFont="1" applyFill="1" applyBorder="1"/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" fillId="2" borderId="131" xfId="80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33" fillId="0" borderId="136" xfId="0" applyFont="1" applyFill="1" applyBorder="1"/>
    <xf numFmtId="0" fontId="33" fillId="0" borderId="137" xfId="0" applyFont="1" applyFill="1" applyBorder="1"/>
    <xf numFmtId="0" fontId="33" fillId="0" borderId="137" xfId="0" applyFont="1" applyFill="1" applyBorder="1" applyAlignment="1">
      <alignment horizontal="right"/>
    </xf>
    <xf numFmtId="0" fontId="33" fillId="0" borderId="137" xfId="0" applyFont="1" applyFill="1" applyBorder="1" applyAlignment="1">
      <alignment horizontal="left"/>
    </xf>
    <xf numFmtId="164" fontId="33" fillId="0" borderId="137" xfId="0" applyNumberFormat="1" applyFont="1" applyFill="1" applyBorder="1"/>
    <xf numFmtId="165" fontId="33" fillId="0" borderId="137" xfId="0" applyNumberFormat="1" applyFont="1" applyFill="1" applyBorder="1"/>
    <xf numFmtId="9" fontId="33" fillId="0" borderId="137" xfId="0" applyNumberFormat="1" applyFont="1" applyFill="1" applyBorder="1"/>
    <xf numFmtId="9" fontId="33" fillId="0" borderId="138" xfId="0" applyNumberFormat="1" applyFont="1" applyFill="1" applyBorder="1"/>
    <xf numFmtId="0" fontId="40" fillId="2" borderId="52" xfId="0" applyFont="1" applyFill="1" applyBorder="1"/>
    <xf numFmtId="3" fontId="40" fillId="2" borderId="128" xfId="0" applyNumberFormat="1" applyFont="1" applyFill="1" applyBorder="1"/>
    <xf numFmtId="9" fontId="40" fillId="2" borderId="72" xfId="0" applyNumberFormat="1" applyFont="1" applyFill="1" applyBorder="1"/>
    <xf numFmtId="3" fontId="40" fillId="2" borderId="66" xfId="0" applyNumberFormat="1" applyFont="1" applyFill="1" applyBorder="1"/>
    <xf numFmtId="3" fontId="33" fillId="0" borderId="25" xfId="0" applyNumberFormat="1" applyFont="1" applyFill="1" applyBorder="1"/>
    <xf numFmtId="3" fontId="33" fillId="0" borderId="137" xfId="0" applyNumberFormat="1" applyFont="1" applyFill="1" applyBorder="1"/>
    <xf numFmtId="3" fontId="33" fillId="0" borderId="138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3" fontId="33" fillId="0" borderId="140" xfId="0" applyNumberFormat="1" applyFont="1" applyFill="1" applyBorder="1"/>
    <xf numFmtId="9" fontId="33" fillId="0" borderId="140" xfId="0" applyNumberFormat="1" applyFont="1" applyFill="1" applyBorder="1"/>
    <xf numFmtId="3" fontId="33" fillId="0" borderId="141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6" xfId="0" applyFont="1" applyFill="1" applyBorder="1"/>
    <xf numFmtId="0" fontId="40" fillId="0" borderId="139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6" xfId="0" applyFont="1" applyFill="1" applyBorder="1"/>
    <xf numFmtId="0" fontId="40" fillId="2" borderId="127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3" fillId="0" borderId="29" xfId="0" applyNumberFormat="1" applyFont="1" applyFill="1" applyBorder="1" applyAlignment="1">
      <alignment horizontal="right"/>
    </xf>
    <xf numFmtId="164" fontId="33" fillId="0" borderId="137" xfId="0" applyNumberFormat="1" applyFont="1" applyFill="1" applyBorder="1" applyAlignment="1">
      <alignment horizontal="right"/>
    </xf>
    <xf numFmtId="164" fontId="33" fillId="0" borderId="134" xfId="0" applyNumberFormat="1" applyFont="1" applyFill="1" applyBorder="1" applyAlignment="1">
      <alignment horizontal="right"/>
    </xf>
    <xf numFmtId="0" fontId="0" fillId="0" borderId="145" xfId="0" applyBorder="1" applyAlignment="1"/>
    <xf numFmtId="173" fontId="40" fillId="4" borderId="146" xfId="0" applyNumberFormat="1" applyFont="1" applyFill="1" applyBorder="1" applyAlignment="1">
      <alignment horizontal="center"/>
    </xf>
    <xf numFmtId="0" fontId="0" fillId="0" borderId="146" xfId="0" applyBorder="1" applyAlignment="1">
      <alignment horizontal="center"/>
    </xf>
    <xf numFmtId="0" fontId="0" fillId="0" borderId="147" xfId="0" applyBorder="1" applyAlignment="1">
      <alignment horizontal="right"/>
    </xf>
    <xf numFmtId="173" fontId="33" fillId="0" borderId="148" xfId="0" applyNumberFormat="1" applyFont="1" applyBorder="1" applyAlignment="1">
      <alignment horizontal="right"/>
    </xf>
    <xf numFmtId="0" fontId="0" fillId="0" borderId="148" xfId="0" applyBorder="1" applyAlignment="1">
      <alignment horizontal="right"/>
    </xf>
    <xf numFmtId="173" fontId="33" fillId="0" borderId="148" xfId="0" applyNumberFormat="1" applyFont="1" applyBorder="1" applyAlignment="1">
      <alignment horizontal="right" wrapText="1"/>
    </xf>
    <xf numFmtId="0" fontId="0" fillId="0" borderId="148" xfId="0" applyBorder="1" applyAlignment="1">
      <alignment horizontal="right" wrapText="1"/>
    </xf>
    <xf numFmtId="175" fontId="33" fillId="0" borderId="148" xfId="0" applyNumberFormat="1" applyFont="1" applyBorder="1" applyAlignment="1">
      <alignment horizontal="right"/>
    </xf>
    <xf numFmtId="0" fontId="0" fillId="0" borderId="149" xfId="0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0" fontId="40" fillId="2" borderId="104" xfId="0" applyFont="1" applyFill="1" applyBorder="1" applyAlignment="1">
      <alignment horizontal="center" vertical="center"/>
    </xf>
    <xf numFmtId="0" fontId="56" fillId="2" borderId="144" xfId="0" applyFont="1" applyFill="1" applyBorder="1" applyAlignment="1">
      <alignment horizontal="center" vertical="center" wrapText="1"/>
    </xf>
    <xf numFmtId="174" fontId="33" fillId="2" borderId="104" xfId="0" applyNumberFormat="1" applyFont="1" applyFill="1" applyBorder="1" applyAlignment="1"/>
    <xf numFmtId="174" fontId="33" fillId="0" borderId="143" xfId="0" applyNumberFormat="1" applyFont="1" applyBorder="1"/>
    <xf numFmtId="174" fontId="33" fillId="0" borderId="152" xfId="0" applyNumberFormat="1" applyFont="1" applyBorder="1"/>
    <xf numFmtId="173" fontId="40" fillId="4" borderId="104" xfId="0" applyNumberFormat="1" applyFont="1" applyFill="1" applyBorder="1" applyAlignment="1"/>
    <xf numFmtId="173" fontId="33" fillId="0" borderId="143" xfId="0" applyNumberFormat="1" applyFont="1" applyBorder="1"/>
    <xf numFmtId="173" fontId="33" fillId="0" borderId="144" xfId="0" applyNumberFormat="1" applyFont="1" applyBorder="1"/>
    <xf numFmtId="173" fontId="40" fillId="2" borderId="104" xfId="0" applyNumberFormat="1" applyFont="1" applyFill="1" applyBorder="1" applyAlignment="1"/>
    <xf numFmtId="173" fontId="33" fillId="0" borderId="152" xfId="0" applyNumberFormat="1" applyFont="1" applyBorder="1"/>
    <xf numFmtId="173" fontId="33" fillId="0" borderId="104" xfId="0" applyNumberFormat="1" applyFont="1" applyBorder="1"/>
    <xf numFmtId="173" fontId="40" fillId="4" borderId="153" xfId="0" applyNumberFormat="1" applyFont="1" applyFill="1" applyBorder="1" applyAlignment="1">
      <alignment horizontal="center"/>
    </xf>
    <xf numFmtId="173" fontId="33" fillId="0" borderId="154" xfId="0" applyNumberFormat="1" applyFont="1" applyBorder="1" applyAlignment="1">
      <alignment horizontal="right"/>
    </xf>
    <xf numFmtId="175" fontId="33" fillId="0" borderId="154" xfId="0" applyNumberFormat="1" applyFont="1" applyBorder="1" applyAlignment="1">
      <alignment horizontal="right"/>
    </xf>
    <xf numFmtId="173" fontId="33" fillId="0" borderId="155" xfId="0" applyNumberFormat="1" applyFont="1" applyBorder="1" applyAlignment="1">
      <alignment horizontal="right"/>
    </xf>
    <xf numFmtId="0" fontId="0" fillId="0" borderId="151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42" xfId="0" applyNumberFormat="1" applyFont="1" applyBorder="1" applyAlignment="1">
      <alignment horizontal="right"/>
    </xf>
    <xf numFmtId="0" fontId="33" fillId="2" borderId="66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78" xfId="0" applyNumberFormat="1" applyFont="1" applyFill="1" applyBorder="1"/>
    <xf numFmtId="169" fontId="33" fillId="0" borderId="134" xfId="0" applyNumberFormat="1" applyFont="1" applyFill="1" applyBorder="1"/>
    <xf numFmtId="0" fontId="40" fillId="0" borderId="133" xfId="0" applyFont="1" applyFill="1" applyBorder="1"/>
    <xf numFmtId="169" fontId="33" fillId="0" borderId="27" xfId="0" applyNumberFormat="1" applyFont="1" applyFill="1" applyBorder="1"/>
    <xf numFmtId="0" fontId="33" fillId="0" borderId="27" xfId="0" applyFont="1" applyFill="1" applyBorder="1"/>
    <xf numFmtId="0" fontId="40" fillId="0" borderId="19" xfId="0" applyFont="1" applyFill="1" applyBorder="1"/>
    <xf numFmtId="169" fontId="33" fillId="0" borderId="25" xfId="0" applyNumberFormat="1" applyFont="1" applyFill="1" applyBorder="1"/>
    <xf numFmtId="169" fontId="33" fillId="0" borderId="137" xfId="0" applyNumberFormat="1" applyFont="1" applyFill="1" applyBorder="1"/>
    <xf numFmtId="169" fontId="33" fillId="0" borderId="138" xfId="0" applyNumberFormat="1" applyFont="1" applyFill="1" applyBorder="1"/>
    <xf numFmtId="169" fontId="33" fillId="0" borderId="135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0.27364282331245343</c:v>
                </c:pt>
                <c:pt idx="1">
                  <c:v>0.26779401414919063</c:v>
                </c:pt>
                <c:pt idx="2">
                  <c:v>0.25999828456738355</c:v>
                </c:pt>
                <c:pt idx="3">
                  <c:v>0.2463156743905702</c:v>
                </c:pt>
                <c:pt idx="4">
                  <c:v>0.25159424078178427</c:v>
                </c:pt>
                <c:pt idx="5">
                  <c:v>0.2478750956077318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0428384"/>
        <c:axId val="-63043001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0.21160492032131359</c:v>
                </c:pt>
                <c:pt idx="1">
                  <c:v>0.21160492032131359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30431648"/>
        <c:axId val="-630431104"/>
      </c:scatterChart>
      <c:catAx>
        <c:axId val="-63042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630430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304300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630428384"/>
        <c:crosses val="autoZero"/>
        <c:crossBetween val="between"/>
      </c:valAx>
      <c:valAx>
        <c:axId val="-6304316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630431104"/>
        <c:crosses val="max"/>
        <c:crossBetween val="midCat"/>
      </c:valAx>
      <c:valAx>
        <c:axId val="-6304311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63043164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12" t="s">
        <v>108</v>
      </c>
      <c r="B1" s="312"/>
    </row>
    <row r="2" spans="1:3" ht="14.4" customHeight="1" thickBot="1" x14ac:dyDescent="0.35">
      <c r="A2" s="234" t="s">
        <v>246</v>
      </c>
      <c r="B2" s="46"/>
    </row>
    <row r="3" spans="1:3" ht="14.4" customHeight="1" thickBot="1" x14ac:dyDescent="0.35">
      <c r="A3" s="308" t="s">
        <v>140</v>
      </c>
      <c r="B3" s="309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248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10" t="s">
        <v>109</v>
      </c>
      <c r="B10" s="309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7" t="str">
        <f t="shared" ref="A12:A21" si="2">HYPERLINK("#'"&amp;C12&amp;"'!A1",C12)</f>
        <v>LŽ Detail</v>
      </c>
      <c r="B12" s="90" t="s">
        <v>160</v>
      </c>
      <c r="C12" s="47" t="s">
        <v>115</v>
      </c>
    </row>
    <row r="13" spans="1:3" ht="14.4" customHeight="1" x14ac:dyDescent="0.3">
      <c r="A13" s="147" t="str">
        <f t="shared" si="2"/>
        <v>LŽ Statim</v>
      </c>
      <c r="B13" s="296" t="s">
        <v>202</v>
      </c>
      <c r="C13" s="47" t="s">
        <v>212</v>
      </c>
    </row>
    <row r="14" spans="1:3" ht="14.4" customHeight="1" x14ac:dyDescent="0.3">
      <c r="A14" s="147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7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7" t="str">
        <f t="shared" si="2"/>
        <v>LRp Detail</v>
      </c>
      <c r="B16" s="90" t="s">
        <v>643</v>
      </c>
      <c r="C16" s="47" t="s">
        <v>117</v>
      </c>
    </row>
    <row r="17" spans="1:3" ht="28.8" customHeight="1" x14ac:dyDescent="0.3">
      <c r="A17" s="147" t="str">
        <f t="shared" si="2"/>
        <v>LRp PL</v>
      </c>
      <c r="B17" s="549" t="s">
        <v>644</v>
      </c>
      <c r="C17" s="47" t="s">
        <v>143</v>
      </c>
    </row>
    <row r="18" spans="1:3" ht="14.4" customHeight="1" x14ac:dyDescent="0.3">
      <c r="A18" s="147" t="str">
        <f>HYPERLINK("#'"&amp;C18&amp;"'!A1",C18)</f>
        <v>LRp PL Detail</v>
      </c>
      <c r="B18" s="90" t="s">
        <v>659</v>
      </c>
      <c r="C18" s="47" t="s">
        <v>144</v>
      </c>
    </row>
    <row r="19" spans="1:3" ht="14.4" customHeight="1" x14ac:dyDescent="0.3">
      <c r="A19" s="149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7" t="str">
        <f t="shared" si="2"/>
        <v>MŽ Detail</v>
      </c>
      <c r="B20" s="90" t="s">
        <v>736</v>
      </c>
      <c r="C20" s="47" t="s">
        <v>119</v>
      </c>
    </row>
    <row r="21" spans="1:3" ht="14.4" customHeight="1" thickBot="1" x14ac:dyDescent="0.35">
      <c r="A21" s="149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11" t="s">
        <v>110</v>
      </c>
      <c r="B23" s="309"/>
    </row>
    <row r="24" spans="1:3" ht="14.4" customHeight="1" x14ac:dyDescent="0.3">
      <c r="A24" s="150" t="str">
        <f t="shared" ref="A24:A28" si="4">HYPERLINK("#'"&amp;C24&amp;"'!A1",C24)</f>
        <v>ZV Vykáz.-A</v>
      </c>
      <c r="B24" s="89" t="s">
        <v>740</v>
      </c>
      <c r="C24" s="47" t="s">
        <v>123</v>
      </c>
    </row>
    <row r="25" spans="1:3" ht="14.4" customHeight="1" x14ac:dyDescent="0.3">
      <c r="A25" s="147" t="str">
        <f t="shared" ref="A25" si="5">HYPERLINK("#'"&amp;C25&amp;"'!A1",C25)</f>
        <v>ZV Vykáz.-A Lékaři</v>
      </c>
      <c r="B25" s="90" t="s">
        <v>745</v>
      </c>
      <c r="C25" s="47" t="s">
        <v>215</v>
      </c>
    </row>
    <row r="26" spans="1:3" ht="14.4" customHeight="1" x14ac:dyDescent="0.3">
      <c r="A26" s="147" t="str">
        <f t="shared" si="4"/>
        <v>ZV Vykáz.-A Detail</v>
      </c>
      <c r="B26" s="90" t="s">
        <v>820</v>
      </c>
      <c r="C26" s="47" t="s">
        <v>124</v>
      </c>
    </row>
    <row r="27" spans="1:3" ht="14.4" customHeight="1" x14ac:dyDescent="0.3">
      <c r="A27" s="147" t="str">
        <f t="shared" si="4"/>
        <v>ZV Vykáz.-H</v>
      </c>
      <c r="B27" s="90" t="s">
        <v>127</v>
      </c>
      <c r="C27" s="47" t="s">
        <v>125</v>
      </c>
    </row>
    <row r="28" spans="1:3" ht="14.4" customHeight="1" x14ac:dyDescent="0.3">
      <c r="A28" s="147" t="str">
        <f t="shared" si="4"/>
        <v>ZV Vykáz.-H Detail</v>
      </c>
      <c r="B28" s="90" t="s">
        <v>833</v>
      </c>
      <c r="C28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50" t="s">
        <v>138</v>
      </c>
      <c r="B1" s="350"/>
      <c r="C1" s="350"/>
      <c r="D1" s="350"/>
      <c r="E1" s="350"/>
      <c r="F1" s="350"/>
      <c r="G1" s="350"/>
      <c r="H1" s="350"/>
      <c r="I1" s="313"/>
      <c r="J1" s="313"/>
      <c r="K1" s="313"/>
      <c r="L1" s="313"/>
    </row>
    <row r="2" spans="1:14" ht="14.4" customHeight="1" thickBot="1" x14ac:dyDescent="0.35">
      <c r="A2" s="234" t="s">
        <v>246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67" t="s">
        <v>15</v>
      </c>
      <c r="D3" s="366"/>
      <c r="E3" s="366" t="s">
        <v>16</v>
      </c>
      <c r="F3" s="366"/>
      <c r="G3" s="366"/>
      <c r="H3" s="366"/>
      <c r="I3" s="366" t="s">
        <v>145</v>
      </c>
      <c r="J3" s="366"/>
      <c r="K3" s="366"/>
      <c r="L3" s="368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34">
        <v>19</v>
      </c>
      <c r="B5" s="435" t="s">
        <v>405</v>
      </c>
      <c r="C5" s="438">
        <v>17487.290000000015</v>
      </c>
      <c r="D5" s="438">
        <v>208</v>
      </c>
      <c r="E5" s="438">
        <v>13623.260000000013</v>
      </c>
      <c r="F5" s="486">
        <v>0.77903780402795408</v>
      </c>
      <c r="G5" s="438">
        <v>171</v>
      </c>
      <c r="H5" s="486">
        <v>0.82211538461538458</v>
      </c>
      <c r="I5" s="438">
        <v>3864.0300000000007</v>
      </c>
      <c r="J5" s="486">
        <v>0.22096219597204583</v>
      </c>
      <c r="K5" s="438">
        <v>37</v>
      </c>
      <c r="L5" s="486">
        <v>0.17788461538461539</v>
      </c>
      <c r="M5" s="438" t="s">
        <v>69</v>
      </c>
      <c r="N5" s="151"/>
    </row>
    <row r="6" spans="1:14" ht="14.4" customHeight="1" x14ac:dyDescent="0.3">
      <c r="A6" s="434">
        <v>19</v>
      </c>
      <c r="B6" s="435" t="s">
        <v>510</v>
      </c>
      <c r="C6" s="438">
        <v>17487.290000000015</v>
      </c>
      <c r="D6" s="438">
        <v>208</v>
      </c>
      <c r="E6" s="438">
        <v>13623.260000000013</v>
      </c>
      <c r="F6" s="486">
        <v>0.77903780402795408</v>
      </c>
      <c r="G6" s="438">
        <v>171</v>
      </c>
      <c r="H6" s="486">
        <v>0.82211538461538458</v>
      </c>
      <c r="I6" s="438">
        <v>3864.0300000000007</v>
      </c>
      <c r="J6" s="486">
        <v>0.22096219597204583</v>
      </c>
      <c r="K6" s="438">
        <v>37</v>
      </c>
      <c r="L6" s="486">
        <v>0.17788461538461539</v>
      </c>
      <c r="M6" s="438" t="s">
        <v>1</v>
      </c>
      <c r="N6" s="151"/>
    </row>
    <row r="7" spans="1:14" ht="14.4" customHeight="1" x14ac:dyDescent="0.3">
      <c r="A7" s="434" t="s">
        <v>404</v>
      </c>
      <c r="B7" s="435" t="s">
        <v>3</v>
      </c>
      <c r="C7" s="438">
        <v>17487.290000000015</v>
      </c>
      <c r="D7" s="438">
        <v>208</v>
      </c>
      <c r="E7" s="438">
        <v>13623.260000000013</v>
      </c>
      <c r="F7" s="486">
        <v>0.77903780402795408</v>
      </c>
      <c r="G7" s="438">
        <v>171</v>
      </c>
      <c r="H7" s="486">
        <v>0.82211538461538458</v>
      </c>
      <c r="I7" s="438">
        <v>3864.0300000000007</v>
      </c>
      <c r="J7" s="486">
        <v>0.22096219597204583</v>
      </c>
      <c r="K7" s="438">
        <v>37</v>
      </c>
      <c r="L7" s="486">
        <v>0.17788461538461539</v>
      </c>
      <c r="M7" s="438" t="s">
        <v>409</v>
      </c>
      <c r="N7" s="151"/>
    </row>
    <row r="9" spans="1:14" ht="14.4" customHeight="1" x14ac:dyDescent="0.3">
      <c r="A9" s="434">
        <v>19</v>
      </c>
      <c r="B9" s="435" t="s">
        <v>405</v>
      </c>
      <c r="C9" s="438" t="s">
        <v>406</v>
      </c>
      <c r="D9" s="438" t="s">
        <v>406</v>
      </c>
      <c r="E9" s="438" t="s">
        <v>406</v>
      </c>
      <c r="F9" s="486" t="s">
        <v>406</v>
      </c>
      <c r="G9" s="438" t="s">
        <v>406</v>
      </c>
      <c r="H9" s="486" t="s">
        <v>406</v>
      </c>
      <c r="I9" s="438" t="s">
        <v>406</v>
      </c>
      <c r="J9" s="486" t="s">
        <v>406</v>
      </c>
      <c r="K9" s="438" t="s">
        <v>406</v>
      </c>
      <c r="L9" s="486" t="s">
        <v>406</v>
      </c>
      <c r="M9" s="438" t="s">
        <v>69</v>
      </c>
      <c r="N9" s="151"/>
    </row>
    <row r="10" spans="1:14" ht="14.4" customHeight="1" x14ac:dyDescent="0.3">
      <c r="A10" s="434" t="s">
        <v>511</v>
      </c>
      <c r="B10" s="435" t="s">
        <v>510</v>
      </c>
      <c r="C10" s="438">
        <v>17487.290000000015</v>
      </c>
      <c r="D10" s="438">
        <v>208</v>
      </c>
      <c r="E10" s="438">
        <v>13623.260000000013</v>
      </c>
      <c r="F10" s="486">
        <v>0.77903780402795408</v>
      </c>
      <c r="G10" s="438">
        <v>171</v>
      </c>
      <c r="H10" s="486">
        <v>0.82211538461538458</v>
      </c>
      <c r="I10" s="438">
        <v>3864.0300000000007</v>
      </c>
      <c r="J10" s="486">
        <v>0.22096219597204583</v>
      </c>
      <c r="K10" s="438">
        <v>37</v>
      </c>
      <c r="L10" s="486">
        <v>0.17788461538461539</v>
      </c>
      <c r="M10" s="438" t="s">
        <v>1</v>
      </c>
      <c r="N10" s="151"/>
    </row>
    <row r="11" spans="1:14" ht="14.4" customHeight="1" x14ac:dyDescent="0.3">
      <c r="A11" s="434" t="s">
        <v>511</v>
      </c>
      <c r="B11" s="435" t="s">
        <v>512</v>
      </c>
      <c r="C11" s="438">
        <v>17487.290000000015</v>
      </c>
      <c r="D11" s="438">
        <v>208</v>
      </c>
      <c r="E11" s="438">
        <v>13623.260000000013</v>
      </c>
      <c r="F11" s="486">
        <v>0.77903780402795408</v>
      </c>
      <c r="G11" s="438">
        <v>171</v>
      </c>
      <c r="H11" s="486">
        <v>0.82211538461538458</v>
      </c>
      <c r="I11" s="438">
        <v>3864.0300000000007</v>
      </c>
      <c r="J11" s="486">
        <v>0.22096219597204583</v>
      </c>
      <c r="K11" s="438">
        <v>37</v>
      </c>
      <c r="L11" s="486">
        <v>0.17788461538461539</v>
      </c>
      <c r="M11" s="438" t="s">
        <v>413</v>
      </c>
      <c r="N11" s="151"/>
    </row>
    <row r="12" spans="1:14" ht="14.4" customHeight="1" x14ac:dyDescent="0.3">
      <c r="A12" s="434" t="s">
        <v>406</v>
      </c>
      <c r="B12" s="435" t="s">
        <v>406</v>
      </c>
      <c r="C12" s="438" t="s">
        <v>406</v>
      </c>
      <c r="D12" s="438" t="s">
        <v>406</v>
      </c>
      <c r="E12" s="438" t="s">
        <v>406</v>
      </c>
      <c r="F12" s="486" t="s">
        <v>406</v>
      </c>
      <c r="G12" s="438" t="s">
        <v>406</v>
      </c>
      <c r="H12" s="486" t="s">
        <v>406</v>
      </c>
      <c r="I12" s="438" t="s">
        <v>406</v>
      </c>
      <c r="J12" s="486" t="s">
        <v>406</v>
      </c>
      <c r="K12" s="438" t="s">
        <v>406</v>
      </c>
      <c r="L12" s="486" t="s">
        <v>406</v>
      </c>
      <c r="M12" s="438" t="s">
        <v>414</v>
      </c>
      <c r="N12" s="151"/>
    </row>
    <row r="13" spans="1:14" ht="14.4" customHeight="1" x14ac:dyDescent="0.3">
      <c r="A13" s="434" t="s">
        <v>404</v>
      </c>
      <c r="B13" s="435" t="s">
        <v>408</v>
      </c>
      <c r="C13" s="438">
        <v>17487.290000000015</v>
      </c>
      <c r="D13" s="438">
        <v>208</v>
      </c>
      <c r="E13" s="438">
        <v>13623.260000000013</v>
      </c>
      <c r="F13" s="486">
        <v>0.77903780402795408</v>
      </c>
      <c r="G13" s="438">
        <v>171</v>
      </c>
      <c r="H13" s="486">
        <v>0.82211538461538458</v>
      </c>
      <c r="I13" s="438">
        <v>3864.0300000000007</v>
      </c>
      <c r="J13" s="486">
        <v>0.22096219597204583</v>
      </c>
      <c r="K13" s="438">
        <v>37</v>
      </c>
      <c r="L13" s="486">
        <v>0.17788461538461539</v>
      </c>
      <c r="M13" s="438" t="s">
        <v>409</v>
      </c>
      <c r="N13" s="151"/>
    </row>
    <row r="14" spans="1:14" ht="14.4" customHeight="1" x14ac:dyDescent="0.3">
      <c r="A14" s="487" t="s">
        <v>513</v>
      </c>
    </row>
    <row r="15" spans="1:14" ht="14.4" customHeight="1" x14ac:dyDescent="0.3">
      <c r="A15" s="488" t="s">
        <v>514</v>
      </c>
    </row>
    <row r="16" spans="1:14" ht="14.4" customHeight="1" x14ac:dyDescent="0.3">
      <c r="A16" s="487" t="s">
        <v>515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7" priority="15" stopIfTrue="1" operator="lessThan">
      <formula>0.6</formula>
    </cfRule>
  </conditionalFormatting>
  <conditionalFormatting sqref="B5:B7">
    <cfRule type="expression" dxfId="36" priority="10">
      <formula>AND(LEFT(M5,6)&lt;&gt;"mezera",M5&lt;&gt;"")</formula>
    </cfRule>
  </conditionalFormatting>
  <conditionalFormatting sqref="A5:A7">
    <cfRule type="expression" dxfId="35" priority="8">
      <formula>AND(M5&lt;&gt;"",M5&lt;&gt;"mezeraKL")</formula>
    </cfRule>
  </conditionalFormatting>
  <conditionalFormatting sqref="F5:F7">
    <cfRule type="cellIs" dxfId="34" priority="7" operator="lessThan">
      <formula>0.6</formula>
    </cfRule>
  </conditionalFormatting>
  <conditionalFormatting sqref="B5:L7">
    <cfRule type="expression" dxfId="33" priority="9">
      <formula>OR($M5="KL",$M5="SumaKL")</formula>
    </cfRule>
    <cfRule type="expression" dxfId="32" priority="11">
      <formula>$M5="SumaNS"</formula>
    </cfRule>
  </conditionalFormatting>
  <conditionalFormatting sqref="A5:L7">
    <cfRule type="expression" dxfId="31" priority="12">
      <formula>$M5&lt;&gt;""</formula>
    </cfRule>
  </conditionalFormatting>
  <conditionalFormatting sqref="B9:B13">
    <cfRule type="expression" dxfId="30" priority="4">
      <formula>AND(LEFT(M9,6)&lt;&gt;"mezera",M9&lt;&gt;"")</formula>
    </cfRule>
  </conditionalFormatting>
  <conditionalFormatting sqref="A9:A13">
    <cfRule type="expression" dxfId="29" priority="2">
      <formula>AND(M9&lt;&gt;"",M9&lt;&gt;"mezeraKL")</formula>
    </cfRule>
  </conditionalFormatting>
  <conditionalFormatting sqref="F9:F13">
    <cfRule type="cellIs" dxfId="28" priority="1" operator="lessThan">
      <formula>0.6</formula>
    </cfRule>
  </conditionalFormatting>
  <conditionalFormatting sqref="B9:L13">
    <cfRule type="expression" dxfId="27" priority="3">
      <formula>OR($M9="KL",$M9="SumaKL")</formula>
    </cfRule>
    <cfRule type="expression" dxfId="26" priority="5">
      <formula>$M9="SumaNS"</formula>
    </cfRule>
  </conditionalFormatting>
  <conditionalFormatting sqref="A9:L13">
    <cfRule type="expression" dxfId="25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50" t="s">
        <v>146</v>
      </c>
      <c r="B1" s="350"/>
      <c r="C1" s="350"/>
      <c r="D1" s="350"/>
      <c r="E1" s="350"/>
      <c r="F1" s="350"/>
      <c r="G1" s="350"/>
      <c r="H1" s="350"/>
      <c r="I1" s="350"/>
      <c r="J1" s="313"/>
      <c r="K1" s="313"/>
      <c r="L1" s="313"/>
      <c r="M1" s="313"/>
    </row>
    <row r="2" spans="1:13" ht="14.4" customHeight="1" thickBot="1" x14ac:dyDescent="0.35">
      <c r="A2" s="234" t="s">
        <v>246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67" t="s">
        <v>15</v>
      </c>
      <c r="C3" s="369"/>
      <c r="D3" s="366"/>
      <c r="E3" s="143"/>
      <c r="F3" s="366" t="s">
        <v>16</v>
      </c>
      <c r="G3" s="366"/>
      <c r="H3" s="366"/>
      <c r="I3" s="366"/>
      <c r="J3" s="366" t="s">
        <v>145</v>
      </c>
      <c r="K3" s="366"/>
      <c r="L3" s="366"/>
      <c r="M3" s="368"/>
    </row>
    <row r="4" spans="1:13" ht="14.4" customHeight="1" thickBot="1" x14ac:dyDescent="0.35">
      <c r="A4" s="462" t="s">
        <v>135</v>
      </c>
      <c r="B4" s="463" t="s">
        <v>19</v>
      </c>
      <c r="C4" s="492"/>
      <c r="D4" s="463" t="s">
        <v>20</v>
      </c>
      <c r="E4" s="492"/>
      <c r="F4" s="463" t="s">
        <v>19</v>
      </c>
      <c r="G4" s="466" t="s">
        <v>2</v>
      </c>
      <c r="H4" s="463" t="s">
        <v>20</v>
      </c>
      <c r="I4" s="466" t="s">
        <v>2</v>
      </c>
      <c r="J4" s="463" t="s">
        <v>19</v>
      </c>
      <c r="K4" s="466" t="s">
        <v>2</v>
      </c>
      <c r="L4" s="463" t="s">
        <v>20</v>
      </c>
      <c r="M4" s="467" t="s">
        <v>2</v>
      </c>
    </row>
    <row r="5" spans="1:13" ht="14.4" customHeight="1" x14ac:dyDescent="0.3">
      <c r="A5" s="489" t="s">
        <v>516</v>
      </c>
      <c r="B5" s="480">
        <v>9357.5600000000104</v>
      </c>
      <c r="C5" s="445">
        <v>1</v>
      </c>
      <c r="D5" s="493">
        <v>128</v>
      </c>
      <c r="E5" s="496" t="s">
        <v>516</v>
      </c>
      <c r="F5" s="480">
        <v>8153.6300000000101</v>
      </c>
      <c r="G5" s="468">
        <v>0.87134146080815955</v>
      </c>
      <c r="H5" s="448">
        <v>110</v>
      </c>
      <c r="I5" s="469">
        <v>0.859375</v>
      </c>
      <c r="J5" s="499">
        <v>1203.9300000000005</v>
      </c>
      <c r="K5" s="468">
        <v>0.12865853919184053</v>
      </c>
      <c r="L5" s="448">
        <v>18</v>
      </c>
      <c r="M5" s="469">
        <v>0.140625</v>
      </c>
    </row>
    <row r="6" spans="1:13" ht="14.4" customHeight="1" x14ac:dyDescent="0.3">
      <c r="A6" s="490" t="s">
        <v>517</v>
      </c>
      <c r="B6" s="481">
        <v>3088.0300000000007</v>
      </c>
      <c r="C6" s="451">
        <v>1</v>
      </c>
      <c r="D6" s="494">
        <v>36</v>
      </c>
      <c r="E6" s="497" t="s">
        <v>517</v>
      </c>
      <c r="F6" s="481">
        <v>2504.3400000000006</v>
      </c>
      <c r="G6" s="470">
        <v>0.81098305392110825</v>
      </c>
      <c r="H6" s="454">
        <v>29</v>
      </c>
      <c r="I6" s="471">
        <v>0.80555555555555558</v>
      </c>
      <c r="J6" s="500">
        <v>583.69000000000005</v>
      </c>
      <c r="K6" s="470">
        <v>0.18901694607889169</v>
      </c>
      <c r="L6" s="454">
        <v>7</v>
      </c>
      <c r="M6" s="471">
        <v>0.19444444444444445</v>
      </c>
    </row>
    <row r="7" spans="1:13" ht="14.4" customHeight="1" x14ac:dyDescent="0.3">
      <c r="A7" s="490" t="s">
        <v>518</v>
      </c>
      <c r="B7" s="481">
        <v>1627.5900000000001</v>
      </c>
      <c r="C7" s="451">
        <v>1</v>
      </c>
      <c r="D7" s="494">
        <v>11</v>
      </c>
      <c r="E7" s="497" t="s">
        <v>518</v>
      </c>
      <c r="F7" s="481">
        <v>1627.5900000000001</v>
      </c>
      <c r="G7" s="470">
        <v>1</v>
      </c>
      <c r="H7" s="454">
        <v>8</v>
      </c>
      <c r="I7" s="471">
        <v>0.72727272727272729</v>
      </c>
      <c r="J7" s="500">
        <v>0</v>
      </c>
      <c r="K7" s="470">
        <v>0</v>
      </c>
      <c r="L7" s="454">
        <v>3</v>
      </c>
      <c r="M7" s="471">
        <v>0.27272727272727271</v>
      </c>
    </row>
    <row r="8" spans="1:13" ht="14.4" customHeight="1" x14ac:dyDescent="0.3">
      <c r="A8" s="490" t="s">
        <v>519</v>
      </c>
      <c r="B8" s="481">
        <v>3280.34</v>
      </c>
      <c r="C8" s="451">
        <v>1</v>
      </c>
      <c r="D8" s="494">
        <v>25</v>
      </c>
      <c r="E8" s="497" t="s">
        <v>519</v>
      </c>
      <c r="F8" s="481">
        <v>1248.5200000000004</v>
      </c>
      <c r="G8" s="470">
        <v>0.38060688831035822</v>
      </c>
      <c r="H8" s="454">
        <v>19</v>
      </c>
      <c r="I8" s="471">
        <v>0.76</v>
      </c>
      <c r="J8" s="500">
        <v>2031.82</v>
      </c>
      <c r="K8" s="470">
        <v>0.61939311168964184</v>
      </c>
      <c r="L8" s="454">
        <v>6</v>
      </c>
      <c r="M8" s="471">
        <v>0.24</v>
      </c>
    </row>
    <row r="9" spans="1:13" ht="14.4" customHeight="1" thickBot="1" x14ac:dyDescent="0.35">
      <c r="A9" s="491" t="s">
        <v>520</v>
      </c>
      <c r="B9" s="482">
        <v>133.77000000000001</v>
      </c>
      <c r="C9" s="457">
        <v>1</v>
      </c>
      <c r="D9" s="495">
        <v>8</v>
      </c>
      <c r="E9" s="498" t="s">
        <v>520</v>
      </c>
      <c r="F9" s="482">
        <v>89.18</v>
      </c>
      <c r="G9" s="472">
        <v>0.66666666666666663</v>
      </c>
      <c r="H9" s="460">
        <v>5</v>
      </c>
      <c r="I9" s="473">
        <v>0.625</v>
      </c>
      <c r="J9" s="501">
        <v>44.59</v>
      </c>
      <c r="K9" s="472">
        <v>0.33333333333333331</v>
      </c>
      <c r="L9" s="460">
        <v>3</v>
      </c>
      <c r="M9" s="473">
        <v>0.375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41" t="s">
        <v>643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</row>
    <row r="2" spans="1:21" ht="14.4" customHeight="1" thickBot="1" x14ac:dyDescent="0.35">
      <c r="A2" s="234" t="s">
        <v>246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73"/>
      <c r="B3" s="374"/>
      <c r="C3" s="374"/>
      <c r="D3" s="374"/>
      <c r="E3" s="374"/>
      <c r="F3" s="374"/>
      <c r="G3" s="374"/>
      <c r="H3" s="374"/>
      <c r="I3" s="374"/>
      <c r="J3" s="374"/>
      <c r="K3" s="375" t="s">
        <v>128</v>
      </c>
      <c r="L3" s="376"/>
      <c r="M3" s="66">
        <f>SUBTOTAL(9,M7:M1048576)</f>
        <v>17487.290000000012</v>
      </c>
      <c r="N3" s="66">
        <f>SUBTOTAL(9,N7:N1048576)</f>
        <v>409</v>
      </c>
      <c r="O3" s="66">
        <f>SUBTOTAL(9,O7:O1048576)</f>
        <v>208</v>
      </c>
      <c r="P3" s="66">
        <f>SUBTOTAL(9,P7:P1048576)</f>
        <v>13623.260000000013</v>
      </c>
      <c r="Q3" s="67">
        <f>IF(M3=0,0,P3/M3)</f>
        <v>0.77903780402795419</v>
      </c>
      <c r="R3" s="66">
        <f>SUBTOTAL(9,R7:R1048576)</f>
        <v>333</v>
      </c>
      <c r="S3" s="67">
        <f>IF(N3=0,0,R3/N3)</f>
        <v>0.81418092909535456</v>
      </c>
      <c r="T3" s="66">
        <f>SUBTOTAL(9,T7:T1048576)</f>
        <v>171</v>
      </c>
      <c r="U3" s="68">
        <f>IF(O3=0,0,T3/O3)</f>
        <v>0.82211538461538458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77" t="s">
        <v>15</v>
      </c>
      <c r="N4" s="378"/>
      <c r="O4" s="378"/>
      <c r="P4" s="379" t="s">
        <v>21</v>
      </c>
      <c r="Q4" s="378"/>
      <c r="R4" s="378"/>
      <c r="S4" s="378"/>
      <c r="T4" s="378"/>
      <c r="U4" s="380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70" t="s">
        <v>22</v>
      </c>
      <c r="Q5" s="371"/>
      <c r="R5" s="370" t="s">
        <v>13</v>
      </c>
      <c r="S5" s="371"/>
      <c r="T5" s="370" t="s">
        <v>20</v>
      </c>
      <c r="U5" s="372"/>
    </row>
    <row r="6" spans="1:21" s="208" customFormat="1" ht="14.4" customHeight="1" thickBot="1" x14ac:dyDescent="0.35">
      <c r="A6" s="502" t="s">
        <v>23</v>
      </c>
      <c r="B6" s="503" t="s">
        <v>5</v>
      </c>
      <c r="C6" s="502" t="s">
        <v>24</v>
      </c>
      <c r="D6" s="503" t="s">
        <v>6</v>
      </c>
      <c r="E6" s="503" t="s">
        <v>148</v>
      </c>
      <c r="F6" s="503" t="s">
        <v>25</v>
      </c>
      <c r="G6" s="503" t="s">
        <v>26</v>
      </c>
      <c r="H6" s="503" t="s">
        <v>8</v>
      </c>
      <c r="I6" s="503" t="s">
        <v>10</v>
      </c>
      <c r="J6" s="503" t="s">
        <v>11</v>
      </c>
      <c r="K6" s="503" t="s">
        <v>12</v>
      </c>
      <c r="L6" s="503" t="s">
        <v>27</v>
      </c>
      <c r="M6" s="504" t="s">
        <v>14</v>
      </c>
      <c r="N6" s="505" t="s">
        <v>28</v>
      </c>
      <c r="O6" s="505" t="s">
        <v>28</v>
      </c>
      <c r="P6" s="505" t="s">
        <v>14</v>
      </c>
      <c r="Q6" s="505" t="s">
        <v>2</v>
      </c>
      <c r="R6" s="505" t="s">
        <v>28</v>
      </c>
      <c r="S6" s="505" t="s">
        <v>2</v>
      </c>
      <c r="T6" s="505" t="s">
        <v>28</v>
      </c>
      <c r="U6" s="506" t="s">
        <v>2</v>
      </c>
    </row>
    <row r="7" spans="1:21" ht="14.4" customHeight="1" x14ac:dyDescent="0.3">
      <c r="A7" s="507">
        <v>19</v>
      </c>
      <c r="B7" s="508" t="s">
        <v>405</v>
      </c>
      <c r="C7" s="508" t="s">
        <v>511</v>
      </c>
      <c r="D7" s="509" t="s">
        <v>641</v>
      </c>
      <c r="E7" s="510" t="s">
        <v>516</v>
      </c>
      <c r="F7" s="508" t="s">
        <v>510</v>
      </c>
      <c r="G7" s="508" t="s">
        <v>521</v>
      </c>
      <c r="H7" s="508" t="s">
        <v>406</v>
      </c>
      <c r="I7" s="508" t="s">
        <v>522</v>
      </c>
      <c r="J7" s="508" t="s">
        <v>523</v>
      </c>
      <c r="K7" s="508" t="s">
        <v>524</v>
      </c>
      <c r="L7" s="511">
        <v>36.76</v>
      </c>
      <c r="M7" s="511">
        <v>36.76</v>
      </c>
      <c r="N7" s="508">
        <v>1</v>
      </c>
      <c r="O7" s="512">
        <v>1</v>
      </c>
      <c r="P7" s="511">
        <v>36.76</v>
      </c>
      <c r="Q7" s="513">
        <v>1</v>
      </c>
      <c r="R7" s="508">
        <v>1</v>
      </c>
      <c r="S7" s="513">
        <v>1</v>
      </c>
      <c r="T7" s="512">
        <v>1</v>
      </c>
      <c r="U7" s="122">
        <v>1</v>
      </c>
    </row>
    <row r="8" spans="1:21" ht="14.4" customHeight="1" x14ac:dyDescent="0.3">
      <c r="A8" s="522">
        <v>19</v>
      </c>
      <c r="B8" s="523" t="s">
        <v>405</v>
      </c>
      <c r="C8" s="523" t="s">
        <v>511</v>
      </c>
      <c r="D8" s="524" t="s">
        <v>641</v>
      </c>
      <c r="E8" s="525" t="s">
        <v>516</v>
      </c>
      <c r="F8" s="523" t="s">
        <v>510</v>
      </c>
      <c r="G8" s="523" t="s">
        <v>525</v>
      </c>
      <c r="H8" s="523" t="s">
        <v>406</v>
      </c>
      <c r="I8" s="523" t="s">
        <v>526</v>
      </c>
      <c r="J8" s="523" t="s">
        <v>527</v>
      </c>
      <c r="K8" s="523" t="s">
        <v>528</v>
      </c>
      <c r="L8" s="526">
        <v>42.05</v>
      </c>
      <c r="M8" s="526">
        <v>84.1</v>
      </c>
      <c r="N8" s="523">
        <v>2</v>
      </c>
      <c r="O8" s="527">
        <v>2</v>
      </c>
      <c r="P8" s="526">
        <v>84.1</v>
      </c>
      <c r="Q8" s="528">
        <v>1</v>
      </c>
      <c r="R8" s="523">
        <v>2</v>
      </c>
      <c r="S8" s="528">
        <v>1</v>
      </c>
      <c r="T8" s="527">
        <v>2</v>
      </c>
      <c r="U8" s="529">
        <v>1</v>
      </c>
    </row>
    <row r="9" spans="1:21" ht="14.4" customHeight="1" x14ac:dyDescent="0.3">
      <c r="A9" s="522">
        <v>19</v>
      </c>
      <c r="B9" s="523" t="s">
        <v>405</v>
      </c>
      <c r="C9" s="523" t="s">
        <v>511</v>
      </c>
      <c r="D9" s="524" t="s">
        <v>641</v>
      </c>
      <c r="E9" s="525" t="s">
        <v>516</v>
      </c>
      <c r="F9" s="523" t="s">
        <v>510</v>
      </c>
      <c r="G9" s="523" t="s">
        <v>525</v>
      </c>
      <c r="H9" s="523" t="s">
        <v>406</v>
      </c>
      <c r="I9" s="523" t="s">
        <v>529</v>
      </c>
      <c r="J9" s="523" t="s">
        <v>527</v>
      </c>
      <c r="K9" s="523" t="s">
        <v>530</v>
      </c>
      <c r="L9" s="526">
        <v>42.05</v>
      </c>
      <c r="M9" s="526">
        <v>42.05</v>
      </c>
      <c r="N9" s="523">
        <v>1</v>
      </c>
      <c r="O9" s="527">
        <v>1</v>
      </c>
      <c r="P9" s="526">
        <v>42.05</v>
      </c>
      <c r="Q9" s="528">
        <v>1</v>
      </c>
      <c r="R9" s="523">
        <v>1</v>
      </c>
      <c r="S9" s="528">
        <v>1</v>
      </c>
      <c r="T9" s="527">
        <v>1</v>
      </c>
      <c r="U9" s="529">
        <v>1</v>
      </c>
    </row>
    <row r="10" spans="1:21" ht="14.4" customHeight="1" x14ac:dyDescent="0.3">
      <c r="A10" s="522">
        <v>19</v>
      </c>
      <c r="B10" s="523" t="s">
        <v>405</v>
      </c>
      <c r="C10" s="523" t="s">
        <v>511</v>
      </c>
      <c r="D10" s="524" t="s">
        <v>641</v>
      </c>
      <c r="E10" s="525" t="s">
        <v>516</v>
      </c>
      <c r="F10" s="523" t="s">
        <v>510</v>
      </c>
      <c r="G10" s="523" t="s">
        <v>531</v>
      </c>
      <c r="H10" s="523" t="s">
        <v>406</v>
      </c>
      <c r="I10" s="523" t="s">
        <v>532</v>
      </c>
      <c r="J10" s="523" t="s">
        <v>533</v>
      </c>
      <c r="K10" s="523" t="s">
        <v>534</v>
      </c>
      <c r="L10" s="526">
        <v>84.9</v>
      </c>
      <c r="M10" s="526">
        <v>84.9</v>
      </c>
      <c r="N10" s="523">
        <v>1</v>
      </c>
      <c r="O10" s="527">
        <v>1</v>
      </c>
      <c r="P10" s="526">
        <v>84.9</v>
      </c>
      <c r="Q10" s="528">
        <v>1</v>
      </c>
      <c r="R10" s="523">
        <v>1</v>
      </c>
      <c r="S10" s="528">
        <v>1</v>
      </c>
      <c r="T10" s="527">
        <v>1</v>
      </c>
      <c r="U10" s="529">
        <v>1</v>
      </c>
    </row>
    <row r="11" spans="1:21" ht="14.4" customHeight="1" x14ac:dyDescent="0.3">
      <c r="A11" s="522">
        <v>19</v>
      </c>
      <c r="B11" s="523" t="s">
        <v>405</v>
      </c>
      <c r="C11" s="523" t="s">
        <v>511</v>
      </c>
      <c r="D11" s="524" t="s">
        <v>641</v>
      </c>
      <c r="E11" s="525" t="s">
        <v>516</v>
      </c>
      <c r="F11" s="523" t="s">
        <v>510</v>
      </c>
      <c r="G11" s="523" t="s">
        <v>535</v>
      </c>
      <c r="H11" s="523" t="s">
        <v>406</v>
      </c>
      <c r="I11" s="523" t="s">
        <v>536</v>
      </c>
      <c r="J11" s="523" t="s">
        <v>537</v>
      </c>
      <c r="K11" s="523" t="s">
        <v>538</v>
      </c>
      <c r="L11" s="526">
        <v>44.59</v>
      </c>
      <c r="M11" s="526">
        <v>9007.1800000000112</v>
      </c>
      <c r="N11" s="523">
        <v>202</v>
      </c>
      <c r="O11" s="527">
        <v>102</v>
      </c>
      <c r="P11" s="526">
        <v>7803.25000000001</v>
      </c>
      <c r="Q11" s="528">
        <v>0.86633663366336633</v>
      </c>
      <c r="R11" s="523">
        <v>175</v>
      </c>
      <c r="S11" s="528">
        <v>0.86633663366336633</v>
      </c>
      <c r="T11" s="527">
        <v>88.5</v>
      </c>
      <c r="U11" s="529">
        <v>0.86764705882352944</v>
      </c>
    </row>
    <row r="12" spans="1:21" ht="14.4" customHeight="1" x14ac:dyDescent="0.3">
      <c r="A12" s="522">
        <v>19</v>
      </c>
      <c r="B12" s="523" t="s">
        <v>405</v>
      </c>
      <c r="C12" s="523" t="s">
        <v>511</v>
      </c>
      <c r="D12" s="524" t="s">
        <v>641</v>
      </c>
      <c r="E12" s="525" t="s">
        <v>516</v>
      </c>
      <c r="F12" s="523" t="s">
        <v>510</v>
      </c>
      <c r="G12" s="523" t="s">
        <v>539</v>
      </c>
      <c r="H12" s="523" t="s">
        <v>406</v>
      </c>
      <c r="I12" s="523" t="s">
        <v>540</v>
      </c>
      <c r="J12" s="523" t="s">
        <v>541</v>
      </c>
      <c r="K12" s="523" t="s">
        <v>542</v>
      </c>
      <c r="L12" s="526">
        <v>34.19</v>
      </c>
      <c r="M12" s="526">
        <v>102.57</v>
      </c>
      <c r="N12" s="523">
        <v>3</v>
      </c>
      <c r="O12" s="527">
        <v>1</v>
      </c>
      <c r="P12" s="526">
        <v>102.57</v>
      </c>
      <c r="Q12" s="528">
        <v>1</v>
      </c>
      <c r="R12" s="523">
        <v>3</v>
      </c>
      <c r="S12" s="528">
        <v>1</v>
      </c>
      <c r="T12" s="527">
        <v>1</v>
      </c>
      <c r="U12" s="529">
        <v>1</v>
      </c>
    </row>
    <row r="13" spans="1:21" ht="14.4" customHeight="1" x14ac:dyDescent="0.3">
      <c r="A13" s="522">
        <v>19</v>
      </c>
      <c r="B13" s="523" t="s">
        <v>405</v>
      </c>
      <c r="C13" s="523" t="s">
        <v>511</v>
      </c>
      <c r="D13" s="524" t="s">
        <v>641</v>
      </c>
      <c r="E13" s="525" t="s">
        <v>516</v>
      </c>
      <c r="F13" s="523" t="s">
        <v>510</v>
      </c>
      <c r="G13" s="523" t="s">
        <v>543</v>
      </c>
      <c r="H13" s="523" t="s">
        <v>406</v>
      </c>
      <c r="I13" s="523" t="s">
        <v>544</v>
      </c>
      <c r="J13" s="523" t="s">
        <v>545</v>
      </c>
      <c r="K13" s="523" t="s">
        <v>546</v>
      </c>
      <c r="L13" s="526">
        <v>0</v>
      </c>
      <c r="M13" s="526">
        <v>0</v>
      </c>
      <c r="N13" s="523">
        <v>3</v>
      </c>
      <c r="O13" s="527">
        <v>2</v>
      </c>
      <c r="P13" s="526">
        <v>0</v>
      </c>
      <c r="Q13" s="528"/>
      <c r="R13" s="523">
        <v>2</v>
      </c>
      <c r="S13" s="528">
        <v>0.66666666666666663</v>
      </c>
      <c r="T13" s="527">
        <v>1</v>
      </c>
      <c r="U13" s="529">
        <v>0.5</v>
      </c>
    </row>
    <row r="14" spans="1:21" ht="14.4" customHeight="1" x14ac:dyDescent="0.3">
      <c r="A14" s="522">
        <v>19</v>
      </c>
      <c r="B14" s="523" t="s">
        <v>405</v>
      </c>
      <c r="C14" s="523" t="s">
        <v>511</v>
      </c>
      <c r="D14" s="524" t="s">
        <v>641</v>
      </c>
      <c r="E14" s="525" t="s">
        <v>516</v>
      </c>
      <c r="F14" s="523" t="s">
        <v>510</v>
      </c>
      <c r="G14" s="523" t="s">
        <v>547</v>
      </c>
      <c r="H14" s="523" t="s">
        <v>406</v>
      </c>
      <c r="I14" s="523" t="s">
        <v>548</v>
      </c>
      <c r="J14" s="523" t="s">
        <v>549</v>
      </c>
      <c r="K14" s="523" t="s">
        <v>550</v>
      </c>
      <c r="L14" s="526">
        <v>0</v>
      </c>
      <c r="M14" s="526">
        <v>0</v>
      </c>
      <c r="N14" s="523">
        <v>30</v>
      </c>
      <c r="O14" s="527">
        <v>13</v>
      </c>
      <c r="P14" s="526">
        <v>0</v>
      </c>
      <c r="Q14" s="528"/>
      <c r="R14" s="523">
        <v>24</v>
      </c>
      <c r="S14" s="528">
        <v>0.8</v>
      </c>
      <c r="T14" s="527">
        <v>10.5</v>
      </c>
      <c r="U14" s="529">
        <v>0.80769230769230771</v>
      </c>
    </row>
    <row r="15" spans="1:21" ht="14.4" customHeight="1" x14ac:dyDescent="0.3">
      <c r="A15" s="522">
        <v>19</v>
      </c>
      <c r="B15" s="523" t="s">
        <v>405</v>
      </c>
      <c r="C15" s="523" t="s">
        <v>511</v>
      </c>
      <c r="D15" s="524" t="s">
        <v>641</v>
      </c>
      <c r="E15" s="525" t="s">
        <v>516</v>
      </c>
      <c r="F15" s="523" t="s">
        <v>510</v>
      </c>
      <c r="G15" s="523" t="s">
        <v>547</v>
      </c>
      <c r="H15" s="523" t="s">
        <v>406</v>
      </c>
      <c r="I15" s="523" t="s">
        <v>551</v>
      </c>
      <c r="J15" s="523" t="s">
        <v>549</v>
      </c>
      <c r="K15" s="523" t="s">
        <v>550</v>
      </c>
      <c r="L15" s="526">
        <v>0</v>
      </c>
      <c r="M15" s="526">
        <v>0</v>
      </c>
      <c r="N15" s="523">
        <v>6</v>
      </c>
      <c r="O15" s="527">
        <v>3</v>
      </c>
      <c r="P15" s="526">
        <v>0</v>
      </c>
      <c r="Q15" s="528"/>
      <c r="R15" s="523">
        <v>6</v>
      </c>
      <c r="S15" s="528">
        <v>1</v>
      </c>
      <c r="T15" s="527">
        <v>3</v>
      </c>
      <c r="U15" s="529">
        <v>1</v>
      </c>
    </row>
    <row r="16" spans="1:21" ht="14.4" customHeight="1" x14ac:dyDescent="0.3">
      <c r="A16" s="522">
        <v>19</v>
      </c>
      <c r="B16" s="523" t="s">
        <v>405</v>
      </c>
      <c r="C16" s="523" t="s">
        <v>511</v>
      </c>
      <c r="D16" s="524" t="s">
        <v>641</v>
      </c>
      <c r="E16" s="525" t="s">
        <v>516</v>
      </c>
      <c r="F16" s="523" t="s">
        <v>510</v>
      </c>
      <c r="G16" s="523" t="s">
        <v>552</v>
      </c>
      <c r="H16" s="523" t="s">
        <v>406</v>
      </c>
      <c r="I16" s="523" t="s">
        <v>553</v>
      </c>
      <c r="J16" s="523" t="s">
        <v>554</v>
      </c>
      <c r="K16" s="523" t="s">
        <v>555</v>
      </c>
      <c r="L16" s="526">
        <v>0</v>
      </c>
      <c r="M16" s="526">
        <v>0</v>
      </c>
      <c r="N16" s="523">
        <v>2</v>
      </c>
      <c r="O16" s="527">
        <v>1</v>
      </c>
      <c r="P16" s="526"/>
      <c r="Q16" s="528"/>
      <c r="R16" s="523"/>
      <c r="S16" s="528">
        <v>0</v>
      </c>
      <c r="T16" s="527"/>
      <c r="U16" s="529">
        <v>0</v>
      </c>
    </row>
    <row r="17" spans="1:21" ht="14.4" customHeight="1" x14ac:dyDescent="0.3">
      <c r="A17" s="522">
        <v>19</v>
      </c>
      <c r="B17" s="523" t="s">
        <v>405</v>
      </c>
      <c r="C17" s="523" t="s">
        <v>511</v>
      </c>
      <c r="D17" s="524" t="s">
        <v>641</v>
      </c>
      <c r="E17" s="525" t="s">
        <v>516</v>
      </c>
      <c r="F17" s="523" t="s">
        <v>510</v>
      </c>
      <c r="G17" s="523" t="s">
        <v>556</v>
      </c>
      <c r="H17" s="523" t="s">
        <v>406</v>
      </c>
      <c r="I17" s="523" t="s">
        <v>557</v>
      </c>
      <c r="J17" s="523" t="s">
        <v>558</v>
      </c>
      <c r="K17" s="523" t="s">
        <v>559</v>
      </c>
      <c r="L17" s="526">
        <v>0</v>
      </c>
      <c r="M17" s="526">
        <v>0</v>
      </c>
      <c r="N17" s="523">
        <v>1</v>
      </c>
      <c r="O17" s="527">
        <v>1</v>
      </c>
      <c r="P17" s="526">
        <v>0</v>
      </c>
      <c r="Q17" s="528"/>
      <c r="R17" s="523">
        <v>1</v>
      </c>
      <c r="S17" s="528">
        <v>1</v>
      </c>
      <c r="T17" s="527">
        <v>1</v>
      </c>
      <c r="U17" s="529">
        <v>1</v>
      </c>
    </row>
    <row r="18" spans="1:21" ht="14.4" customHeight="1" x14ac:dyDescent="0.3">
      <c r="A18" s="522">
        <v>19</v>
      </c>
      <c r="B18" s="523" t="s">
        <v>405</v>
      </c>
      <c r="C18" s="523" t="s">
        <v>511</v>
      </c>
      <c r="D18" s="524" t="s">
        <v>641</v>
      </c>
      <c r="E18" s="525" t="s">
        <v>517</v>
      </c>
      <c r="F18" s="523" t="s">
        <v>510</v>
      </c>
      <c r="G18" s="523" t="s">
        <v>560</v>
      </c>
      <c r="H18" s="523" t="s">
        <v>406</v>
      </c>
      <c r="I18" s="523" t="s">
        <v>561</v>
      </c>
      <c r="J18" s="523" t="s">
        <v>562</v>
      </c>
      <c r="K18" s="523" t="s">
        <v>563</v>
      </c>
      <c r="L18" s="526">
        <v>36.35</v>
      </c>
      <c r="M18" s="526">
        <v>36.35</v>
      </c>
      <c r="N18" s="523">
        <v>1</v>
      </c>
      <c r="O18" s="527">
        <v>1</v>
      </c>
      <c r="P18" s="526">
        <v>36.35</v>
      </c>
      <c r="Q18" s="528">
        <v>1</v>
      </c>
      <c r="R18" s="523">
        <v>1</v>
      </c>
      <c r="S18" s="528">
        <v>1</v>
      </c>
      <c r="T18" s="527">
        <v>1</v>
      </c>
      <c r="U18" s="529">
        <v>1</v>
      </c>
    </row>
    <row r="19" spans="1:21" ht="14.4" customHeight="1" x14ac:dyDescent="0.3">
      <c r="A19" s="522">
        <v>19</v>
      </c>
      <c r="B19" s="523" t="s">
        <v>405</v>
      </c>
      <c r="C19" s="523" t="s">
        <v>511</v>
      </c>
      <c r="D19" s="524" t="s">
        <v>641</v>
      </c>
      <c r="E19" s="525" t="s">
        <v>517</v>
      </c>
      <c r="F19" s="523" t="s">
        <v>510</v>
      </c>
      <c r="G19" s="523" t="s">
        <v>535</v>
      </c>
      <c r="H19" s="523" t="s">
        <v>406</v>
      </c>
      <c r="I19" s="523" t="s">
        <v>536</v>
      </c>
      <c r="J19" s="523" t="s">
        <v>537</v>
      </c>
      <c r="K19" s="523" t="s">
        <v>538</v>
      </c>
      <c r="L19" s="526">
        <v>44.59</v>
      </c>
      <c r="M19" s="526">
        <v>2229.5000000000009</v>
      </c>
      <c r="N19" s="523">
        <v>50</v>
      </c>
      <c r="O19" s="527">
        <v>25</v>
      </c>
      <c r="P19" s="526">
        <v>1961.9600000000009</v>
      </c>
      <c r="Q19" s="528">
        <v>0.88000000000000012</v>
      </c>
      <c r="R19" s="523">
        <v>44</v>
      </c>
      <c r="S19" s="528">
        <v>0.88</v>
      </c>
      <c r="T19" s="527">
        <v>22</v>
      </c>
      <c r="U19" s="529">
        <v>0.88</v>
      </c>
    </row>
    <row r="20" spans="1:21" ht="14.4" customHeight="1" x14ac:dyDescent="0.3">
      <c r="A20" s="522">
        <v>19</v>
      </c>
      <c r="B20" s="523" t="s">
        <v>405</v>
      </c>
      <c r="C20" s="523" t="s">
        <v>511</v>
      </c>
      <c r="D20" s="524" t="s">
        <v>641</v>
      </c>
      <c r="E20" s="525" t="s">
        <v>517</v>
      </c>
      <c r="F20" s="523" t="s">
        <v>510</v>
      </c>
      <c r="G20" s="523" t="s">
        <v>564</v>
      </c>
      <c r="H20" s="523" t="s">
        <v>642</v>
      </c>
      <c r="I20" s="523" t="s">
        <v>565</v>
      </c>
      <c r="J20" s="523" t="s">
        <v>566</v>
      </c>
      <c r="K20" s="523" t="s">
        <v>567</v>
      </c>
      <c r="L20" s="526">
        <v>86.41</v>
      </c>
      <c r="M20" s="526">
        <v>259.23</v>
      </c>
      <c r="N20" s="523">
        <v>3</v>
      </c>
      <c r="O20" s="527">
        <v>1</v>
      </c>
      <c r="P20" s="526"/>
      <c r="Q20" s="528">
        <v>0</v>
      </c>
      <c r="R20" s="523"/>
      <c r="S20" s="528">
        <v>0</v>
      </c>
      <c r="T20" s="527"/>
      <c r="U20" s="529">
        <v>0</v>
      </c>
    </row>
    <row r="21" spans="1:21" ht="14.4" customHeight="1" x14ac:dyDescent="0.3">
      <c r="A21" s="522">
        <v>19</v>
      </c>
      <c r="B21" s="523" t="s">
        <v>405</v>
      </c>
      <c r="C21" s="523" t="s">
        <v>511</v>
      </c>
      <c r="D21" s="524" t="s">
        <v>641</v>
      </c>
      <c r="E21" s="525" t="s">
        <v>517</v>
      </c>
      <c r="F21" s="523" t="s">
        <v>510</v>
      </c>
      <c r="G21" s="523" t="s">
        <v>568</v>
      </c>
      <c r="H21" s="523" t="s">
        <v>406</v>
      </c>
      <c r="I21" s="523" t="s">
        <v>569</v>
      </c>
      <c r="J21" s="523" t="s">
        <v>570</v>
      </c>
      <c r="K21" s="523" t="s">
        <v>571</v>
      </c>
      <c r="L21" s="526">
        <v>146.84</v>
      </c>
      <c r="M21" s="526">
        <v>146.84</v>
      </c>
      <c r="N21" s="523">
        <v>1</v>
      </c>
      <c r="O21" s="527">
        <v>1</v>
      </c>
      <c r="P21" s="526">
        <v>146.84</v>
      </c>
      <c r="Q21" s="528">
        <v>1</v>
      </c>
      <c r="R21" s="523">
        <v>1</v>
      </c>
      <c r="S21" s="528">
        <v>1</v>
      </c>
      <c r="T21" s="527">
        <v>1</v>
      </c>
      <c r="U21" s="529">
        <v>1</v>
      </c>
    </row>
    <row r="22" spans="1:21" ht="14.4" customHeight="1" x14ac:dyDescent="0.3">
      <c r="A22" s="522">
        <v>19</v>
      </c>
      <c r="B22" s="523" t="s">
        <v>405</v>
      </c>
      <c r="C22" s="523" t="s">
        <v>511</v>
      </c>
      <c r="D22" s="524" t="s">
        <v>641</v>
      </c>
      <c r="E22" s="525" t="s">
        <v>517</v>
      </c>
      <c r="F22" s="523" t="s">
        <v>510</v>
      </c>
      <c r="G22" s="523" t="s">
        <v>572</v>
      </c>
      <c r="H22" s="523" t="s">
        <v>406</v>
      </c>
      <c r="I22" s="523" t="s">
        <v>573</v>
      </c>
      <c r="J22" s="523" t="s">
        <v>574</v>
      </c>
      <c r="K22" s="523" t="s">
        <v>575</v>
      </c>
      <c r="L22" s="526">
        <v>57.64</v>
      </c>
      <c r="M22" s="526">
        <v>57.64</v>
      </c>
      <c r="N22" s="523">
        <v>1</v>
      </c>
      <c r="O22" s="527">
        <v>1</v>
      </c>
      <c r="P22" s="526">
        <v>57.64</v>
      </c>
      <c r="Q22" s="528">
        <v>1</v>
      </c>
      <c r="R22" s="523">
        <v>1</v>
      </c>
      <c r="S22" s="528">
        <v>1</v>
      </c>
      <c r="T22" s="527">
        <v>1</v>
      </c>
      <c r="U22" s="529">
        <v>1</v>
      </c>
    </row>
    <row r="23" spans="1:21" ht="14.4" customHeight="1" x14ac:dyDescent="0.3">
      <c r="A23" s="522">
        <v>19</v>
      </c>
      <c r="B23" s="523" t="s">
        <v>405</v>
      </c>
      <c r="C23" s="523" t="s">
        <v>511</v>
      </c>
      <c r="D23" s="524" t="s">
        <v>641</v>
      </c>
      <c r="E23" s="525" t="s">
        <v>517</v>
      </c>
      <c r="F23" s="523" t="s">
        <v>510</v>
      </c>
      <c r="G23" s="523" t="s">
        <v>547</v>
      </c>
      <c r="H23" s="523" t="s">
        <v>406</v>
      </c>
      <c r="I23" s="523" t="s">
        <v>548</v>
      </c>
      <c r="J23" s="523" t="s">
        <v>549</v>
      </c>
      <c r="K23" s="523" t="s">
        <v>550</v>
      </c>
      <c r="L23" s="526">
        <v>0</v>
      </c>
      <c r="M23" s="526">
        <v>0</v>
      </c>
      <c r="N23" s="523">
        <v>6</v>
      </c>
      <c r="O23" s="527">
        <v>3</v>
      </c>
      <c r="P23" s="526">
        <v>0</v>
      </c>
      <c r="Q23" s="528"/>
      <c r="R23" s="523">
        <v>4</v>
      </c>
      <c r="S23" s="528">
        <v>0.66666666666666663</v>
      </c>
      <c r="T23" s="527">
        <v>2</v>
      </c>
      <c r="U23" s="529">
        <v>0.66666666666666663</v>
      </c>
    </row>
    <row r="24" spans="1:21" ht="14.4" customHeight="1" x14ac:dyDescent="0.3">
      <c r="A24" s="522">
        <v>19</v>
      </c>
      <c r="B24" s="523" t="s">
        <v>405</v>
      </c>
      <c r="C24" s="523" t="s">
        <v>511</v>
      </c>
      <c r="D24" s="524" t="s">
        <v>641</v>
      </c>
      <c r="E24" s="525" t="s">
        <v>517</v>
      </c>
      <c r="F24" s="523" t="s">
        <v>510</v>
      </c>
      <c r="G24" s="523" t="s">
        <v>576</v>
      </c>
      <c r="H24" s="523" t="s">
        <v>406</v>
      </c>
      <c r="I24" s="523" t="s">
        <v>577</v>
      </c>
      <c r="J24" s="523" t="s">
        <v>578</v>
      </c>
      <c r="K24" s="523" t="s">
        <v>579</v>
      </c>
      <c r="L24" s="526">
        <v>256.67</v>
      </c>
      <c r="M24" s="526">
        <v>256.67</v>
      </c>
      <c r="N24" s="523">
        <v>1</v>
      </c>
      <c r="O24" s="527">
        <v>1</v>
      </c>
      <c r="P24" s="526">
        <v>256.67</v>
      </c>
      <c r="Q24" s="528">
        <v>1</v>
      </c>
      <c r="R24" s="523">
        <v>1</v>
      </c>
      <c r="S24" s="528">
        <v>1</v>
      </c>
      <c r="T24" s="527">
        <v>1</v>
      </c>
      <c r="U24" s="529">
        <v>1</v>
      </c>
    </row>
    <row r="25" spans="1:21" ht="14.4" customHeight="1" x14ac:dyDescent="0.3">
      <c r="A25" s="522">
        <v>19</v>
      </c>
      <c r="B25" s="523" t="s">
        <v>405</v>
      </c>
      <c r="C25" s="523" t="s">
        <v>511</v>
      </c>
      <c r="D25" s="524" t="s">
        <v>641</v>
      </c>
      <c r="E25" s="525" t="s">
        <v>517</v>
      </c>
      <c r="F25" s="523" t="s">
        <v>510</v>
      </c>
      <c r="G25" s="523" t="s">
        <v>580</v>
      </c>
      <c r="H25" s="523" t="s">
        <v>642</v>
      </c>
      <c r="I25" s="523" t="s">
        <v>581</v>
      </c>
      <c r="J25" s="523" t="s">
        <v>582</v>
      </c>
      <c r="K25" s="523" t="s">
        <v>583</v>
      </c>
      <c r="L25" s="526">
        <v>25.5</v>
      </c>
      <c r="M25" s="526">
        <v>25.5</v>
      </c>
      <c r="N25" s="523">
        <v>1</v>
      </c>
      <c r="O25" s="527">
        <v>1</v>
      </c>
      <c r="P25" s="526"/>
      <c r="Q25" s="528">
        <v>0</v>
      </c>
      <c r="R25" s="523"/>
      <c r="S25" s="528">
        <v>0</v>
      </c>
      <c r="T25" s="527"/>
      <c r="U25" s="529">
        <v>0</v>
      </c>
    </row>
    <row r="26" spans="1:21" ht="14.4" customHeight="1" x14ac:dyDescent="0.3">
      <c r="A26" s="522">
        <v>19</v>
      </c>
      <c r="B26" s="523" t="s">
        <v>405</v>
      </c>
      <c r="C26" s="523" t="s">
        <v>511</v>
      </c>
      <c r="D26" s="524" t="s">
        <v>641</v>
      </c>
      <c r="E26" s="525" t="s">
        <v>517</v>
      </c>
      <c r="F26" s="523" t="s">
        <v>510</v>
      </c>
      <c r="G26" s="523" t="s">
        <v>584</v>
      </c>
      <c r="H26" s="523" t="s">
        <v>406</v>
      </c>
      <c r="I26" s="523" t="s">
        <v>585</v>
      </c>
      <c r="J26" s="523" t="s">
        <v>586</v>
      </c>
      <c r="K26" s="523" t="s">
        <v>587</v>
      </c>
      <c r="L26" s="526">
        <v>22.44</v>
      </c>
      <c r="M26" s="526">
        <v>44.88</v>
      </c>
      <c r="N26" s="523">
        <v>2</v>
      </c>
      <c r="O26" s="527">
        <v>1</v>
      </c>
      <c r="P26" s="526">
        <v>44.88</v>
      </c>
      <c r="Q26" s="528">
        <v>1</v>
      </c>
      <c r="R26" s="523">
        <v>2</v>
      </c>
      <c r="S26" s="528">
        <v>1</v>
      </c>
      <c r="T26" s="527">
        <v>1</v>
      </c>
      <c r="U26" s="529">
        <v>1</v>
      </c>
    </row>
    <row r="27" spans="1:21" ht="14.4" customHeight="1" x14ac:dyDescent="0.3">
      <c r="A27" s="522">
        <v>19</v>
      </c>
      <c r="B27" s="523" t="s">
        <v>405</v>
      </c>
      <c r="C27" s="523" t="s">
        <v>511</v>
      </c>
      <c r="D27" s="524" t="s">
        <v>641</v>
      </c>
      <c r="E27" s="525" t="s">
        <v>517</v>
      </c>
      <c r="F27" s="523" t="s">
        <v>510</v>
      </c>
      <c r="G27" s="523" t="s">
        <v>584</v>
      </c>
      <c r="H27" s="523" t="s">
        <v>406</v>
      </c>
      <c r="I27" s="523" t="s">
        <v>588</v>
      </c>
      <c r="J27" s="523" t="s">
        <v>586</v>
      </c>
      <c r="K27" s="523" t="s">
        <v>589</v>
      </c>
      <c r="L27" s="526">
        <v>31.42</v>
      </c>
      <c r="M27" s="526">
        <v>31.42</v>
      </c>
      <c r="N27" s="523">
        <v>1</v>
      </c>
      <c r="O27" s="527">
        <v>1</v>
      </c>
      <c r="P27" s="526"/>
      <c r="Q27" s="528">
        <v>0</v>
      </c>
      <c r="R27" s="523"/>
      <c r="S27" s="528">
        <v>0</v>
      </c>
      <c r="T27" s="527"/>
      <c r="U27" s="529">
        <v>0</v>
      </c>
    </row>
    <row r="28" spans="1:21" ht="14.4" customHeight="1" x14ac:dyDescent="0.3">
      <c r="A28" s="522">
        <v>19</v>
      </c>
      <c r="B28" s="523" t="s">
        <v>405</v>
      </c>
      <c r="C28" s="523" t="s">
        <v>511</v>
      </c>
      <c r="D28" s="524" t="s">
        <v>641</v>
      </c>
      <c r="E28" s="525" t="s">
        <v>518</v>
      </c>
      <c r="F28" s="523" t="s">
        <v>510</v>
      </c>
      <c r="G28" s="523" t="s">
        <v>590</v>
      </c>
      <c r="H28" s="523" t="s">
        <v>642</v>
      </c>
      <c r="I28" s="523" t="s">
        <v>591</v>
      </c>
      <c r="J28" s="523" t="s">
        <v>592</v>
      </c>
      <c r="K28" s="523" t="s">
        <v>593</v>
      </c>
      <c r="L28" s="526">
        <v>117.73</v>
      </c>
      <c r="M28" s="526">
        <v>353.19</v>
      </c>
      <c r="N28" s="523">
        <v>3</v>
      </c>
      <c r="O28" s="527">
        <v>0.5</v>
      </c>
      <c r="P28" s="526">
        <v>353.19</v>
      </c>
      <c r="Q28" s="528">
        <v>1</v>
      </c>
      <c r="R28" s="523">
        <v>3</v>
      </c>
      <c r="S28" s="528">
        <v>1</v>
      </c>
      <c r="T28" s="527">
        <v>0.5</v>
      </c>
      <c r="U28" s="529">
        <v>1</v>
      </c>
    </row>
    <row r="29" spans="1:21" ht="14.4" customHeight="1" x14ac:dyDescent="0.3">
      <c r="A29" s="522">
        <v>19</v>
      </c>
      <c r="B29" s="523" t="s">
        <v>405</v>
      </c>
      <c r="C29" s="523" t="s">
        <v>511</v>
      </c>
      <c r="D29" s="524" t="s">
        <v>641</v>
      </c>
      <c r="E29" s="525" t="s">
        <v>518</v>
      </c>
      <c r="F29" s="523" t="s">
        <v>510</v>
      </c>
      <c r="G29" s="523" t="s">
        <v>590</v>
      </c>
      <c r="H29" s="523" t="s">
        <v>642</v>
      </c>
      <c r="I29" s="523" t="s">
        <v>594</v>
      </c>
      <c r="J29" s="523" t="s">
        <v>592</v>
      </c>
      <c r="K29" s="523" t="s">
        <v>595</v>
      </c>
      <c r="L29" s="526">
        <v>392.42</v>
      </c>
      <c r="M29" s="526">
        <v>392.42</v>
      </c>
      <c r="N29" s="523">
        <v>1</v>
      </c>
      <c r="O29" s="527">
        <v>1</v>
      </c>
      <c r="P29" s="526">
        <v>392.42</v>
      </c>
      <c r="Q29" s="528">
        <v>1</v>
      </c>
      <c r="R29" s="523">
        <v>1</v>
      </c>
      <c r="S29" s="528">
        <v>1</v>
      </c>
      <c r="T29" s="527">
        <v>1</v>
      </c>
      <c r="U29" s="529">
        <v>1</v>
      </c>
    </row>
    <row r="30" spans="1:21" ht="14.4" customHeight="1" x14ac:dyDescent="0.3">
      <c r="A30" s="522">
        <v>19</v>
      </c>
      <c r="B30" s="523" t="s">
        <v>405</v>
      </c>
      <c r="C30" s="523" t="s">
        <v>511</v>
      </c>
      <c r="D30" s="524" t="s">
        <v>641</v>
      </c>
      <c r="E30" s="525" t="s">
        <v>518</v>
      </c>
      <c r="F30" s="523" t="s">
        <v>510</v>
      </c>
      <c r="G30" s="523" t="s">
        <v>596</v>
      </c>
      <c r="H30" s="523" t="s">
        <v>642</v>
      </c>
      <c r="I30" s="523" t="s">
        <v>597</v>
      </c>
      <c r="J30" s="523" t="s">
        <v>598</v>
      </c>
      <c r="K30" s="523" t="s">
        <v>599</v>
      </c>
      <c r="L30" s="526">
        <v>93.43</v>
      </c>
      <c r="M30" s="526">
        <v>280.29000000000002</v>
      </c>
      <c r="N30" s="523">
        <v>3</v>
      </c>
      <c r="O30" s="527">
        <v>1</v>
      </c>
      <c r="P30" s="526">
        <v>280.29000000000002</v>
      </c>
      <c r="Q30" s="528">
        <v>1</v>
      </c>
      <c r="R30" s="523">
        <v>3</v>
      </c>
      <c r="S30" s="528">
        <v>1</v>
      </c>
      <c r="T30" s="527">
        <v>1</v>
      </c>
      <c r="U30" s="529">
        <v>1</v>
      </c>
    </row>
    <row r="31" spans="1:21" ht="14.4" customHeight="1" x14ac:dyDescent="0.3">
      <c r="A31" s="522">
        <v>19</v>
      </c>
      <c r="B31" s="523" t="s">
        <v>405</v>
      </c>
      <c r="C31" s="523" t="s">
        <v>511</v>
      </c>
      <c r="D31" s="524" t="s">
        <v>641</v>
      </c>
      <c r="E31" s="525" t="s">
        <v>518</v>
      </c>
      <c r="F31" s="523" t="s">
        <v>510</v>
      </c>
      <c r="G31" s="523" t="s">
        <v>596</v>
      </c>
      <c r="H31" s="523" t="s">
        <v>642</v>
      </c>
      <c r="I31" s="523" t="s">
        <v>600</v>
      </c>
      <c r="J31" s="523" t="s">
        <v>598</v>
      </c>
      <c r="K31" s="523" t="s">
        <v>601</v>
      </c>
      <c r="L31" s="526">
        <v>186.87</v>
      </c>
      <c r="M31" s="526">
        <v>373.74</v>
      </c>
      <c r="N31" s="523">
        <v>2</v>
      </c>
      <c r="O31" s="527">
        <v>1.5</v>
      </c>
      <c r="P31" s="526">
        <v>373.74</v>
      </c>
      <c r="Q31" s="528">
        <v>1</v>
      </c>
      <c r="R31" s="523">
        <v>2</v>
      </c>
      <c r="S31" s="528">
        <v>1</v>
      </c>
      <c r="T31" s="527">
        <v>1.5</v>
      </c>
      <c r="U31" s="529">
        <v>1</v>
      </c>
    </row>
    <row r="32" spans="1:21" ht="14.4" customHeight="1" x14ac:dyDescent="0.3">
      <c r="A32" s="522">
        <v>19</v>
      </c>
      <c r="B32" s="523" t="s">
        <v>405</v>
      </c>
      <c r="C32" s="523" t="s">
        <v>511</v>
      </c>
      <c r="D32" s="524" t="s">
        <v>641</v>
      </c>
      <c r="E32" s="525" t="s">
        <v>518</v>
      </c>
      <c r="F32" s="523" t="s">
        <v>510</v>
      </c>
      <c r="G32" s="523" t="s">
        <v>602</v>
      </c>
      <c r="H32" s="523" t="s">
        <v>642</v>
      </c>
      <c r="I32" s="523" t="s">
        <v>603</v>
      </c>
      <c r="J32" s="523" t="s">
        <v>604</v>
      </c>
      <c r="K32" s="523" t="s">
        <v>605</v>
      </c>
      <c r="L32" s="526">
        <v>46.07</v>
      </c>
      <c r="M32" s="526">
        <v>46.07</v>
      </c>
      <c r="N32" s="523">
        <v>1</v>
      </c>
      <c r="O32" s="527">
        <v>1</v>
      </c>
      <c r="P32" s="526">
        <v>46.07</v>
      </c>
      <c r="Q32" s="528">
        <v>1</v>
      </c>
      <c r="R32" s="523">
        <v>1</v>
      </c>
      <c r="S32" s="528">
        <v>1</v>
      </c>
      <c r="T32" s="527">
        <v>1</v>
      </c>
      <c r="U32" s="529">
        <v>1</v>
      </c>
    </row>
    <row r="33" spans="1:21" ht="14.4" customHeight="1" x14ac:dyDescent="0.3">
      <c r="A33" s="522">
        <v>19</v>
      </c>
      <c r="B33" s="523" t="s">
        <v>405</v>
      </c>
      <c r="C33" s="523" t="s">
        <v>511</v>
      </c>
      <c r="D33" s="524" t="s">
        <v>641</v>
      </c>
      <c r="E33" s="525" t="s">
        <v>518</v>
      </c>
      <c r="F33" s="523" t="s">
        <v>510</v>
      </c>
      <c r="G33" s="523" t="s">
        <v>606</v>
      </c>
      <c r="H33" s="523" t="s">
        <v>406</v>
      </c>
      <c r="I33" s="523" t="s">
        <v>607</v>
      </c>
      <c r="J33" s="523" t="s">
        <v>608</v>
      </c>
      <c r="K33" s="523" t="s">
        <v>609</v>
      </c>
      <c r="L33" s="526">
        <v>39.630000000000003</v>
      </c>
      <c r="M33" s="526">
        <v>79.260000000000005</v>
      </c>
      <c r="N33" s="523">
        <v>2</v>
      </c>
      <c r="O33" s="527">
        <v>1</v>
      </c>
      <c r="P33" s="526">
        <v>79.260000000000005</v>
      </c>
      <c r="Q33" s="528">
        <v>1</v>
      </c>
      <c r="R33" s="523">
        <v>2</v>
      </c>
      <c r="S33" s="528">
        <v>1</v>
      </c>
      <c r="T33" s="527">
        <v>1</v>
      </c>
      <c r="U33" s="529">
        <v>1</v>
      </c>
    </row>
    <row r="34" spans="1:21" ht="14.4" customHeight="1" x14ac:dyDescent="0.3">
      <c r="A34" s="522">
        <v>19</v>
      </c>
      <c r="B34" s="523" t="s">
        <v>405</v>
      </c>
      <c r="C34" s="523" t="s">
        <v>511</v>
      </c>
      <c r="D34" s="524" t="s">
        <v>641</v>
      </c>
      <c r="E34" s="525" t="s">
        <v>518</v>
      </c>
      <c r="F34" s="523" t="s">
        <v>510</v>
      </c>
      <c r="G34" s="523" t="s">
        <v>610</v>
      </c>
      <c r="H34" s="523" t="s">
        <v>406</v>
      </c>
      <c r="I34" s="523" t="s">
        <v>611</v>
      </c>
      <c r="J34" s="523" t="s">
        <v>612</v>
      </c>
      <c r="K34" s="523" t="s">
        <v>613</v>
      </c>
      <c r="L34" s="526">
        <v>51.31</v>
      </c>
      <c r="M34" s="526">
        <v>102.62</v>
      </c>
      <c r="N34" s="523">
        <v>2</v>
      </c>
      <c r="O34" s="527">
        <v>1</v>
      </c>
      <c r="P34" s="526">
        <v>102.62</v>
      </c>
      <c r="Q34" s="528">
        <v>1</v>
      </c>
      <c r="R34" s="523">
        <v>2</v>
      </c>
      <c r="S34" s="528">
        <v>1</v>
      </c>
      <c r="T34" s="527">
        <v>1</v>
      </c>
      <c r="U34" s="529">
        <v>1</v>
      </c>
    </row>
    <row r="35" spans="1:21" ht="14.4" customHeight="1" x14ac:dyDescent="0.3">
      <c r="A35" s="522">
        <v>19</v>
      </c>
      <c r="B35" s="523" t="s">
        <v>405</v>
      </c>
      <c r="C35" s="523" t="s">
        <v>511</v>
      </c>
      <c r="D35" s="524" t="s">
        <v>641</v>
      </c>
      <c r="E35" s="525" t="s">
        <v>518</v>
      </c>
      <c r="F35" s="523" t="s">
        <v>510</v>
      </c>
      <c r="G35" s="523" t="s">
        <v>610</v>
      </c>
      <c r="H35" s="523" t="s">
        <v>406</v>
      </c>
      <c r="I35" s="523" t="s">
        <v>614</v>
      </c>
      <c r="J35" s="523" t="s">
        <v>612</v>
      </c>
      <c r="K35" s="523" t="s">
        <v>615</v>
      </c>
      <c r="L35" s="526">
        <v>0</v>
      </c>
      <c r="M35" s="526">
        <v>0</v>
      </c>
      <c r="N35" s="523">
        <v>3</v>
      </c>
      <c r="O35" s="527">
        <v>1</v>
      </c>
      <c r="P35" s="526">
        <v>0</v>
      </c>
      <c r="Q35" s="528"/>
      <c r="R35" s="523">
        <v>3</v>
      </c>
      <c r="S35" s="528">
        <v>1</v>
      </c>
      <c r="T35" s="527">
        <v>1</v>
      </c>
      <c r="U35" s="529">
        <v>1</v>
      </c>
    </row>
    <row r="36" spans="1:21" ht="14.4" customHeight="1" x14ac:dyDescent="0.3">
      <c r="A36" s="522">
        <v>19</v>
      </c>
      <c r="B36" s="523" t="s">
        <v>405</v>
      </c>
      <c r="C36" s="523" t="s">
        <v>511</v>
      </c>
      <c r="D36" s="524" t="s">
        <v>641</v>
      </c>
      <c r="E36" s="525" t="s">
        <v>518</v>
      </c>
      <c r="F36" s="523" t="s">
        <v>510</v>
      </c>
      <c r="G36" s="523" t="s">
        <v>616</v>
      </c>
      <c r="H36" s="523" t="s">
        <v>406</v>
      </c>
      <c r="I36" s="523" t="s">
        <v>617</v>
      </c>
      <c r="J36" s="523" t="s">
        <v>618</v>
      </c>
      <c r="K36" s="523" t="s">
        <v>619</v>
      </c>
      <c r="L36" s="526">
        <v>0</v>
      </c>
      <c r="M36" s="526">
        <v>0</v>
      </c>
      <c r="N36" s="523">
        <v>2</v>
      </c>
      <c r="O36" s="527">
        <v>1</v>
      </c>
      <c r="P36" s="526"/>
      <c r="Q36" s="528"/>
      <c r="R36" s="523"/>
      <c r="S36" s="528">
        <v>0</v>
      </c>
      <c r="T36" s="527"/>
      <c r="U36" s="529">
        <v>0</v>
      </c>
    </row>
    <row r="37" spans="1:21" ht="14.4" customHeight="1" x14ac:dyDescent="0.3">
      <c r="A37" s="522">
        <v>19</v>
      </c>
      <c r="B37" s="523" t="s">
        <v>405</v>
      </c>
      <c r="C37" s="523" t="s">
        <v>511</v>
      </c>
      <c r="D37" s="524" t="s">
        <v>641</v>
      </c>
      <c r="E37" s="525" t="s">
        <v>518</v>
      </c>
      <c r="F37" s="523" t="s">
        <v>510</v>
      </c>
      <c r="G37" s="523" t="s">
        <v>616</v>
      </c>
      <c r="H37" s="523" t="s">
        <v>406</v>
      </c>
      <c r="I37" s="523" t="s">
        <v>620</v>
      </c>
      <c r="J37" s="523" t="s">
        <v>618</v>
      </c>
      <c r="K37" s="523" t="s">
        <v>621</v>
      </c>
      <c r="L37" s="526">
        <v>0</v>
      </c>
      <c r="M37" s="526">
        <v>0</v>
      </c>
      <c r="N37" s="523">
        <v>1</v>
      </c>
      <c r="O37" s="527">
        <v>1</v>
      </c>
      <c r="P37" s="526"/>
      <c r="Q37" s="528"/>
      <c r="R37" s="523"/>
      <c r="S37" s="528">
        <v>0</v>
      </c>
      <c r="T37" s="527"/>
      <c r="U37" s="529">
        <v>0</v>
      </c>
    </row>
    <row r="38" spans="1:21" ht="14.4" customHeight="1" x14ac:dyDescent="0.3">
      <c r="A38" s="522">
        <v>19</v>
      </c>
      <c r="B38" s="523" t="s">
        <v>405</v>
      </c>
      <c r="C38" s="523" t="s">
        <v>511</v>
      </c>
      <c r="D38" s="524" t="s">
        <v>641</v>
      </c>
      <c r="E38" s="525" t="s">
        <v>518</v>
      </c>
      <c r="F38" s="523" t="s">
        <v>510</v>
      </c>
      <c r="G38" s="523" t="s">
        <v>616</v>
      </c>
      <c r="H38" s="523" t="s">
        <v>406</v>
      </c>
      <c r="I38" s="523" t="s">
        <v>622</v>
      </c>
      <c r="J38" s="523" t="s">
        <v>618</v>
      </c>
      <c r="K38" s="523" t="s">
        <v>623</v>
      </c>
      <c r="L38" s="526">
        <v>0</v>
      </c>
      <c r="M38" s="526">
        <v>0</v>
      </c>
      <c r="N38" s="523">
        <v>2</v>
      </c>
      <c r="O38" s="527">
        <v>1</v>
      </c>
      <c r="P38" s="526"/>
      <c r="Q38" s="528"/>
      <c r="R38" s="523"/>
      <c r="S38" s="528">
        <v>0</v>
      </c>
      <c r="T38" s="527"/>
      <c r="U38" s="529">
        <v>0</v>
      </c>
    </row>
    <row r="39" spans="1:21" ht="14.4" customHeight="1" x14ac:dyDescent="0.3">
      <c r="A39" s="522">
        <v>19</v>
      </c>
      <c r="B39" s="523" t="s">
        <v>405</v>
      </c>
      <c r="C39" s="523" t="s">
        <v>511</v>
      </c>
      <c r="D39" s="524" t="s">
        <v>641</v>
      </c>
      <c r="E39" s="525" t="s">
        <v>519</v>
      </c>
      <c r="F39" s="523" t="s">
        <v>510</v>
      </c>
      <c r="G39" s="523" t="s">
        <v>624</v>
      </c>
      <c r="H39" s="523" t="s">
        <v>406</v>
      </c>
      <c r="I39" s="523" t="s">
        <v>625</v>
      </c>
      <c r="J39" s="523" t="s">
        <v>626</v>
      </c>
      <c r="K39" s="523" t="s">
        <v>627</v>
      </c>
      <c r="L39" s="526">
        <v>243.59</v>
      </c>
      <c r="M39" s="526">
        <v>487.18</v>
      </c>
      <c r="N39" s="523">
        <v>2</v>
      </c>
      <c r="O39" s="527">
        <v>1.5</v>
      </c>
      <c r="P39" s="526"/>
      <c r="Q39" s="528">
        <v>0</v>
      </c>
      <c r="R39" s="523"/>
      <c r="S39" s="528">
        <v>0</v>
      </c>
      <c r="T39" s="527"/>
      <c r="U39" s="529">
        <v>0</v>
      </c>
    </row>
    <row r="40" spans="1:21" ht="14.4" customHeight="1" x14ac:dyDescent="0.3">
      <c r="A40" s="522">
        <v>19</v>
      </c>
      <c r="B40" s="523" t="s">
        <v>405</v>
      </c>
      <c r="C40" s="523" t="s">
        <v>511</v>
      </c>
      <c r="D40" s="524" t="s">
        <v>641</v>
      </c>
      <c r="E40" s="525" t="s">
        <v>519</v>
      </c>
      <c r="F40" s="523" t="s">
        <v>510</v>
      </c>
      <c r="G40" s="523" t="s">
        <v>535</v>
      </c>
      <c r="H40" s="523" t="s">
        <v>406</v>
      </c>
      <c r="I40" s="523" t="s">
        <v>536</v>
      </c>
      <c r="J40" s="523" t="s">
        <v>537</v>
      </c>
      <c r="K40" s="523" t="s">
        <v>538</v>
      </c>
      <c r="L40" s="526">
        <v>44.59</v>
      </c>
      <c r="M40" s="526">
        <v>1426.8800000000006</v>
      </c>
      <c r="N40" s="523">
        <v>32</v>
      </c>
      <c r="O40" s="527">
        <v>16</v>
      </c>
      <c r="P40" s="526">
        <v>1248.5200000000004</v>
      </c>
      <c r="Q40" s="528">
        <v>0.875</v>
      </c>
      <c r="R40" s="523">
        <v>28</v>
      </c>
      <c r="S40" s="528">
        <v>0.875</v>
      </c>
      <c r="T40" s="527">
        <v>14</v>
      </c>
      <c r="U40" s="529">
        <v>0.875</v>
      </c>
    </row>
    <row r="41" spans="1:21" ht="14.4" customHeight="1" x14ac:dyDescent="0.3">
      <c r="A41" s="522">
        <v>19</v>
      </c>
      <c r="B41" s="523" t="s">
        <v>405</v>
      </c>
      <c r="C41" s="523" t="s">
        <v>511</v>
      </c>
      <c r="D41" s="524" t="s">
        <v>641</v>
      </c>
      <c r="E41" s="525" t="s">
        <v>519</v>
      </c>
      <c r="F41" s="523" t="s">
        <v>510</v>
      </c>
      <c r="G41" s="523" t="s">
        <v>564</v>
      </c>
      <c r="H41" s="523" t="s">
        <v>406</v>
      </c>
      <c r="I41" s="523" t="s">
        <v>628</v>
      </c>
      <c r="J41" s="523" t="s">
        <v>629</v>
      </c>
      <c r="K41" s="523" t="s">
        <v>630</v>
      </c>
      <c r="L41" s="526">
        <v>0</v>
      </c>
      <c r="M41" s="526">
        <v>0</v>
      </c>
      <c r="N41" s="523">
        <v>3</v>
      </c>
      <c r="O41" s="527">
        <v>0.5</v>
      </c>
      <c r="P41" s="526"/>
      <c r="Q41" s="528"/>
      <c r="R41" s="523"/>
      <c r="S41" s="528">
        <v>0</v>
      </c>
      <c r="T41" s="527"/>
      <c r="U41" s="529">
        <v>0</v>
      </c>
    </row>
    <row r="42" spans="1:21" ht="14.4" customHeight="1" x14ac:dyDescent="0.3">
      <c r="A42" s="522">
        <v>19</v>
      </c>
      <c r="B42" s="523" t="s">
        <v>405</v>
      </c>
      <c r="C42" s="523" t="s">
        <v>511</v>
      </c>
      <c r="D42" s="524" t="s">
        <v>641</v>
      </c>
      <c r="E42" s="525" t="s">
        <v>519</v>
      </c>
      <c r="F42" s="523" t="s">
        <v>510</v>
      </c>
      <c r="G42" s="523" t="s">
        <v>631</v>
      </c>
      <c r="H42" s="523" t="s">
        <v>406</v>
      </c>
      <c r="I42" s="523" t="s">
        <v>632</v>
      </c>
      <c r="J42" s="523" t="s">
        <v>633</v>
      </c>
      <c r="K42" s="523" t="s">
        <v>634</v>
      </c>
      <c r="L42" s="526">
        <v>234.07</v>
      </c>
      <c r="M42" s="526">
        <v>234.07</v>
      </c>
      <c r="N42" s="523">
        <v>1</v>
      </c>
      <c r="O42" s="527">
        <v>0.5</v>
      </c>
      <c r="P42" s="526"/>
      <c r="Q42" s="528">
        <v>0</v>
      </c>
      <c r="R42" s="523"/>
      <c r="S42" s="528">
        <v>0</v>
      </c>
      <c r="T42" s="527"/>
      <c r="U42" s="529">
        <v>0</v>
      </c>
    </row>
    <row r="43" spans="1:21" ht="14.4" customHeight="1" x14ac:dyDescent="0.3">
      <c r="A43" s="522">
        <v>19</v>
      </c>
      <c r="B43" s="523" t="s">
        <v>405</v>
      </c>
      <c r="C43" s="523" t="s">
        <v>511</v>
      </c>
      <c r="D43" s="524" t="s">
        <v>641</v>
      </c>
      <c r="E43" s="525" t="s">
        <v>519</v>
      </c>
      <c r="F43" s="523" t="s">
        <v>510</v>
      </c>
      <c r="G43" s="523" t="s">
        <v>631</v>
      </c>
      <c r="H43" s="523" t="s">
        <v>406</v>
      </c>
      <c r="I43" s="523" t="s">
        <v>635</v>
      </c>
      <c r="J43" s="523" t="s">
        <v>636</v>
      </c>
      <c r="K43" s="523" t="s">
        <v>634</v>
      </c>
      <c r="L43" s="526">
        <v>234.07</v>
      </c>
      <c r="M43" s="526">
        <v>234.07</v>
      </c>
      <c r="N43" s="523">
        <v>1</v>
      </c>
      <c r="O43" s="527">
        <v>0.5</v>
      </c>
      <c r="P43" s="526"/>
      <c r="Q43" s="528">
        <v>0</v>
      </c>
      <c r="R43" s="523"/>
      <c r="S43" s="528">
        <v>0</v>
      </c>
      <c r="T43" s="527"/>
      <c r="U43" s="529">
        <v>0</v>
      </c>
    </row>
    <row r="44" spans="1:21" ht="14.4" customHeight="1" x14ac:dyDescent="0.3">
      <c r="A44" s="522">
        <v>19</v>
      </c>
      <c r="B44" s="523" t="s">
        <v>405</v>
      </c>
      <c r="C44" s="523" t="s">
        <v>511</v>
      </c>
      <c r="D44" s="524" t="s">
        <v>641</v>
      </c>
      <c r="E44" s="525" t="s">
        <v>519</v>
      </c>
      <c r="F44" s="523" t="s">
        <v>510</v>
      </c>
      <c r="G44" s="523" t="s">
        <v>547</v>
      </c>
      <c r="H44" s="523" t="s">
        <v>406</v>
      </c>
      <c r="I44" s="523" t="s">
        <v>548</v>
      </c>
      <c r="J44" s="523" t="s">
        <v>549</v>
      </c>
      <c r="K44" s="523" t="s">
        <v>550</v>
      </c>
      <c r="L44" s="526">
        <v>0</v>
      </c>
      <c r="M44" s="526">
        <v>0</v>
      </c>
      <c r="N44" s="523">
        <v>10</v>
      </c>
      <c r="O44" s="527">
        <v>5</v>
      </c>
      <c r="P44" s="526">
        <v>0</v>
      </c>
      <c r="Q44" s="528"/>
      <c r="R44" s="523">
        <v>10</v>
      </c>
      <c r="S44" s="528">
        <v>1</v>
      </c>
      <c r="T44" s="527">
        <v>5</v>
      </c>
      <c r="U44" s="529">
        <v>1</v>
      </c>
    </row>
    <row r="45" spans="1:21" ht="14.4" customHeight="1" x14ac:dyDescent="0.3">
      <c r="A45" s="522">
        <v>19</v>
      </c>
      <c r="B45" s="523" t="s">
        <v>405</v>
      </c>
      <c r="C45" s="523" t="s">
        <v>511</v>
      </c>
      <c r="D45" s="524" t="s">
        <v>641</v>
      </c>
      <c r="E45" s="525" t="s">
        <v>519</v>
      </c>
      <c r="F45" s="523" t="s">
        <v>510</v>
      </c>
      <c r="G45" s="523" t="s">
        <v>637</v>
      </c>
      <c r="H45" s="523" t="s">
        <v>406</v>
      </c>
      <c r="I45" s="523" t="s">
        <v>638</v>
      </c>
      <c r="J45" s="523" t="s">
        <v>639</v>
      </c>
      <c r="K45" s="523" t="s">
        <v>640</v>
      </c>
      <c r="L45" s="526">
        <v>149.69</v>
      </c>
      <c r="M45" s="526">
        <v>898.14</v>
      </c>
      <c r="N45" s="523">
        <v>6</v>
      </c>
      <c r="O45" s="527">
        <v>1</v>
      </c>
      <c r="P45" s="526"/>
      <c r="Q45" s="528">
        <v>0</v>
      </c>
      <c r="R45" s="523"/>
      <c r="S45" s="528">
        <v>0</v>
      </c>
      <c r="T45" s="527"/>
      <c r="U45" s="529">
        <v>0</v>
      </c>
    </row>
    <row r="46" spans="1:21" ht="14.4" customHeight="1" x14ac:dyDescent="0.3">
      <c r="A46" s="522">
        <v>19</v>
      </c>
      <c r="B46" s="523" t="s">
        <v>405</v>
      </c>
      <c r="C46" s="523" t="s">
        <v>511</v>
      </c>
      <c r="D46" s="524" t="s">
        <v>641</v>
      </c>
      <c r="E46" s="525" t="s">
        <v>520</v>
      </c>
      <c r="F46" s="523" t="s">
        <v>510</v>
      </c>
      <c r="G46" s="523" t="s">
        <v>535</v>
      </c>
      <c r="H46" s="523" t="s">
        <v>406</v>
      </c>
      <c r="I46" s="523" t="s">
        <v>536</v>
      </c>
      <c r="J46" s="523" t="s">
        <v>537</v>
      </c>
      <c r="K46" s="523" t="s">
        <v>538</v>
      </c>
      <c r="L46" s="526">
        <v>44.59</v>
      </c>
      <c r="M46" s="526">
        <v>133.77000000000001</v>
      </c>
      <c r="N46" s="523">
        <v>3</v>
      </c>
      <c r="O46" s="527">
        <v>2</v>
      </c>
      <c r="P46" s="526">
        <v>89.18</v>
      </c>
      <c r="Q46" s="528">
        <v>0.66666666666666663</v>
      </c>
      <c r="R46" s="523">
        <v>2</v>
      </c>
      <c r="S46" s="528">
        <v>0.66666666666666663</v>
      </c>
      <c r="T46" s="527">
        <v>1</v>
      </c>
      <c r="U46" s="529">
        <v>0.5</v>
      </c>
    </row>
    <row r="47" spans="1:21" ht="14.4" customHeight="1" x14ac:dyDescent="0.3">
      <c r="A47" s="522">
        <v>19</v>
      </c>
      <c r="B47" s="523" t="s">
        <v>405</v>
      </c>
      <c r="C47" s="523" t="s">
        <v>511</v>
      </c>
      <c r="D47" s="524" t="s">
        <v>641</v>
      </c>
      <c r="E47" s="525" t="s">
        <v>520</v>
      </c>
      <c r="F47" s="523" t="s">
        <v>510</v>
      </c>
      <c r="G47" s="523" t="s">
        <v>547</v>
      </c>
      <c r="H47" s="523" t="s">
        <v>406</v>
      </c>
      <c r="I47" s="523" t="s">
        <v>548</v>
      </c>
      <c r="J47" s="523" t="s">
        <v>549</v>
      </c>
      <c r="K47" s="523" t="s">
        <v>550</v>
      </c>
      <c r="L47" s="526">
        <v>0</v>
      </c>
      <c r="M47" s="526">
        <v>0</v>
      </c>
      <c r="N47" s="523">
        <v>4</v>
      </c>
      <c r="O47" s="527">
        <v>2</v>
      </c>
      <c r="P47" s="526">
        <v>0</v>
      </c>
      <c r="Q47" s="528"/>
      <c r="R47" s="523">
        <v>4</v>
      </c>
      <c r="S47" s="528">
        <v>1</v>
      </c>
      <c r="T47" s="527">
        <v>2</v>
      </c>
      <c r="U47" s="529">
        <v>1</v>
      </c>
    </row>
    <row r="48" spans="1:21" ht="14.4" customHeight="1" thickBot="1" x14ac:dyDescent="0.35">
      <c r="A48" s="514">
        <v>19</v>
      </c>
      <c r="B48" s="515" t="s">
        <v>405</v>
      </c>
      <c r="C48" s="515" t="s">
        <v>511</v>
      </c>
      <c r="D48" s="516" t="s">
        <v>641</v>
      </c>
      <c r="E48" s="517" t="s">
        <v>520</v>
      </c>
      <c r="F48" s="515" t="s">
        <v>510</v>
      </c>
      <c r="G48" s="515" t="s">
        <v>552</v>
      </c>
      <c r="H48" s="515" t="s">
        <v>406</v>
      </c>
      <c r="I48" s="515" t="s">
        <v>553</v>
      </c>
      <c r="J48" s="515" t="s">
        <v>554</v>
      </c>
      <c r="K48" s="515" t="s">
        <v>555</v>
      </c>
      <c r="L48" s="518">
        <v>0</v>
      </c>
      <c r="M48" s="518">
        <v>0</v>
      </c>
      <c r="N48" s="515">
        <v>6</v>
      </c>
      <c r="O48" s="519">
        <v>4</v>
      </c>
      <c r="P48" s="518">
        <v>0</v>
      </c>
      <c r="Q48" s="520"/>
      <c r="R48" s="515">
        <v>2</v>
      </c>
      <c r="S48" s="520">
        <v>0.33333333333333331</v>
      </c>
      <c r="T48" s="519">
        <v>2</v>
      </c>
      <c r="U48" s="521">
        <v>0.5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49" t="s">
        <v>644</v>
      </c>
      <c r="B1" s="350"/>
      <c r="C1" s="350"/>
      <c r="D1" s="350"/>
      <c r="E1" s="350"/>
      <c r="F1" s="350"/>
    </row>
    <row r="2" spans="1:6" ht="14.4" customHeight="1" thickBot="1" x14ac:dyDescent="0.35">
      <c r="A2" s="234" t="s">
        <v>246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51" t="s">
        <v>130</v>
      </c>
      <c r="C3" s="352"/>
      <c r="D3" s="353" t="s">
        <v>129</v>
      </c>
      <c r="E3" s="352"/>
      <c r="F3" s="80" t="s">
        <v>3</v>
      </c>
    </row>
    <row r="4" spans="1:6" ht="14.4" customHeight="1" thickBot="1" x14ac:dyDescent="0.35">
      <c r="A4" s="530" t="s">
        <v>161</v>
      </c>
      <c r="B4" s="531" t="s">
        <v>14</v>
      </c>
      <c r="C4" s="532" t="s">
        <v>2</v>
      </c>
      <c r="D4" s="531" t="s">
        <v>14</v>
      </c>
      <c r="E4" s="532" t="s">
        <v>2</v>
      </c>
      <c r="F4" s="533" t="s">
        <v>14</v>
      </c>
    </row>
    <row r="5" spans="1:6" ht="14.4" customHeight="1" x14ac:dyDescent="0.3">
      <c r="A5" s="546" t="s">
        <v>518</v>
      </c>
      <c r="B5" s="116">
        <v>181.88</v>
      </c>
      <c r="C5" s="513">
        <v>0.11174804465498066</v>
      </c>
      <c r="D5" s="116">
        <v>1445.71</v>
      </c>
      <c r="E5" s="513">
        <v>0.88825195534501922</v>
      </c>
      <c r="F5" s="534">
        <v>1627.5900000000001</v>
      </c>
    </row>
    <row r="6" spans="1:6" ht="14.4" customHeight="1" x14ac:dyDescent="0.3">
      <c r="A6" s="547" t="s">
        <v>519</v>
      </c>
      <c r="B6" s="535">
        <v>0</v>
      </c>
      <c r="C6" s="528"/>
      <c r="D6" s="535"/>
      <c r="E6" s="528"/>
      <c r="F6" s="536">
        <v>0</v>
      </c>
    </row>
    <row r="7" spans="1:6" ht="14.4" customHeight="1" thickBot="1" x14ac:dyDescent="0.35">
      <c r="A7" s="548" t="s">
        <v>517</v>
      </c>
      <c r="B7" s="539"/>
      <c r="C7" s="540">
        <v>0</v>
      </c>
      <c r="D7" s="539">
        <v>284.73</v>
      </c>
      <c r="E7" s="540">
        <v>1</v>
      </c>
      <c r="F7" s="541">
        <v>284.73</v>
      </c>
    </row>
    <row r="8" spans="1:6" ht="14.4" customHeight="1" thickBot="1" x14ac:dyDescent="0.35">
      <c r="A8" s="542" t="s">
        <v>3</v>
      </c>
      <c r="B8" s="543">
        <v>181.88</v>
      </c>
      <c r="C8" s="544">
        <v>9.5109605087014715E-2</v>
      </c>
      <c r="D8" s="543">
        <v>1730.44</v>
      </c>
      <c r="E8" s="544">
        <v>0.90489039491298517</v>
      </c>
      <c r="F8" s="545">
        <v>1912.3200000000002</v>
      </c>
    </row>
    <row r="9" spans="1:6" ht="14.4" customHeight="1" thickBot="1" x14ac:dyDescent="0.35"/>
    <row r="10" spans="1:6" ht="14.4" customHeight="1" x14ac:dyDescent="0.3">
      <c r="A10" s="546" t="s">
        <v>645</v>
      </c>
      <c r="B10" s="116">
        <v>102.62</v>
      </c>
      <c r="C10" s="513">
        <v>1</v>
      </c>
      <c r="D10" s="116"/>
      <c r="E10" s="513">
        <v>0</v>
      </c>
      <c r="F10" s="534">
        <v>102.62</v>
      </c>
    </row>
    <row r="11" spans="1:6" ht="14.4" customHeight="1" x14ac:dyDescent="0.3">
      <c r="A11" s="547" t="s">
        <v>646</v>
      </c>
      <c r="B11" s="535">
        <v>79.260000000000005</v>
      </c>
      <c r="C11" s="528">
        <v>1</v>
      </c>
      <c r="D11" s="535"/>
      <c r="E11" s="528">
        <v>0</v>
      </c>
      <c r="F11" s="536">
        <v>79.260000000000005</v>
      </c>
    </row>
    <row r="12" spans="1:6" ht="14.4" customHeight="1" x14ac:dyDescent="0.3">
      <c r="A12" s="547" t="s">
        <v>647</v>
      </c>
      <c r="B12" s="535"/>
      <c r="C12" s="528">
        <v>0</v>
      </c>
      <c r="D12" s="535">
        <v>46.07</v>
      </c>
      <c r="E12" s="528">
        <v>1</v>
      </c>
      <c r="F12" s="536">
        <v>46.07</v>
      </c>
    </row>
    <row r="13" spans="1:6" ht="14.4" customHeight="1" x14ac:dyDescent="0.3">
      <c r="A13" s="547" t="s">
        <v>648</v>
      </c>
      <c r="B13" s="535"/>
      <c r="C13" s="528">
        <v>0</v>
      </c>
      <c r="D13" s="535">
        <v>745.61</v>
      </c>
      <c r="E13" s="528">
        <v>1</v>
      </c>
      <c r="F13" s="536">
        <v>745.61</v>
      </c>
    </row>
    <row r="14" spans="1:6" ht="14.4" customHeight="1" x14ac:dyDescent="0.3">
      <c r="A14" s="547" t="s">
        <v>649</v>
      </c>
      <c r="B14" s="535"/>
      <c r="C14" s="528">
        <v>0</v>
      </c>
      <c r="D14" s="535">
        <v>25.5</v>
      </c>
      <c r="E14" s="528">
        <v>1</v>
      </c>
      <c r="F14" s="536">
        <v>25.5</v>
      </c>
    </row>
    <row r="15" spans="1:6" ht="14.4" customHeight="1" x14ac:dyDescent="0.3">
      <c r="A15" s="547" t="s">
        <v>650</v>
      </c>
      <c r="B15" s="535"/>
      <c r="C15" s="528">
        <v>0</v>
      </c>
      <c r="D15" s="535">
        <v>654.03</v>
      </c>
      <c r="E15" s="528">
        <v>1</v>
      </c>
      <c r="F15" s="536">
        <v>654.03</v>
      </c>
    </row>
    <row r="16" spans="1:6" ht="14.4" customHeight="1" thickBot="1" x14ac:dyDescent="0.35">
      <c r="A16" s="548" t="s">
        <v>651</v>
      </c>
      <c r="B16" s="539">
        <v>0</v>
      </c>
      <c r="C16" s="540">
        <v>0</v>
      </c>
      <c r="D16" s="539">
        <v>259.23</v>
      </c>
      <c r="E16" s="540">
        <v>1</v>
      </c>
      <c r="F16" s="541">
        <v>259.23</v>
      </c>
    </row>
    <row r="17" spans="1:6" ht="14.4" customHeight="1" thickBot="1" x14ac:dyDescent="0.35">
      <c r="A17" s="542" t="s">
        <v>3</v>
      </c>
      <c r="B17" s="543">
        <v>181.88</v>
      </c>
      <c r="C17" s="544">
        <v>9.5109605087014729E-2</v>
      </c>
      <c r="D17" s="543">
        <v>1730.4399999999998</v>
      </c>
      <c r="E17" s="544">
        <v>0.90489039491298517</v>
      </c>
      <c r="F17" s="545">
        <v>1912.32</v>
      </c>
    </row>
  </sheetData>
  <mergeCells count="3">
    <mergeCell ref="A1:F1"/>
    <mergeCell ref="B3:C3"/>
    <mergeCell ref="D3:E3"/>
  </mergeCells>
  <conditionalFormatting sqref="C5:C1048576">
    <cfRule type="cellIs" dxfId="23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{EDF3EC62-44ED-4DB3-A63A-F9326EF355B4}</x14:id>
        </ext>
      </extLst>
    </cfRule>
  </conditionalFormatting>
  <conditionalFormatting sqref="F10:F1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{4076CBFD-F319-48F6-861C-0086B05D1160}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DF3EC62-44ED-4DB3-A63A-F9326EF355B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4076CBFD-F319-48F6-861C-0086B05D116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50" t="s">
        <v>659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12"/>
      <c r="M1" s="312"/>
    </row>
    <row r="2" spans="1:13" ht="14.4" customHeight="1" thickBot="1" x14ac:dyDescent="0.35">
      <c r="A2" s="234" t="s">
        <v>246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10</v>
      </c>
      <c r="G3" s="43">
        <f>SUBTOTAL(9,G6:G1048576)</f>
        <v>181.88</v>
      </c>
      <c r="H3" s="44">
        <f>IF(M3=0,0,G3/M3)</f>
        <v>9.5109605087014729E-2</v>
      </c>
      <c r="I3" s="43">
        <f>SUBTOTAL(9,I6:I1048576)</f>
        <v>14</v>
      </c>
      <c r="J3" s="43">
        <f>SUBTOTAL(9,J6:J1048576)</f>
        <v>1730.44</v>
      </c>
      <c r="K3" s="44">
        <f>IF(M3=0,0,J3/M3)</f>
        <v>0.90489039491298529</v>
      </c>
      <c r="L3" s="43">
        <f>SUBTOTAL(9,L6:L1048576)</f>
        <v>24</v>
      </c>
      <c r="M3" s="45">
        <f>SUBTOTAL(9,M6:M1048576)</f>
        <v>1912.32</v>
      </c>
    </row>
    <row r="4" spans="1:13" ht="14.4" customHeight="1" thickBot="1" x14ac:dyDescent="0.35">
      <c r="A4" s="41"/>
      <c r="B4" s="41"/>
      <c r="C4" s="41"/>
      <c r="D4" s="41"/>
      <c r="E4" s="42"/>
      <c r="F4" s="354" t="s">
        <v>130</v>
      </c>
      <c r="G4" s="355"/>
      <c r="H4" s="356"/>
      <c r="I4" s="357" t="s">
        <v>129</v>
      </c>
      <c r="J4" s="355"/>
      <c r="K4" s="356"/>
      <c r="L4" s="358" t="s">
        <v>3</v>
      </c>
      <c r="M4" s="359"/>
    </row>
    <row r="5" spans="1:13" ht="14.4" customHeight="1" thickBot="1" x14ac:dyDescent="0.35">
      <c r="A5" s="550" t="s">
        <v>135</v>
      </c>
      <c r="B5" s="551" t="s">
        <v>131</v>
      </c>
      <c r="C5" s="551" t="s">
        <v>71</v>
      </c>
      <c r="D5" s="551" t="s">
        <v>132</v>
      </c>
      <c r="E5" s="551" t="s">
        <v>133</v>
      </c>
      <c r="F5" s="552" t="s">
        <v>28</v>
      </c>
      <c r="G5" s="552" t="s">
        <v>14</v>
      </c>
      <c r="H5" s="532" t="s">
        <v>134</v>
      </c>
      <c r="I5" s="531" t="s">
        <v>28</v>
      </c>
      <c r="J5" s="552" t="s">
        <v>14</v>
      </c>
      <c r="K5" s="532" t="s">
        <v>134</v>
      </c>
      <c r="L5" s="531" t="s">
        <v>28</v>
      </c>
      <c r="M5" s="553" t="s">
        <v>14</v>
      </c>
    </row>
    <row r="6" spans="1:13" ht="14.4" customHeight="1" x14ac:dyDescent="0.3">
      <c r="A6" s="507" t="s">
        <v>517</v>
      </c>
      <c r="B6" s="508" t="s">
        <v>652</v>
      </c>
      <c r="C6" s="508" t="s">
        <v>565</v>
      </c>
      <c r="D6" s="508" t="s">
        <v>566</v>
      </c>
      <c r="E6" s="508" t="s">
        <v>567</v>
      </c>
      <c r="F6" s="116"/>
      <c r="G6" s="116"/>
      <c r="H6" s="513">
        <v>0</v>
      </c>
      <c r="I6" s="116">
        <v>3</v>
      </c>
      <c r="J6" s="116">
        <v>259.23</v>
      </c>
      <c r="K6" s="513">
        <v>1</v>
      </c>
      <c r="L6" s="116">
        <v>3</v>
      </c>
      <c r="M6" s="534">
        <v>259.23</v>
      </c>
    </row>
    <row r="7" spans="1:13" ht="14.4" customHeight="1" x14ac:dyDescent="0.3">
      <c r="A7" s="522" t="s">
        <v>517</v>
      </c>
      <c r="B7" s="523" t="s">
        <v>653</v>
      </c>
      <c r="C7" s="523" t="s">
        <v>581</v>
      </c>
      <c r="D7" s="523" t="s">
        <v>582</v>
      </c>
      <c r="E7" s="523" t="s">
        <v>583</v>
      </c>
      <c r="F7" s="535"/>
      <c r="G7" s="535"/>
      <c r="H7" s="528">
        <v>0</v>
      </c>
      <c r="I7" s="535">
        <v>1</v>
      </c>
      <c r="J7" s="535">
        <v>25.5</v>
      </c>
      <c r="K7" s="528">
        <v>1</v>
      </c>
      <c r="L7" s="535">
        <v>1</v>
      </c>
      <c r="M7" s="536">
        <v>25.5</v>
      </c>
    </row>
    <row r="8" spans="1:13" ht="14.4" customHeight="1" x14ac:dyDescent="0.3">
      <c r="A8" s="522" t="s">
        <v>518</v>
      </c>
      <c r="B8" s="523" t="s">
        <v>654</v>
      </c>
      <c r="C8" s="523" t="s">
        <v>597</v>
      </c>
      <c r="D8" s="523" t="s">
        <v>598</v>
      </c>
      <c r="E8" s="523" t="s">
        <v>599</v>
      </c>
      <c r="F8" s="535"/>
      <c r="G8" s="535"/>
      <c r="H8" s="528">
        <v>0</v>
      </c>
      <c r="I8" s="535">
        <v>3</v>
      </c>
      <c r="J8" s="535">
        <v>280.29000000000002</v>
      </c>
      <c r="K8" s="528">
        <v>1</v>
      </c>
      <c r="L8" s="535">
        <v>3</v>
      </c>
      <c r="M8" s="536">
        <v>280.29000000000002</v>
      </c>
    </row>
    <row r="9" spans="1:13" ht="14.4" customHeight="1" x14ac:dyDescent="0.3">
      <c r="A9" s="522" t="s">
        <v>518</v>
      </c>
      <c r="B9" s="523" t="s">
        <v>654</v>
      </c>
      <c r="C9" s="523" t="s">
        <v>600</v>
      </c>
      <c r="D9" s="523" t="s">
        <v>598</v>
      </c>
      <c r="E9" s="523" t="s">
        <v>601</v>
      </c>
      <c r="F9" s="535"/>
      <c r="G9" s="535"/>
      <c r="H9" s="528">
        <v>0</v>
      </c>
      <c r="I9" s="535">
        <v>2</v>
      </c>
      <c r="J9" s="535">
        <v>373.74</v>
      </c>
      <c r="K9" s="528">
        <v>1</v>
      </c>
      <c r="L9" s="535">
        <v>2</v>
      </c>
      <c r="M9" s="536">
        <v>373.74</v>
      </c>
    </row>
    <row r="10" spans="1:13" ht="14.4" customHeight="1" x14ac:dyDescent="0.3">
      <c r="A10" s="522" t="s">
        <v>518</v>
      </c>
      <c r="B10" s="523" t="s">
        <v>655</v>
      </c>
      <c r="C10" s="523" t="s">
        <v>607</v>
      </c>
      <c r="D10" s="523" t="s">
        <v>608</v>
      </c>
      <c r="E10" s="523" t="s">
        <v>609</v>
      </c>
      <c r="F10" s="535">
        <v>2</v>
      </c>
      <c r="G10" s="535">
        <v>79.260000000000005</v>
      </c>
      <c r="H10" s="528">
        <v>1</v>
      </c>
      <c r="I10" s="535"/>
      <c r="J10" s="535"/>
      <c r="K10" s="528">
        <v>0</v>
      </c>
      <c r="L10" s="535">
        <v>2</v>
      </c>
      <c r="M10" s="536">
        <v>79.260000000000005</v>
      </c>
    </row>
    <row r="11" spans="1:13" ht="14.4" customHeight="1" x14ac:dyDescent="0.3">
      <c r="A11" s="522" t="s">
        <v>518</v>
      </c>
      <c r="B11" s="523" t="s">
        <v>656</v>
      </c>
      <c r="C11" s="523" t="s">
        <v>611</v>
      </c>
      <c r="D11" s="523" t="s">
        <v>612</v>
      </c>
      <c r="E11" s="523" t="s">
        <v>613</v>
      </c>
      <c r="F11" s="535">
        <v>2</v>
      </c>
      <c r="G11" s="535">
        <v>102.62</v>
      </c>
      <c r="H11" s="528">
        <v>1</v>
      </c>
      <c r="I11" s="535"/>
      <c r="J11" s="535"/>
      <c r="K11" s="528">
        <v>0</v>
      </c>
      <c r="L11" s="535">
        <v>2</v>
      </c>
      <c r="M11" s="536">
        <v>102.62</v>
      </c>
    </row>
    <row r="12" spans="1:13" ht="14.4" customHeight="1" x14ac:dyDescent="0.3">
      <c r="A12" s="522" t="s">
        <v>518</v>
      </c>
      <c r="B12" s="523" t="s">
        <v>656</v>
      </c>
      <c r="C12" s="523" t="s">
        <v>614</v>
      </c>
      <c r="D12" s="523" t="s">
        <v>612</v>
      </c>
      <c r="E12" s="523" t="s">
        <v>615</v>
      </c>
      <c r="F12" s="535">
        <v>3</v>
      </c>
      <c r="G12" s="535">
        <v>0</v>
      </c>
      <c r="H12" s="528"/>
      <c r="I12" s="535"/>
      <c r="J12" s="535"/>
      <c r="K12" s="528"/>
      <c r="L12" s="535">
        <v>3</v>
      </c>
      <c r="M12" s="536">
        <v>0</v>
      </c>
    </row>
    <row r="13" spans="1:13" ht="14.4" customHeight="1" x14ac:dyDescent="0.3">
      <c r="A13" s="522" t="s">
        <v>518</v>
      </c>
      <c r="B13" s="523" t="s">
        <v>657</v>
      </c>
      <c r="C13" s="523" t="s">
        <v>591</v>
      </c>
      <c r="D13" s="523" t="s">
        <v>592</v>
      </c>
      <c r="E13" s="523" t="s">
        <v>593</v>
      </c>
      <c r="F13" s="535"/>
      <c r="G13" s="535"/>
      <c r="H13" s="528">
        <v>0</v>
      </c>
      <c r="I13" s="535">
        <v>3</v>
      </c>
      <c r="J13" s="535">
        <v>353.19</v>
      </c>
      <c r="K13" s="528">
        <v>1</v>
      </c>
      <c r="L13" s="535">
        <v>3</v>
      </c>
      <c r="M13" s="536">
        <v>353.19</v>
      </c>
    </row>
    <row r="14" spans="1:13" ht="14.4" customHeight="1" x14ac:dyDescent="0.3">
      <c r="A14" s="522" t="s">
        <v>518</v>
      </c>
      <c r="B14" s="523" t="s">
        <v>657</v>
      </c>
      <c r="C14" s="523" t="s">
        <v>594</v>
      </c>
      <c r="D14" s="523" t="s">
        <v>592</v>
      </c>
      <c r="E14" s="523" t="s">
        <v>595</v>
      </c>
      <c r="F14" s="535"/>
      <c r="G14" s="535"/>
      <c r="H14" s="528">
        <v>0</v>
      </c>
      <c r="I14" s="535">
        <v>1</v>
      </c>
      <c r="J14" s="535">
        <v>392.42</v>
      </c>
      <c r="K14" s="528">
        <v>1</v>
      </c>
      <c r="L14" s="535">
        <v>1</v>
      </c>
      <c r="M14" s="536">
        <v>392.42</v>
      </c>
    </row>
    <row r="15" spans="1:13" ht="14.4" customHeight="1" x14ac:dyDescent="0.3">
      <c r="A15" s="522" t="s">
        <v>518</v>
      </c>
      <c r="B15" s="523" t="s">
        <v>658</v>
      </c>
      <c r="C15" s="523" t="s">
        <v>603</v>
      </c>
      <c r="D15" s="523" t="s">
        <v>604</v>
      </c>
      <c r="E15" s="523" t="s">
        <v>605</v>
      </c>
      <c r="F15" s="535"/>
      <c r="G15" s="535"/>
      <c r="H15" s="528">
        <v>0</v>
      </c>
      <c r="I15" s="535">
        <v>1</v>
      </c>
      <c r="J15" s="535">
        <v>46.07</v>
      </c>
      <c r="K15" s="528">
        <v>1</v>
      </c>
      <c r="L15" s="535">
        <v>1</v>
      </c>
      <c r="M15" s="536">
        <v>46.07</v>
      </c>
    </row>
    <row r="16" spans="1:13" ht="14.4" customHeight="1" thickBot="1" x14ac:dyDescent="0.35">
      <c r="A16" s="514" t="s">
        <v>519</v>
      </c>
      <c r="B16" s="515" t="s">
        <v>652</v>
      </c>
      <c r="C16" s="515" t="s">
        <v>628</v>
      </c>
      <c r="D16" s="515" t="s">
        <v>629</v>
      </c>
      <c r="E16" s="515" t="s">
        <v>630</v>
      </c>
      <c r="F16" s="537">
        <v>3</v>
      </c>
      <c r="G16" s="537">
        <v>0</v>
      </c>
      <c r="H16" s="520"/>
      <c r="I16" s="537"/>
      <c r="J16" s="537"/>
      <c r="K16" s="520"/>
      <c r="L16" s="537">
        <v>3</v>
      </c>
      <c r="M16" s="538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41" t="s">
        <v>139</v>
      </c>
      <c r="B1" s="342"/>
      <c r="C1" s="342"/>
      <c r="D1" s="342"/>
      <c r="E1" s="342"/>
      <c r="F1" s="342"/>
      <c r="G1" s="313"/>
      <c r="H1" s="343"/>
      <c r="I1" s="343"/>
    </row>
    <row r="2" spans="1:10" ht="14.4" customHeight="1" thickBot="1" x14ac:dyDescent="0.35">
      <c r="A2" s="234" t="s">
        <v>246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80">
        <v>2014</v>
      </c>
      <c r="D3" s="281">
        <v>2015</v>
      </c>
      <c r="E3" s="7"/>
      <c r="F3" s="336">
        <v>2016</v>
      </c>
      <c r="G3" s="337"/>
      <c r="H3" s="337"/>
      <c r="I3" s="338"/>
    </row>
    <row r="4" spans="1:10" ht="14.4" customHeight="1" thickBot="1" x14ac:dyDescent="0.35">
      <c r="A4" s="285" t="s">
        <v>0</v>
      </c>
      <c r="B4" s="286" t="s">
        <v>201</v>
      </c>
      <c r="C4" s="339" t="s">
        <v>73</v>
      </c>
      <c r="D4" s="340"/>
      <c r="E4" s="287"/>
      <c r="F4" s="282" t="s">
        <v>73</v>
      </c>
      <c r="G4" s="283" t="s">
        <v>74</v>
      </c>
      <c r="H4" s="283" t="s">
        <v>68</v>
      </c>
      <c r="I4" s="284" t="s">
        <v>75</v>
      </c>
    </row>
    <row r="5" spans="1:10" ht="14.4" customHeight="1" x14ac:dyDescent="0.3">
      <c r="A5" s="434" t="s">
        <v>404</v>
      </c>
      <c r="B5" s="435" t="s">
        <v>405</v>
      </c>
      <c r="C5" s="436" t="s">
        <v>406</v>
      </c>
      <c r="D5" s="436" t="s">
        <v>406</v>
      </c>
      <c r="E5" s="436"/>
      <c r="F5" s="436" t="s">
        <v>406</v>
      </c>
      <c r="G5" s="436" t="s">
        <v>406</v>
      </c>
      <c r="H5" s="436" t="s">
        <v>406</v>
      </c>
      <c r="I5" s="437" t="s">
        <v>406</v>
      </c>
      <c r="J5" s="438" t="s">
        <v>69</v>
      </c>
    </row>
    <row r="6" spans="1:10" ht="14.4" customHeight="1" x14ac:dyDescent="0.3">
      <c r="A6" s="434" t="s">
        <v>404</v>
      </c>
      <c r="B6" s="435" t="s">
        <v>257</v>
      </c>
      <c r="C6" s="436">
        <v>8.6684199999999993</v>
      </c>
      <c r="D6" s="436">
        <v>8.5005199999999999</v>
      </c>
      <c r="E6" s="436"/>
      <c r="F6" s="436">
        <v>7.4728000000000012</v>
      </c>
      <c r="G6" s="436">
        <v>8.7714257918794996</v>
      </c>
      <c r="H6" s="436">
        <v>-1.2986257918794983</v>
      </c>
      <c r="I6" s="437">
        <v>0.85194815270719693</v>
      </c>
      <c r="J6" s="438" t="s">
        <v>1</v>
      </c>
    </row>
    <row r="7" spans="1:10" ht="14.4" customHeight="1" x14ac:dyDescent="0.3">
      <c r="A7" s="434" t="s">
        <v>404</v>
      </c>
      <c r="B7" s="435" t="s">
        <v>258</v>
      </c>
      <c r="C7" s="436">
        <v>0.76357000000000008</v>
      </c>
      <c r="D7" s="436">
        <v>0.85620999999999992</v>
      </c>
      <c r="E7" s="436"/>
      <c r="F7" s="436">
        <v>0.94842000000000004</v>
      </c>
      <c r="G7" s="436">
        <v>1.0000000902790001</v>
      </c>
      <c r="H7" s="436">
        <v>-5.1580090279000013E-2</v>
      </c>
      <c r="I7" s="437">
        <v>0.94841991437759854</v>
      </c>
      <c r="J7" s="438" t="s">
        <v>1</v>
      </c>
    </row>
    <row r="8" spans="1:10" ht="14.4" customHeight="1" x14ac:dyDescent="0.3">
      <c r="A8" s="434" t="s">
        <v>404</v>
      </c>
      <c r="B8" s="435" t="s">
        <v>259</v>
      </c>
      <c r="C8" s="436">
        <v>7.6370500000000003</v>
      </c>
      <c r="D8" s="436">
        <v>9.81968</v>
      </c>
      <c r="E8" s="436"/>
      <c r="F8" s="436">
        <v>9.4079000000000015</v>
      </c>
      <c r="G8" s="436">
        <v>12.500001128493</v>
      </c>
      <c r="H8" s="436">
        <v>-3.0921011284929989</v>
      </c>
      <c r="I8" s="437">
        <v>0.75263193205281076</v>
      </c>
      <c r="J8" s="438" t="s">
        <v>1</v>
      </c>
    </row>
    <row r="9" spans="1:10" ht="14.4" customHeight="1" x14ac:dyDescent="0.3">
      <c r="A9" s="434" t="s">
        <v>404</v>
      </c>
      <c r="B9" s="435" t="s">
        <v>260</v>
      </c>
      <c r="C9" s="436">
        <v>8.1659999999999986</v>
      </c>
      <c r="D9" s="436">
        <v>8.168000000000001</v>
      </c>
      <c r="E9" s="436"/>
      <c r="F9" s="436">
        <v>2.4509999999999996</v>
      </c>
      <c r="G9" s="436">
        <v>15.000001354191998</v>
      </c>
      <c r="H9" s="436">
        <v>-12.549001354191997</v>
      </c>
      <c r="I9" s="437">
        <v>0.16339998524833649</v>
      </c>
      <c r="J9" s="438" t="s">
        <v>1</v>
      </c>
    </row>
    <row r="10" spans="1:10" ht="14.4" customHeight="1" x14ac:dyDescent="0.3">
      <c r="A10" s="434" t="s">
        <v>404</v>
      </c>
      <c r="B10" s="435" t="s">
        <v>261</v>
      </c>
      <c r="C10" s="436">
        <v>1.1819999999999999</v>
      </c>
      <c r="D10" s="436">
        <v>2.4289999999999998</v>
      </c>
      <c r="E10" s="436"/>
      <c r="F10" s="436">
        <v>2.7610000000000001</v>
      </c>
      <c r="G10" s="436">
        <v>2.5000002256980003</v>
      </c>
      <c r="H10" s="436">
        <v>0.26099977430199983</v>
      </c>
      <c r="I10" s="437">
        <v>1.1043999002956604</v>
      </c>
      <c r="J10" s="438" t="s">
        <v>1</v>
      </c>
    </row>
    <row r="11" spans="1:10" ht="14.4" customHeight="1" x14ac:dyDescent="0.3">
      <c r="A11" s="434" t="s">
        <v>404</v>
      </c>
      <c r="B11" s="435" t="s">
        <v>262</v>
      </c>
      <c r="C11" s="436">
        <v>0.747</v>
      </c>
      <c r="D11" s="436">
        <v>0.71</v>
      </c>
      <c r="E11" s="436"/>
      <c r="F11" s="436">
        <v>0.99399999999999988</v>
      </c>
      <c r="G11" s="436">
        <v>1.5000001354185</v>
      </c>
      <c r="H11" s="436">
        <v>-0.50600013541850009</v>
      </c>
      <c r="I11" s="437">
        <v>0.66266660684178802</v>
      </c>
      <c r="J11" s="438" t="s">
        <v>1</v>
      </c>
    </row>
    <row r="12" spans="1:10" ht="14.4" customHeight="1" x14ac:dyDescent="0.3">
      <c r="A12" s="434" t="s">
        <v>404</v>
      </c>
      <c r="B12" s="435" t="s">
        <v>408</v>
      </c>
      <c r="C12" s="436">
        <v>27.164039999999996</v>
      </c>
      <c r="D12" s="436">
        <v>30.483409999999996</v>
      </c>
      <c r="E12" s="436"/>
      <c r="F12" s="436">
        <v>24.035120000000003</v>
      </c>
      <c r="G12" s="436">
        <v>41.271428725960007</v>
      </c>
      <c r="H12" s="436">
        <v>-17.236308725960004</v>
      </c>
      <c r="I12" s="437">
        <v>0.5823670452407127</v>
      </c>
      <c r="J12" s="438" t="s">
        <v>409</v>
      </c>
    </row>
    <row r="14" spans="1:10" ht="14.4" customHeight="1" x14ac:dyDescent="0.3">
      <c r="A14" s="434" t="s">
        <v>404</v>
      </c>
      <c r="B14" s="435" t="s">
        <v>405</v>
      </c>
      <c r="C14" s="436" t="s">
        <v>406</v>
      </c>
      <c r="D14" s="436" t="s">
        <v>406</v>
      </c>
      <c r="E14" s="436"/>
      <c r="F14" s="436" t="s">
        <v>406</v>
      </c>
      <c r="G14" s="436" t="s">
        <v>406</v>
      </c>
      <c r="H14" s="436" t="s">
        <v>406</v>
      </c>
      <c r="I14" s="437" t="s">
        <v>406</v>
      </c>
      <c r="J14" s="438" t="s">
        <v>69</v>
      </c>
    </row>
    <row r="15" spans="1:10" ht="14.4" customHeight="1" x14ac:dyDescent="0.3">
      <c r="A15" s="434" t="s">
        <v>410</v>
      </c>
      <c r="B15" s="435" t="s">
        <v>411</v>
      </c>
      <c r="C15" s="436" t="s">
        <v>406</v>
      </c>
      <c r="D15" s="436" t="s">
        <v>406</v>
      </c>
      <c r="E15" s="436"/>
      <c r="F15" s="436" t="s">
        <v>406</v>
      </c>
      <c r="G15" s="436" t="s">
        <v>406</v>
      </c>
      <c r="H15" s="436" t="s">
        <v>406</v>
      </c>
      <c r="I15" s="437" t="s">
        <v>406</v>
      </c>
      <c r="J15" s="438" t="s">
        <v>0</v>
      </c>
    </row>
    <row r="16" spans="1:10" ht="14.4" customHeight="1" x14ac:dyDescent="0.3">
      <c r="A16" s="434" t="s">
        <v>410</v>
      </c>
      <c r="B16" s="435" t="s">
        <v>257</v>
      </c>
      <c r="C16" s="436">
        <v>8.6684199999999993</v>
      </c>
      <c r="D16" s="436">
        <v>8.5005199999999999</v>
      </c>
      <c r="E16" s="436"/>
      <c r="F16" s="436">
        <v>7.4728000000000012</v>
      </c>
      <c r="G16" s="436">
        <v>8.7714257918794996</v>
      </c>
      <c r="H16" s="436">
        <v>-1.2986257918794983</v>
      </c>
      <c r="I16" s="437">
        <v>0.85194815270719693</v>
      </c>
      <c r="J16" s="438" t="s">
        <v>1</v>
      </c>
    </row>
    <row r="17" spans="1:10" ht="14.4" customHeight="1" x14ac:dyDescent="0.3">
      <c r="A17" s="434" t="s">
        <v>410</v>
      </c>
      <c r="B17" s="435" t="s">
        <v>258</v>
      </c>
      <c r="C17" s="436">
        <v>0.54691000000000001</v>
      </c>
      <c r="D17" s="436">
        <v>0.4975</v>
      </c>
      <c r="E17" s="436"/>
      <c r="F17" s="436">
        <v>0.48326000000000002</v>
      </c>
      <c r="G17" s="436">
        <v>0.41154326232100003</v>
      </c>
      <c r="H17" s="436">
        <v>7.1716737678999998E-2</v>
      </c>
      <c r="I17" s="437">
        <v>1.1742629372050357</v>
      </c>
      <c r="J17" s="438" t="s">
        <v>1</v>
      </c>
    </row>
    <row r="18" spans="1:10" ht="14.4" customHeight="1" x14ac:dyDescent="0.3">
      <c r="A18" s="434" t="s">
        <v>410</v>
      </c>
      <c r="B18" s="435" t="s">
        <v>259</v>
      </c>
      <c r="C18" s="436">
        <v>4.4516499999999999</v>
      </c>
      <c r="D18" s="436">
        <v>6.5072299999999998</v>
      </c>
      <c r="E18" s="436"/>
      <c r="F18" s="436">
        <v>5.4997500000000006</v>
      </c>
      <c r="G18" s="436">
        <v>7.456908785545501</v>
      </c>
      <c r="H18" s="436">
        <v>-1.9571587855455004</v>
      </c>
      <c r="I18" s="437">
        <v>0.73753751831599923</v>
      </c>
      <c r="J18" s="438" t="s">
        <v>1</v>
      </c>
    </row>
    <row r="19" spans="1:10" ht="14.4" customHeight="1" x14ac:dyDescent="0.3">
      <c r="A19" s="434" t="s">
        <v>410</v>
      </c>
      <c r="B19" s="435" t="s">
        <v>260</v>
      </c>
      <c r="C19" s="436">
        <v>8.1659999999999986</v>
      </c>
      <c r="D19" s="436">
        <v>8.168000000000001</v>
      </c>
      <c r="E19" s="436"/>
      <c r="F19" s="436">
        <v>2.4509999999999996</v>
      </c>
      <c r="G19" s="436">
        <v>15.000001354191998</v>
      </c>
      <c r="H19" s="436">
        <v>-12.549001354191997</v>
      </c>
      <c r="I19" s="437">
        <v>0.16339998524833649</v>
      </c>
      <c r="J19" s="438" t="s">
        <v>1</v>
      </c>
    </row>
    <row r="20" spans="1:10" ht="14.4" customHeight="1" x14ac:dyDescent="0.3">
      <c r="A20" s="434" t="s">
        <v>410</v>
      </c>
      <c r="B20" s="435" t="s">
        <v>261</v>
      </c>
      <c r="C20" s="436">
        <v>0.76600000000000001</v>
      </c>
      <c r="D20" s="436">
        <v>1.9489999999999998</v>
      </c>
      <c r="E20" s="436"/>
      <c r="F20" s="436">
        <v>1.9750000000000003</v>
      </c>
      <c r="G20" s="436">
        <v>1.9739319009195002</v>
      </c>
      <c r="H20" s="436">
        <v>1.0680990805000956E-3</v>
      </c>
      <c r="I20" s="437">
        <v>1.0005411022943611</v>
      </c>
      <c r="J20" s="438" t="s">
        <v>1</v>
      </c>
    </row>
    <row r="21" spans="1:10" ht="14.4" customHeight="1" x14ac:dyDescent="0.3">
      <c r="A21" s="434" t="s">
        <v>410</v>
      </c>
      <c r="B21" s="435" t="s">
        <v>262</v>
      </c>
      <c r="C21" s="436">
        <v>0.52700000000000002</v>
      </c>
      <c r="D21" s="436">
        <v>0.42599999999999993</v>
      </c>
      <c r="E21" s="436"/>
      <c r="F21" s="436">
        <v>0.56799999999999995</v>
      </c>
      <c r="G21" s="436">
        <v>0.83333340856600002</v>
      </c>
      <c r="H21" s="436">
        <v>-0.26533340856600007</v>
      </c>
      <c r="I21" s="437">
        <v>0.68159993846570277</v>
      </c>
      <c r="J21" s="438" t="s">
        <v>1</v>
      </c>
    </row>
    <row r="22" spans="1:10" ht="14.4" customHeight="1" x14ac:dyDescent="0.3">
      <c r="A22" s="434" t="s">
        <v>410</v>
      </c>
      <c r="B22" s="435" t="s">
        <v>412</v>
      </c>
      <c r="C22" s="436">
        <v>23.125979999999998</v>
      </c>
      <c r="D22" s="436">
        <v>26.048249999999999</v>
      </c>
      <c r="E22" s="436"/>
      <c r="F22" s="436">
        <v>18.449810000000003</v>
      </c>
      <c r="G22" s="436">
        <v>34.447144503423495</v>
      </c>
      <c r="H22" s="436">
        <v>-15.997334503423492</v>
      </c>
      <c r="I22" s="437">
        <v>0.53559766029855937</v>
      </c>
      <c r="J22" s="438" t="s">
        <v>413</v>
      </c>
    </row>
    <row r="23" spans="1:10" ht="14.4" customHeight="1" x14ac:dyDescent="0.3">
      <c r="A23" s="434" t="s">
        <v>406</v>
      </c>
      <c r="B23" s="435" t="s">
        <v>406</v>
      </c>
      <c r="C23" s="436" t="s">
        <v>406</v>
      </c>
      <c r="D23" s="436" t="s">
        <v>406</v>
      </c>
      <c r="E23" s="436"/>
      <c r="F23" s="436" t="s">
        <v>406</v>
      </c>
      <c r="G23" s="436" t="s">
        <v>406</v>
      </c>
      <c r="H23" s="436" t="s">
        <v>406</v>
      </c>
      <c r="I23" s="437" t="s">
        <v>406</v>
      </c>
      <c r="J23" s="438" t="s">
        <v>414</v>
      </c>
    </row>
    <row r="24" spans="1:10" ht="14.4" customHeight="1" x14ac:dyDescent="0.3">
      <c r="A24" s="434" t="s">
        <v>660</v>
      </c>
      <c r="B24" s="435" t="s">
        <v>661</v>
      </c>
      <c r="C24" s="436" t="s">
        <v>406</v>
      </c>
      <c r="D24" s="436" t="s">
        <v>406</v>
      </c>
      <c r="E24" s="436"/>
      <c r="F24" s="436" t="s">
        <v>406</v>
      </c>
      <c r="G24" s="436" t="s">
        <v>406</v>
      </c>
      <c r="H24" s="436" t="s">
        <v>406</v>
      </c>
      <c r="I24" s="437" t="s">
        <v>406</v>
      </c>
      <c r="J24" s="438" t="s">
        <v>0</v>
      </c>
    </row>
    <row r="25" spans="1:10" ht="14.4" customHeight="1" x14ac:dyDescent="0.3">
      <c r="A25" s="434" t="s">
        <v>660</v>
      </c>
      <c r="B25" s="435" t="s">
        <v>257</v>
      </c>
      <c r="C25" s="436">
        <v>0</v>
      </c>
      <c r="D25" s="436" t="s">
        <v>406</v>
      </c>
      <c r="E25" s="436"/>
      <c r="F25" s="436" t="s">
        <v>406</v>
      </c>
      <c r="G25" s="436" t="s">
        <v>406</v>
      </c>
      <c r="H25" s="436" t="s">
        <v>406</v>
      </c>
      <c r="I25" s="437" t="s">
        <v>406</v>
      </c>
      <c r="J25" s="438" t="s">
        <v>1</v>
      </c>
    </row>
    <row r="26" spans="1:10" ht="14.4" customHeight="1" x14ac:dyDescent="0.3">
      <c r="A26" s="434" t="s">
        <v>660</v>
      </c>
      <c r="B26" s="435" t="s">
        <v>258</v>
      </c>
      <c r="C26" s="436">
        <v>0.21666000000000002</v>
      </c>
      <c r="D26" s="436">
        <v>0.35870999999999997</v>
      </c>
      <c r="E26" s="436"/>
      <c r="F26" s="436">
        <v>0.46515999999999996</v>
      </c>
      <c r="G26" s="436">
        <v>0.58845682795800003</v>
      </c>
      <c r="H26" s="436">
        <v>-0.12329682795800007</v>
      </c>
      <c r="I26" s="437">
        <v>0.79047430142691766</v>
      </c>
      <c r="J26" s="438" t="s">
        <v>1</v>
      </c>
    </row>
    <row r="27" spans="1:10" ht="14.4" customHeight="1" x14ac:dyDescent="0.3">
      <c r="A27" s="434" t="s">
        <v>660</v>
      </c>
      <c r="B27" s="435" t="s">
        <v>259</v>
      </c>
      <c r="C27" s="436">
        <v>3.1854000000000005</v>
      </c>
      <c r="D27" s="436">
        <v>3.3124500000000001</v>
      </c>
      <c r="E27" s="436"/>
      <c r="F27" s="436">
        <v>3.90815</v>
      </c>
      <c r="G27" s="436">
        <v>5.0430923429475003</v>
      </c>
      <c r="H27" s="436">
        <v>-1.1349423429475003</v>
      </c>
      <c r="I27" s="437">
        <v>0.77495110821544688</v>
      </c>
      <c r="J27" s="438" t="s">
        <v>1</v>
      </c>
    </row>
    <row r="28" spans="1:10" ht="14.4" customHeight="1" x14ac:dyDescent="0.3">
      <c r="A28" s="434" t="s">
        <v>660</v>
      </c>
      <c r="B28" s="435" t="s">
        <v>261</v>
      </c>
      <c r="C28" s="436">
        <v>0.41599999999999998</v>
      </c>
      <c r="D28" s="436">
        <v>0.48</v>
      </c>
      <c r="E28" s="436"/>
      <c r="F28" s="436">
        <v>0.78600000000000003</v>
      </c>
      <c r="G28" s="436">
        <v>0.52606832477849996</v>
      </c>
      <c r="H28" s="436">
        <v>0.25993167522150007</v>
      </c>
      <c r="I28" s="437">
        <v>1.4941025014781946</v>
      </c>
      <c r="J28" s="438" t="s">
        <v>1</v>
      </c>
    </row>
    <row r="29" spans="1:10" ht="14.4" customHeight="1" x14ac:dyDescent="0.3">
      <c r="A29" s="434" t="s">
        <v>660</v>
      </c>
      <c r="B29" s="435" t="s">
        <v>262</v>
      </c>
      <c r="C29" s="436">
        <v>0.21999999999999997</v>
      </c>
      <c r="D29" s="436">
        <v>0.28399999999999997</v>
      </c>
      <c r="E29" s="436"/>
      <c r="F29" s="436">
        <v>0.42599999999999993</v>
      </c>
      <c r="G29" s="436">
        <v>0.66666672685249995</v>
      </c>
      <c r="H29" s="436">
        <v>-0.24066672685250001</v>
      </c>
      <c r="I29" s="437">
        <v>0.63899994231188395</v>
      </c>
      <c r="J29" s="438" t="s">
        <v>1</v>
      </c>
    </row>
    <row r="30" spans="1:10" ht="14.4" customHeight="1" x14ac:dyDescent="0.3">
      <c r="A30" s="434" t="s">
        <v>660</v>
      </c>
      <c r="B30" s="435" t="s">
        <v>662</v>
      </c>
      <c r="C30" s="436">
        <v>4.0380600000000006</v>
      </c>
      <c r="D30" s="436">
        <v>4.4351599999999998</v>
      </c>
      <c r="E30" s="436"/>
      <c r="F30" s="436">
        <v>5.5853099999999998</v>
      </c>
      <c r="G30" s="436">
        <v>6.8242842225364999</v>
      </c>
      <c r="H30" s="436">
        <v>-1.2389742225365001</v>
      </c>
      <c r="I30" s="437">
        <v>0.81844627478367404</v>
      </c>
      <c r="J30" s="438" t="s">
        <v>413</v>
      </c>
    </row>
    <row r="31" spans="1:10" ht="14.4" customHeight="1" x14ac:dyDescent="0.3">
      <c r="A31" s="434" t="s">
        <v>406</v>
      </c>
      <c r="B31" s="435" t="s">
        <v>406</v>
      </c>
      <c r="C31" s="436" t="s">
        <v>406</v>
      </c>
      <c r="D31" s="436" t="s">
        <v>406</v>
      </c>
      <c r="E31" s="436"/>
      <c r="F31" s="436" t="s">
        <v>406</v>
      </c>
      <c r="G31" s="436" t="s">
        <v>406</v>
      </c>
      <c r="H31" s="436" t="s">
        <v>406</v>
      </c>
      <c r="I31" s="437" t="s">
        <v>406</v>
      </c>
      <c r="J31" s="438" t="s">
        <v>414</v>
      </c>
    </row>
    <row r="32" spans="1:10" ht="14.4" customHeight="1" x14ac:dyDescent="0.3">
      <c r="A32" s="434" t="s">
        <v>404</v>
      </c>
      <c r="B32" s="435" t="s">
        <v>408</v>
      </c>
      <c r="C32" s="436">
        <v>27.16404</v>
      </c>
      <c r="D32" s="436">
        <v>30.483409999999996</v>
      </c>
      <c r="E32" s="436"/>
      <c r="F32" s="436">
        <v>24.035120000000003</v>
      </c>
      <c r="G32" s="436">
        <v>41.271428725959993</v>
      </c>
      <c r="H32" s="436">
        <v>-17.23630872595999</v>
      </c>
      <c r="I32" s="437">
        <v>0.58236704524071292</v>
      </c>
      <c r="J32" s="438" t="s">
        <v>409</v>
      </c>
    </row>
  </sheetData>
  <mergeCells count="3">
    <mergeCell ref="A1:I1"/>
    <mergeCell ref="F3:I3"/>
    <mergeCell ref="C4:D4"/>
  </mergeCells>
  <conditionalFormatting sqref="F13 F33:F65537">
    <cfRule type="cellIs" dxfId="22" priority="18" stopIfTrue="1" operator="greaterThan">
      <formula>1</formula>
    </cfRule>
  </conditionalFormatting>
  <conditionalFormatting sqref="H5:H12">
    <cfRule type="expression" dxfId="21" priority="14">
      <formula>$H5&gt;0</formula>
    </cfRule>
  </conditionalFormatting>
  <conditionalFormatting sqref="I5:I12">
    <cfRule type="expression" dxfId="20" priority="15">
      <formula>$I5&gt;1</formula>
    </cfRule>
  </conditionalFormatting>
  <conditionalFormatting sqref="B5:B12">
    <cfRule type="expression" dxfId="19" priority="11">
      <formula>OR($J5="NS",$J5="SumaNS",$J5="Účet")</formula>
    </cfRule>
  </conditionalFormatting>
  <conditionalFormatting sqref="F5:I12 B5:D12">
    <cfRule type="expression" dxfId="18" priority="17">
      <formula>AND($J5&lt;&gt;"",$J5&lt;&gt;"mezeraKL")</formula>
    </cfRule>
  </conditionalFormatting>
  <conditionalFormatting sqref="B5:D12 F5:I12">
    <cfRule type="expression" dxfId="17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6" priority="13">
      <formula>OR($J5="SumaNS",$J5="NS")</formula>
    </cfRule>
  </conditionalFormatting>
  <conditionalFormatting sqref="A5:A12">
    <cfRule type="expression" dxfId="15" priority="9">
      <formula>AND($J5&lt;&gt;"mezeraKL",$J5&lt;&gt;"")</formula>
    </cfRule>
  </conditionalFormatting>
  <conditionalFormatting sqref="A5:A12">
    <cfRule type="expression" dxfId="14" priority="10">
      <formula>AND($J5&lt;&gt;"",$J5&lt;&gt;"mezeraKL")</formula>
    </cfRule>
  </conditionalFormatting>
  <conditionalFormatting sqref="H14:H32">
    <cfRule type="expression" dxfId="13" priority="5">
      <formula>$H14&gt;0</formula>
    </cfRule>
  </conditionalFormatting>
  <conditionalFormatting sqref="A14:A32">
    <cfRule type="expression" dxfId="12" priority="2">
      <formula>AND($J14&lt;&gt;"mezeraKL",$J14&lt;&gt;"")</formula>
    </cfRule>
  </conditionalFormatting>
  <conditionalFormatting sqref="I14:I32">
    <cfRule type="expression" dxfId="11" priority="6">
      <formula>$I14&gt;1</formula>
    </cfRule>
  </conditionalFormatting>
  <conditionalFormatting sqref="B14:B32">
    <cfRule type="expression" dxfId="10" priority="1">
      <formula>OR($J14="NS",$J14="SumaNS",$J14="Účet")</formula>
    </cfRule>
  </conditionalFormatting>
  <conditionalFormatting sqref="A14:D32 F14:I32">
    <cfRule type="expression" dxfId="9" priority="8">
      <formula>AND($J14&lt;&gt;"",$J14&lt;&gt;"mezeraKL")</formula>
    </cfRule>
  </conditionalFormatting>
  <conditionalFormatting sqref="B14:D32 F14:I32">
    <cfRule type="expression" dxfId="8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32 F14:I32">
    <cfRule type="expression" dxfId="7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48" t="s">
        <v>736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 ht="14.4" customHeight="1" thickBot="1" x14ac:dyDescent="0.35">
      <c r="A2" s="234" t="s">
        <v>246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44"/>
      <c r="D3" s="345"/>
      <c r="E3" s="345"/>
      <c r="F3" s="345"/>
      <c r="G3" s="345"/>
      <c r="H3" s="142" t="s">
        <v>128</v>
      </c>
      <c r="I3" s="98">
        <f>IF(J3&lt;&gt;0,K3/J3,0)</f>
        <v>2.3092434014242125</v>
      </c>
      <c r="J3" s="98">
        <f>SUBTOTAL(9,J5:J1048576)</f>
        <v>10420</v>
      </c>
      <c r="K3" s="99">
        <f>SUBTOTAL(9,K5:K1048576)</f>
        <v>24062.316242840294</v>
      </c>
    </row>
    <row r="4" spans="1:11" s="208" customFormat="1" ht="14.4" customHeight="1" thickBot="1" x14ac:dyDescent="0.35">
      <c r="A4" s="439" t="s">
        <v>4</v>
      </c>
      <c r="B4" s="440" t="s">
        <v>5</v>
      </c>
      <c r="C4" s="440" t="s">
        <v>0</v>
      </c>
      <c r="D4" s="440" t="s">
        <v>6</v>
      </c>
      <c r="E4" s="440" t="s">
        <v>7</v>
      </c>
      <c r="F4" s="440" t="s">
        <v>1</v>
      </c>
      <c r="G4" s="440" t="s">
        <v>71</v>
      </c>
      <c r="H4" s="441" t="s">
        <v>11</v>
      </c>
      <c r="I4" s="442" t="s">
        <v>142</v>
      </c>
      <c r="J4" s="442" t="s">
        <v>13</v>
      </c>
      <c r="K4" s="443" t="s">
        <v>156</v>
      </c>
    </row>
    <row r="5" spans="1:11" ht="14.4" customHeight="1" x14ac:dyDescent="0.3">
      <c r="A5" s="507" t="s">
        <v>404</v>
      </c>
      <c r="B5" s="508" t="s">
        <v>405</v>
      </c>
      <c r="C5" s="511" t="s">
        <v>410</v>
      </c>
      <c r="D5" s="554" t="s">
        <v>504</v>
      </c>
      <c r="E5" s="511" t="s">
        <v>723</v>
      </c>
      <c r="F5" s="554" t="s">
        <v>724</v>
      </c>
      <c r="G5" s="511" t="s">
        <v>663</v>
      </c>
      <c r="H5" s="511" t="s">
        <v>664</v>
      </c>
      <c r="I5" s="116">
        <v>4.3020000000000005</v>
      </c>
      <c r="J5" s="116">
        <v>36</v>
      </c>
      <c r="K5" s="534">
        <v>154.85999999999999</v>
      </c>
    </row>
    <row r="6" spans="1:11" ht="14.4" customHeight="1" x14ac:dyDescent="0.3">
      <c r="A6" s="522" t="s">
        <v>404</v>
      </c>
      <c r="B6" s="523" t="s">
        <v>405</v>
      </c>
      <c r="C6" s="526" t="s">
        <v>410</v>
      </c>
      <c r="D6" s="555" t="s">
        <v>504</v>
      </c>
      <c r="E6" s="526" t="s">
        <v>723</v>
      </c>
      <c r="F6" s="555" t="s">
        <v>724</v>
      </c>
      <c r="G6" s="526" t="s">
        <v>665</v>
      </c>
      <c r="H6" s="526" t="s">
        <v>666</v>
      </c>
      <c r="I6" s="535">
        <v>28.73</v>
      </c>
      <c r="J6" s="535">
        <v>2</v>
      </c>
      <c r="K6" s="536">
        <v>57.46</v>
      </c>
    </row>
    <row r="7" spans="1:11" ht="14.4" customHeight="1" x14ac:dyDescent="0.3">
      <c r="A7" s="522" t="s">
        <v>404</v>
      </c>
      <c r="B7" s="523" t="s">
        <v>405</v>
      </c>
      <c r="C7" s="526" t="s">
        <v>410</v>
      </c>
      <c r="D7" s="555" t="s">
        <v>504</v>
      </c>
      <c r="E7" s="526" t="s">
        <v>723</v>
      </c>
      <c r="F7" s="555" t="s">
        <v>724</v>
      </c>
      <c r="G7" s="526" t="s">
        <v>667</v>
      </c>
      <c r="H7" s="526" t="s">
        <v>668</v>
      </c>
      <c r="I7" s="535">
        <v>22.15</v>
      </c>
      <c r="J7" s="535">
        <v>3</v>
      </c>
      <c r="K7" s="536">
        <v>66.45</v>
      </c>
    </row>
    <row r="8" spans="1:11" ht="14.4" customHeight="1" x14ac:dyDescent="0.3">
      <c r="A8" s="522" t="s">
        <v>404</v>
      </c>
      <c r="B8" s="523" t="s">
        <v>405</v>
      </c>
      <c r="C8" s="526" t="s">
        <v>410</v>
      </c>
      <c r="D8" s="555" t="s">
        <v>504</v>
      </c>
      <c r="E8" s="526" t="s">
        <v>723</v>
      </c>
      <c r="F8" s="555" t="s">
        <v>724</v>
      </c>
      <c r="G8" s="526" t="s">
        <v>669</v>
      </c>
      <c r="H8" s="526" t="s">
        <v>670</v>
      </c>
      <c r="I8" s="535">
        <v>13.02</v>
      </c>
      <c r="J8" s="535">
        <v>5</v>
      </c>
      <c r="K8" s="536">
        <v>65.099999999999994</v>
      </c>
    </row>
    <row r="9" spans="1:11" ht="14.4" customHeight="1" x14ac:dyDescent="0.3">
      <c r="A9" s="522" t="s">
        <v>404</v>
      </c>
      <c r="B9" s="523" t="s">
        <v>405</v>
      </c>
      <c r="C9" s="526" t="s">
        <v>410</v>
      </c>
      <c r="D9" s="555" t="s">
        <v>504</v>
      </c>
      <c r="E9" s="526" t="s">
        <v>723</v>
      </c>
      <c r="F9" s="555" t="s">
        <v>724</v>
      </c>
      <c r="G9" s="526" t="s">
        <v>671</v>
      </c>
      <c r="H9" s="526" t="s">
        <v>672</v>
      </c>
      <c r="I9" s="535">
        <v>27.877499999999998</v>
      </c>
      <c r="J9" s="535">
        <v>5</v>
      </c>
      <c r="K9" s="536">
        <v>139.38999999999999</v>
      </c>
    </row>
    <row r="10" spans="1:11" ht="14.4" customHeight="1" x14ac:dyDescent="0.3">
      <c r="A10" s="522" t="s">
        <v>404</v>
      </c>
      <c r="B10" s="523" t="s">
        <v>405</v>
      </c>
      <c r="C10" s="526" t="s">
        <v>410</v>
      </c>
      <c r="D10" s="555" t="s">
        <v>504</v>
      </c>
      <c r="E10" s="526" t="s">
        <v>725</v>
      </c>
      <c r="F10" s="555" t="s">
        <v>726</v>
      </c>
      <c r="G10" s="526" t="s">
        <v>673</v>
      </c>
      <c r="H10" s="526" t="s">
        <v>674</v>
      </c>
      <c r="I10" s="535">
        <v>1.67</v>
      </c>
      <c r="J10" s="535">
        <v>300</v>
      </c>
      <c r="K10" s="536">
        <v>501</v>
      </c>
    </row>
    <row r="11" spans="1:11" ht="14.4" customHeight="1" x14ac:dyDescent="0.3">
      <c r="A11" s="522" t="s">
        <v>404</v>
      </c>
      <c r="B11" s="523" t="s">
        <v>405</v>
      </c>
      <c r="C11" s="526" t="s">
        <v>410</v>
      </c>
      <c r="D11" s="555" t="s">
        <v>504</v>
      </c>
      <c r="E11" s="526" t="s">
        <v>725</v>
      </c>
      <c r="F11" s="555" t="s">
        <v>726</v>
      </c>
      <c r="G11" s="526" t="s">
        <v>675</v>
      </c>
      <c r="H11" s="526" t="s">
        <v>676</v>
      </c>
      <c r="I11" s="535">
        <v>1.8050000000000002</v>
      </c>
      <c r="J11" s="535">
        <v>250</v>
      </c>
      <c r="K11" s="536">
        <v>451</v>
      </c>
    </row>
    <row r="12" spans="1:11" ht="14.4" customHeight="1" x14ac:dyDescent="0.3">
      <c r="A12" s="522" t="s">
        <v>404</v>
      </c>
      <c r="B12" s="523" t="s">
        <v>405</v>
      </c>
      <c r="C12" s="526" t="s">
        <v>410</v>
      </c>
      <c r="D12" s="555" t="s">
        <v>504</v>
      </c>
      <c r="E12" s="526" t="s">
        <v>725</v>
      </c>
      <c r="F12" s="555" t="s">
        <v>726</v>
      </c>
      <c r="G12" s="526" t="s">
        <v>677</v>
      </c>
      <c r="H12" s="526" t="s">
        <v>678</v>
      </c>
      <c r="I12" s="535">
        <v>1.9</v>
      </c>
      <c r="J12" s="535">
        <v>250</v>
      </c>
      <c r="K12" s="536">
        <v>475</v>
      </c>
    </row>
    <row r="13" spans="1:11" ht="14.4" customHeight="1" x14ac:dyDescent="0.3">
      <c r="A13" s="522" t="s">
        <v>404</v>
      </c>
      <c r="B13" s="523" t="s">
        <v>405</v>
      </c>
      <c r="C13" s="526" t="s">
        <v>410</v>
      </c>
      <c r="D13" s="555" t="s">
        <v>504</v>
      </c>
      <c r="E13" s="526" t="s">
        <v>725</v>
      </c>
      <c r="F13" s="555" t="s">
        <v>726</v>
      </c>
      <c r="G13" s="526" t="s">
        <v>679</v>
      </c>
      <c r="H13" s="526" t="s">
        <v>680</v>
      </c>
      <c r="I13" s="535">
        <v>1.9799999999999998</v>
      </c>
      <c r="J13" s="535">
        <v>400</v>
      </c>
      <c r="K13" s="536">
        <v>792</v>
      </c>
    </row>
    <row r="14" spans="1:11" ht="14.4" customHeight="1" x14ac:dyDescent="0.3">
      <c r="A14" s="522" t="s">
        <v>404</v>
      </c>
      <c r="B14" s="523" t="s">
        <v>405</v>
      </c>
      <c r="C14" s="526" t="s">
        <v>410</v>
      </c>
      <c r="D14" s="555" t="s">
        <v>504</v>
      </c>
      <c r="E14" s="526" t="s">
        <v>725</v>
      </c>
      <c r="F14" s="555" t="s">
        <v>726</v>
      </c>
      <c r="G14" s="526" t="s">
        <v>681</v>
      </c>
      <c r="H14" s="526" t="s">
        <v>682</v>
      </c>
      <c r="I14" s="535">
        <v>1.92</v>
      </c>
      <c r="J14" s="535">
        <v>200</v>
      </c>
      <c r="K14" s="536">
        <v>384</v>
      </c>
    </row>
    <row r="15" spans="1:11" ht="14.4" customHeight="1" x14ac:dyDescent="0.3">
      <c r="A15" s="522" t="s">
        <v>404</v>
      </c>
      <c r="B15" s="523" t="s">
        <v>405</v>
      </c>
      <c r="C15" s="526" t="s">
        <v>410</v>
      </c>
      <c r="D15" s="555" t="s">
        <v>504</v>
      </c>
      <c r="E15" s="526" t="s">
        <v>725</v>
      </c>
      <c r="F15" s="555" t="s">
        <v>726</v>
      </c>
      <c r="G15" s="526" t="s">
        <v>683</v>
      </c>
      <c r="H15" s="526" t="s">
        <v>684</v>
      </c>
      <c r="I15" s="535">
        <v>1.93</v>
      </c>
      <c r="J15" s="535">
        <v>10</v>
      </c>
      <c r="K15" s="536">
        <v>19.3</v>
      </c>
    </row>
    <row r="16" spans="1:11" ht="14.4" customHeight="1" x14ac:dyDescent="0.3">
      <c r="A16" s="522" t="s">
        <v>404</v>
      </c>
      <c r="B16" s="523" t="s">
        <v>405</v>
      </c>
      <c r="C16" s="526" t="s">
        <v>410</v>
      </c>
      <c r="D16" s="555" t="s">
        <v>504</v>
      </c>
      <c r="E16" s="526" t="s">
        <v>725</v>
      </c>
      <c r="F16" s="555" t="s">
        <v>726</v>
      </c>
      <c r="G16" s="526" t="s">
        <v>685</v>
      </c>
      <c r="H16" s="526" t="s">
        <v>686</v>
      </c>
      <c r="I16" s="535">
        <v>0.01</v>
      </c>
      <c r="J16" s="535">
        <v>600</v>
      </c>
      <c r="K16" s="536">
        <v>6</v>
      </c>
    </row>
    <row r="17" spans="1:11" ht="14.4" customHeight="1" x14ac:dyDescent="0.3">
      <c r="A17" s="522" t="s">
        <v>404</v>
      </c>
      <c r="B17" s="523" t="s">
        <v>405</v>
      </c>
      <c r="C17" s="526" t="s">
        <v>410</v>
      </c>
      <c r="D17" s="555" t="s">
        <v>504</v>
      </c>
      <c r="E17" s="526" t="s">
        <v>725</v>
      </c>
      <c r="F17" s="555" t="s">
        <v>726</v>
      </c>
      <c r="G17" s="526" t="s">
        <v>687</v>
      </c>
      <c r="H17" s="526" t="s">
        <v>688</v>
      </c>
      <c r="I17" s="535">
        <v>3.07</v>
      </c>
      <c r="J17" s="535">
        <v>100</v>
      </c>
      <c r="K17" s="536">
        <v>307</v>
      </c>
    </row>
    <row r="18" spans="1:11" ht="14.4" customHeight="1" x14ac:dyDescent="0.3">
      <c r="A18" s="522" t="s">
        <v>404</v>
      </c>
      <c r="B18" s="523" t="s">
        <v>405</v>
      </c>
      <c r="C18" s="526" t="s">
        <v>410</v>
      </c>
      <c r="D18" s="555" t="s">
        <v>504</v>
      </c>
      <c r="E18" s="526" t="s">
        <v>725</v>
      </c>
      <c r="F18" s="555" t="s">
        <v>726</v>
      </c>
      <c r="G18" s="526" t="s">
        <v>689</v>
      </c>
      <c r="H18" s="526" t="s">
        <v>690</v>
      </c>
      <c r="I18" s="535">
        <v>2.17</v>
      </c>
      <c r="J18" s="535">
        <v>15</v>
      </c>
      <c r="K18" s="536">
        <v>32.549999999999997</v>
      </c>
    </row>
    <row r="19" spans="1:11" ht="14.4" customHeight="1" x14ac:dyDescent="0.3">
      <c r="A19" s="522" t="s">
        <v>404</v>
      </c>
      <c r="B19" s="523" t="s">
        <v>405</v>
      </c>
      <c r="C19" s="526" t="s">
        <v>410</v>
      </c>
      <c r="D19" s="555" t="s">
        <v>504</v>
      </c>
      <c r="E19" s="526" t="s">
        <v>725</v>
      </c>
      <c r="F19" s="555" t="s">
        <v>726</v>
      </c>
      <c r="G19" s="526" t="s">
        <v>691</v>
      </c>
      <c r="H19" s="526" t="s">
        <v>692</v>
      </c>
      <c r="I19" s="535">
        <v>2.7000000000000006</v>
      </c>
      <c r="J19" s="535">
        <v>300</v>
      </c>
      <c r="K19" s="536">
        <v>810</v>
      </c>
    </row>
    <row r="20" spans="1:11" ht="14.4" customHeight="1" x14ac:dyDescent="0.3">
      <c r="A20" s="522" t="s">
        <v>404</v>
      </c>
      <c r="B20" s="523" t="s">
        <v>405</v>
      </c>
      <c r="C20" s="526" t="s">
        <v>410</v>
      </c>
      <c r="D20" s="555" t="s">
        <v>504</v>
      </c>
      <c r="E20" s="526" t="s">
        <v>725</v>
      </c>
      <c r="F20" s="555" t="s">
        <v>726</v>
      </c>
      <c r="G20" s="526" t="s">
        <v>693</v>
      </c>
      <c r="H20" s="526" t="s">
        <v>694</v>
      </c>
      <c r="I20" s="535">
        <v>1.94</v>
      </c>
      <c r="J20" s="535">
        <v>15</v>
      </c>
      <c r="K20" s="536">
        <v>29.1</v>
      </c>
    </row>
    <row r="21" spans="1:11" ht="14.4" customHeight="1" x14ac:dyDescent="0.3">
      <c r="A21" s="522" t="s">
        <v>404</v>
      </c>
      <c r="B21" s="523" t="s">
        <v>405</v>
      </c>
      <c r="C21" s="526" t="s">
        <v>410</v>
      </c>
      <c r="D21" s="555" t="s">
        <v>504</v>
      </c>
      <c r="E21" s="526" t="s">
        <v>725</v>
      </c>
      <c r="F21" s="555" t="s">
        <v>726</v>
      </c>
      <c r="G21" s="526" t="s">
        <v>695</v>
      </c>
      <c r="H21" s="526" t="s">
        <v>696</v>
      </c>
      <c r="I21" s="535">
        <v>21.24</v>
      </c>
      <c r="J21" s="535">
        <v>15</v>
      </c>
      <c r="K21" s="536">
        <v>318.60000000000002</v>
      </c>
    </row>
    <row r="22" spans="1:11" ht="14.4" customHeight="1" x14ac:dyDescent="0.3">
      <c r="A22" s="522" t="s">
        <v>404</v>
      </c>
      <c r="B22" s="523" t="s">
        <v>405</v>
      </c>
      <c r="C22" s="526" t="s">
        <v>410</v>
      </c>
      <c r="D22" s="555" t="s">
        <v>504</v>
      </c>
      <c r="E22" s="526" t="s">
        <v>725</v>
      </c>
      <c r="F22" s="555" t="s">
        <v>726</v>
      </c>
      <c r="G22" s="526" t="s">
        <v>697</v>
      </c>
      <c r="H22" s="526" t="s">
        <v>698</v>
      </c>
      <c r="I22" s="535">
        <v>21.24</v>
      </c>
      <c r="J22" s="535">
        <v>5</v>
      </c>
      <c r="K22" s="536">
        <v>106.2</v>
      </c>
    </row>
    <row r="23" spans="1:11" ht="14.4" customHeight="1" x14ac:dyDescent="0.3">
      <c r="A23" s="522" t="s">
        <v>404</v>
      </c>
      <c r="B23" s="523" t="s">
        <v>405</v>
      </c>
      <c r="C23" s="526" t="s">
        <v>410</v>
      </c>
      <c r="D23" s="555" t="s">
        <v>504</v>
      </c>
      <c r="E23" s="526" t="s">
        <v>725</v>
      </c>
      <c r="F23" s="555" t="s">
        <v>726</v>
      </c>
      <c r="G23" s="526" t="s">
        <v>699</v>
      </c>
      <c r="H23" s="526" t="s">
        <v>700</v>
      </c>
      <c r="I23" s="535">
        <v>3.17</v>
      </c>
      <c r="J23" s="535">
        <v>400</v>
      </c>
      <c r="K23" s="536">
        <v>1268</v>
      </c>
    </row>
    <row r="24" spans="1:11" ht="14.4" customHeight="1" x14ac:dyDescent="0.3">
      <c r="A24" s="522" t="s">
        <v>404</v>
      </c>
      <c r="B24" s="523" t="s">
        <v>405</v>
      </c>
      <c r="C24" s="526" t="s">
        <v>410</v>
      </c>
      <c r="D24" s="555" t="s">
        <v>504</v>
      </c>
      <c r="E24" s="526" t="s">
        <v>727</v>
      </c>
      <c r="F24" s="555" t="s">
        <v>728</v>
      </c>
      <c r="G24" s="526" t="s">
        <v>701</v>
      </c>
      <c r="H24" s="526" t="s">
        <v>702</v>
      </c>
      <c r="I24" s="535">
        <v>8.17</v>
      </c>
      <c r="J24" s="535">
        <v>300</v>
      </c>
      <c r="K24" s="536">
        <v>2451</v>
      </c>
    </row>
    <row r="25" spans="1:11" ht="14.4" customHeight="1" x14ac:dyDescent="0.3">
      <c r="A25" s="522" t="s">
        <v>404</v>
      </c>
      <c r="B25" s="523" t="s">
        <v>405</v>
      </c>
      <c r="C25" s="526" t="s">
        <v>410</v>
      </c>
      <c r="D25" s="555" t="s">
        <v>504</v>
      </c>
      <c r="E25" s="526" t="s">
        <v>729</v>
      </c>
      <c r="F25" s="555" t="s">
        <v>730</v>
      </c>
      <c r="G25" s="526" t="s">
        <v>703</v>
      </c>
      <c r="H25" s="526" t="s">
        <v>704</v>
      </c>
      <c r="I25" s="535">
        <v>0.3</v>
      </c>
      <c r="J25" s="535">
        <v>1300</v>
      </c>
      <c r="K25" s="536">
        <v>390</v>
      </c>
    </row>
    <row r="26" spans="1:11" ht="14.4" customHeight="1" x14ac:dyDescent="0.3">
      <c r="A26" s="522" t="s">
        <v>404</v>
      </c>
      <c r="B26" s="523" t="s">
        <v>405</v>
      </c>
      <c r="C26" s="526" t="s">
        <v>410</v>
      </c>
      <c r="D26" s="555" t="s">
        <v>504</v>
      </c>
      <c r="E26" s="526" t="s">
        <v>729</v>
      </c>
      <c r="F26" s="555" t="s">
        <v>730</v>
      </c>
      <c r="G26" s="526" t="s">
        <v>705</v>
      </c>
      <c r="H26" s="526" t="s">
        <v>706</v>
      </c>
      <c r="I26" s="535">
        <v>0.48333333333333334</v>
      </c>
      <c r="J26" s="535">
        <v>300</v>
      </c>
      <c r="K26" s="536">
        <v>145</v>
      </c>
    </row>
    <row r="27" spans="1:11" ht="14.4" customHeight="1" x14ac:dyDescent="0.3">
      <c r="A27" s="522" t="s">
        <v>404</v>
      </c>
      <c r="B27" s="523" t="s">
        <v>405</v>
      </c>
      <c r="C27" s="526" t="s">
        <v>410</v>
      </c>
      <c r="D27" s="555" t="s">
        <v>504</v>
      </c>
      <c r="E27" s="526" t="s">
        <v>729</v>
      </c>
      <c r="F27" s="555" t="s">
        <v>730</v>
      </c>
      <c r="G27" s="526" t="s">
        <v>707</v>
      </c>
      <c r="H27" s="526" t="s">
        <v>708</v>
      </c>
      <c r="I27" s="535">
        <v>1.8</v>
      </c>
      <c r="J27" s="535">
        <v>800</v>
      </c>
      <c r="K27" s="536">
        <v>1440</v>
      </c>
    </row>
    <row r="28" spans="1:11" ht="14.4" customHeight="1" x14ac:dyDescent="0.3">
      <c r="A28" s="522" t="s">
        <v>404</v>
      </c>
      <c r="B28" s="523" t="s">
        <v>405</v>
      </c>
      <c r="C28" s="526" t="s">
        <v>410</v>
      </c>
      <c r="D28" s="555" t="s">
        <v>504</v>
      </c>
      <c r="E28" s="526" t="s">
        <v>731</v>
      </c>
      <c r="F28" s="555" t="s">
        <v>732</v>
      </c>
      <c r="G28" s="526" t="s">
        <v>709</v>
      </c>
      <c r="H28" s="526" t="s">
        <v>710</v>
      </c>
      <c r="I28" s="535">
        <v>0.71</v>
      </c>
      <c r="J28" s="535">
        <v>800</v>
      </c>
      <c r="K28" s="536">
        <v>568</v>
      </c>
    </row>
    <row r="29" spans="1:11" ht="14.4" customHeight="1" x14ac:dyDescent="0.3">
      <c r="A29" s="522" t="s">
        <v>404</v>
      </c>
      <c r="B29" s="523" t="s">
        <v>405</v>
      </c>
      <c r="C29" s="526" t="s">
        <v>410</v>
      </c>
      <c r="D29" s="555" t="s">
        <v>504</v>
      </c>
      <c r="E29" s="526" t="s">
        <v>733</v>
      </c>
      <c r="F29" s="555" t="s">
        <v>734</v>
      </c>
      <c r="G29" s="526" t="s">
        <v>711</v>
      </c>
      <c r="H29" s="526" t="s">
        <v>712</v>
      </c>
      <c r="I29" s="535">
        <v>195.65699999999998</v>
      </c>
      <c r="J29" s="535">
        <v>38</v>
      </c>
      <c r="K29" s="536">
        <v>7434.24</v>
      </c>
    </row>
    <row r="30" spans="1:11" ht="14.4" customHeight="1" x14ac:dyDescent="0.3">
      <c r="A30" s="522" t="s">
        <v>404</v>
      </c>
      <c r="B30" s="523" t="s">
        <v>405</v>
      </c>
      <c r="C30" s="526" t="s">
        <v>410</v>
      </c>
      <c r="D30" s="555" t="s">
        <v>504</v>
      </c>
      <c r="E30" s="526" t="s">
        <v>733</v>
      </c>
      <c r="F30" s="555" t="s">
        <v>734</v>
      </c>
      <c r="G30" s="526" t="s">
        <v>713</v>
      </c>
      <c r="H30" s="526" t="s">
        <v>714</v>
      </c>
      <c r="I30" s="535">
        <v>65.756242840295755</v>
      </c>
      <c r="J30" s="535">
        <v>1</v>
      </c>
      <c r="K30" s="536">
        <v>65.756242840295755</v>
      </c>
    </row>
    <row r="31" spans="1:11" ht="14.4" customHeight="1" x14ac:dyDescent="0.3">
      <c r="A31" s="522" t="s">
        <v>404</v>
      </c>
      <c r="B31" s="523" t="s">
        <v>405</v>
      </c>
      <c r="C31" s="526" t="s">
        <v>660</v>
      </c>
      <c r="D31" s="555" t="s">
        <v>735</v>
      </c>
      <c r="E31" s="526" t="s">
        <v>723</v>
      </c>
      <c r="F31" s="555" t="s">
        <v>724</v>
      </c>
      <c r="G31" s="526" t="s">
        <v>663</v>
      </c>
      <c r="H31" s="526" t="s">
        <v>664</v>
      </c>
      <c r="I31" s="535">
        <v>4.3</v>
      </c>
      <c r="J31" s="535">
        <v>4</v>
      </c>
      <c r="K31" s="536">
        <v>17.2</v>
      </c>
    </row>
    <row r="32" spans="1:11" ht="14.4" customHeight="1" x14ac:dyDescent="0.3">
      <c r="A32" s="522" t="s">
        <v>404</v>
      </c>
      <c r="B32" s="523" t="s">
        <v>405</v>
      </c>
      <c r="C32" s="526" t="s">
        <v>660</v>
      </c>
      <c r="D32" s="555" t="s">
        <v>735</v>
      </c>
      <c r="E32" s="526" t="s">
        <v>723</v>
      </c>
      <c r="F32" s="555" t="s">
        <v>724</v>
      </c>
      <c r="G32" s="526" t="s">
        <v>665</v>
      </c>
      <c r="H32" s="526" t="s">
        <v>666</v>
      </c>
      <c r="I32" s="535">
        <v>28.734999999999999</v>
      </c>
      <c r="J32" s="535">
        <v>5</v>
      </c>
      <c r="K32" s="536">
        <v>143.68</v>
      </c>
    </row>
    <row r="33" spans="1:11" ht="14.4" customHeight="1" x14ac:dyDescent="0.3">
      <c r="A33" s="522" t="s">
        <v>404</v>
      </c>
      <c r="B33" s="523" t="s">
        <v>405</v>
      </c>
      <c r="C33" s="526" t="s">
        <v>660</v>
      </c>
      <c r="D33" s="555" t="s">
        <v>735</v>
      </c>
      <c r="E33" s="526" t="s">
        <v>723</v>
      </c>
      <c r="F33" s="555" t="s">
        <v>724</v>
      </c>
      <c r="G33" s="526" t="s">
        <v>715</v>
      </c>
      <c r="H33" s="526" t="s">
        <v>716</v>
      </c>
      <c r="I33" s="535">
        <v>30.17</v>
      </c>
      <c r="J33" s="535">
        <v>3</v>
      </c>
      <c r="K33" s="536">
        <v>90.51</v>
      </c>
    </row>
    <row r="34" spans="1:11" ht="14.4" customHeight="1" x14ac:dyDescent="0.3">
      <c r="A34" s="522" t="s">
        <v>404</v>
      </c>
      <c r="B34" s="523" t="s">
        <v>405</v>
      </c>
      <c r="C34" s="526" t="s">
        <v>660</v>
      </c>
      <c r="D34" s="555" t="s">
        <v>735</v>
      </c>
      <c r="E34" s="526" t="s">
        <v>723</v>
      </c>
      <c r="F34" s="555" t="s">
        <v>724</v>
      </c>
      <c r="G34" s="526" t="s">
        <v>669</v>
      </c>
      <c r="H34" s="526" t="s">
        <v>670</v>
      </c>
      <c r="I34" s="535">
        <v>13.015000000000001</v>
      </c>
      <c r="J34" s="535">
        <v>10</v>
      </c>
      <c r="K34" s="536">
        <v>130.14999999999998</v>
      </c>
    </row>
    <row r="35" spans="1:11" ht="14.4" customHeight="1" x14ac:dyDescent="0.3">
      <c r="A35" s="522" t="s">
        <v>404</v>
      </c>
      <c r="B35" s="523" t="s">
        <v>405</v>
      </c>
      <c r="C35" s="526" t="s">
        <v>660</v>
      </c>
      <c r="D35" s="555" t="s">
        <v>735</v>
      </c>
      <c r="E35" s="526" t="s">
        <v>723</v>
      </c>
      <c r="F35" s="555" t="s">
        <v>724</v>
      </c>
      <c r="G35" s="526" t="s">
        <v>671</v>
      </c>
      <c r="H35" s="526" t="s">
        <v>672</v>
      </c>
      <c r="I35" s="535">
        <v>27.875</v>
      </c>
      <c r="J35" s="535">
        <v>3</v>
      </c>
      <c r="K35" s="536">
        <v>83.62</v>
      </c>
    </row>
    <row r="36" spans="1:11" ht="14.4" customHeight="1" x14ac:dyDescent="0.3">
      <c r="A36" s="522" t="s">
        <v>404</v>
      </c>
      <c r="B36" s="523" t="s">
        <v>405</v>
      </c>
      <c r="C36" s="526" t="s">
        <v>660</v>
      </c>
      <c r="D36" s="555" t="s">
        <v>735</v>
      </c>
      <c r="E36" s="526" t="s">
        <v>725</v>
      </c>
      <c r="F36" s="555" t="s">
        <v>726</v>
      </c>
      <c r="G36" s="526" t="s">
        <v>673</v>
      </c>
      <c r="H36" s="526" t="s">
        <v>674</v>
      </c>
      <c r="I36" s="535">
        <v>1.67</v>
      </c>
      <c r="J36" s="535">
        <v>200</v>
      </c>
      <c r="K36" s="536">
        <v>334</v>
      </c>
    </row>
    <row r="37" spans="1:11" ht="14.4" customHeight="1" x14ac:dyDescent="0.3">
      <c r="A37" s="522" t="s">
        <v>404</v>
      </c>
      <c r="B37" s="523" t="s">
        <v>405</v>
      </c>
      <c r="C37" s="526" t="s">
        <v>660</v>
      </c>
      <c r="D37" s="555" t="s">
        <v>735</v>
      </c>
      <c r="E37" s="526" t="s">
        <v>725</v>
      </c>
      <c r="F37" s="555" t="s">
        <v>726</v>
      </c>
      <c r="G37" s="526" t="s">
        <v>717</v>
      </c>
      <c r="H37" s="526" t="s">
        <v>718</v>
      </c>
      <c r="I37" s="535">
        <v>0.48</v>
      </c>
      <c r="J37" s="535">
        <v>100</v>
      </c>
      <c r="K37" s="536">
        <v>48</v>
      </c>
    </row>
    <row r="38" spans="1:11" ht="14.4" customHeight="1" x14ac:dyDescent="0.3">
      <c r="A38" s="522" t="s">
        <v>404</v>
      </c>
      <c r="B38" s="523" t="s">
        <v>405</v>
      </c>
      <c r="C38" s="526" t="s">
        <v>660</v>
      </c>
      <c r="D38" s="555" t="s">
        <v>735</v>
      </c>
      <c r="E38" s="526" t="s">
        <v>725</v>
      </c>
      <c r="F38" s="555" t="s">
        <v>726</v>
      </c>
      <c r="G38" s="526" t="s">
        <v>675</v>
      </c>
      <c r="H38" s="526" t="s">
        <v>676</v>
      </c>
      <c r="I38" s="535">
        <v>1.8050000000000002</v>
      </c>
      <c r="J38" s="535">
        <v>200</v>
      </c>
      <c r="K38" s="536">
        <v>361</v>
      </c>
    </row>
    <row r="39" spans="1:11" ht="14.4" customHeight="1" x14ac:dyDescent="0.3">
      <c r="A39" s="522" t="s">
        <v>404</v>
      </c>
      <c r="B39" s="523" t="s">
        <v>405</v>
      </c>
      <c r="C39" s="526" t="s">
        <v>660</v>
      </c>
      <c r="D39" s="555" t="s">
        <v>735</v>
      </c>
      <c r="E39" s="526" t="s">
        <v>725</v>
      </c>
      <c r="F39" s="555" t="s">
        <v>726</v>
      </c>
      <c r="G39" s="526" t="s">
        <v>677</v>
      </c>
      <c r="H39" s="526" t="s">
        <v>678</v>
      </c>
      <c r="I39" s="535">
        <v>1.9</v>
      </c>
      <c r="J39" s="535">
        <v>300</v>
      </c>
      <c r="K39" s="536">
        <v>570</v>
      </c>
    </row>
    <row r="40" spans="1:11" ht="14.4" customHeight="1" x14ac:dyDescent="0.3">
      <c r="A40" s="522" t="s">
        <v>404</v>
      </c>
      <c r="B40" s="523" t="s">
        <v>405</v>
      </c>
      <c r="C40" s="526" t="s">
        <v>660</v>
      </c>
      <c r="D40" s="555" t="s">
        <v>735</v>
      </c>
      <c r="E40" s="526" t="s">
        <v>725</v>
      </c>
      <c r="F40" s="555" t="s">
        <v>726</v>
      </c>
      <c r="G40" s="526" t="s">
        <v>679</v>
      </c>
      <c r="H40" s="526" t="s">
        <v>680</v>
      </c>
      <c r="I40" s="535">
        <v>1.9833333333333334</v>
      </c>
      <c r="J40" s="535">
        <v>300</v>
      </c>
      <c r="K40" s="536">
        <v>595</v>
      </c>
    </row>
    <row r="41" spans="1:11" ht="14.4" customHeight="1" x14ac:dyDescent="0.3">
      <c r="A41" s="522" t="s">
        <v>404</v>
      </c>
      <c r="B41" s="523" t="s">
        <v>405</v>
      </c>
      <c r="C41" s="526" t="s">
        <v>660</v>
      </c>
      <c r="D41" s="555" t="s">
        <v>735</v>
      </c>
      <c r="E41" s="526" t="s">
        <v>725</v>
      </c>
      <c r="F41" s="555" t="s">
        <v>726</v>
      </c>
      <c r="G41" s="526" t="s">
        <v>681</v>
      </c>
      <c r="H41" s="526" t="s">
        <v>682</v>
      </c>
      <c r="I41" s="535">
        <v>1.9249999999999998</v>
      </c>
      <c r="J41" s="535">
        <v>200</v>
      </c>
      <c r="K41" s="536">
        <v>385</v>
      </c>
    </row>
    <row r="42" spans="1:11" ht="14.4" customHeight="1" x14ac:dyDescent="0.3">
      <c r="A42" s="522" t="s">
        <v>404</v>
      </c>
      <c r="B42" s="523" t="s">
        <v>405</v>
      </c>
      <c r="C42" s="526" t="s">
        <v>660</v>
      </c>
      <c r="D42" s="555" t="s">
        <v>735</v>
      </c>
      <c r="E42" s="526" t="s">
        <v>725</v>
      </c>
      <c r="F42" s="555" t="s">
        <v>726</v>
      </c>
      <c r="G42" s="526" t="s">
        <v>685</v>
      </c>
      <c r="H42" s="526" t="s">
        <v>686</v>
      </c>
      <c r="I42" s="535">
        <v>0.01</v>
      </c>
      <c r="J42" s="535">
        <v>500</v>
      </c>
      <c r="K42" s="536">
        <v>5</v>
      </c>
    </row>
    <row r="43" spans="1:11" ht="14.4" customHeight="1" x14ac:dyDescent="0.3">
      <c r="A43" s="522" t="s">
        <v>404</v>
      </c>
      <c r="B43" s="523" t="s">
        <v>405</v>
      </c>
      <c r="C43" s="526" t="s">
        <v>660</v>
      </c>
      <c r="D43" s="555" t="s">
        <v>735</v>
      </c>
      <c r="E43" s="526" t="s">
        <v>725</v>
      </c>
      <c r="F43" s="555" t="s">
        <v>726</v>
      </c>
      <c r="G43" s="526" t="s">
        <v>689</v>
      </c>
      <c r="H43" s="526" t="s">
        <v>690</v>
      </c>
      <c r="I43" s="535">
        <v>2.17</v>
      </c>
      <c r="J43" s="535">
        <v>5</v>
      </c>
      <c r="K43" s="536">
        <v>10.85</v>
      </c>
    </row>
    <row r="44" spans="1:11" ht="14.4" customHeight="1" x14ac:dyDescent="0.3">
      <c r="A44" s="522" t="s">
        <v>404</v>
      </c>
      <c r="B44" s="523" t="s">
        <v>405</v>
      </c>
      <c r="C44" s="526" t="s">
        <v>660</v>
      </c>
      <c r="D44" s="555" t="s">
        <v>735</v>
      </c>
      <c r="E44" s="526" t="s">
        <v>725</v>
      </c>
      <c r="F44" s="555" t="s">
        <v>726</v>
      </c>
      <c r="G44" s="526" t="s">
        <v>691</v>
      </c>
      <c r="H44" s="526" t="s">
        <v>692</v>
      </c>
      <c r="I44" s="535">
        <v>2.67</v>
      </c>
      <c r="J44" s="535">
        <v>200</v>
      </c>
      <c r="K44" s="536">
        <v>534</v>
      </c>
    </row>
    <row r="45" spans="1:11" ht="14.4" customHeight="1" x14ac:dyDescent="0.3">
      <c r="A45" s="522" t="s">
        <v>404</v>
      </c>
      <c r="B45" s="523" t="s">
        <v>405</v>
      </c>
      <c r="C45" s="526" t="s">
        <v>660</v>
      </c>
      <c r="D45" s="555" t="s">
        <v>735</v>
      </c>
      <c r="E45" s="526" t="s">
        <v>725</v>
      </c>
      <c r="F45" s="555" t="s">
        <v>726</v>
      </c>
      <c r="G45" s="526" t="s">
        <v>693</v>
      </c>
      <c r="H45" s="526" t="s">
        <v>694</v>
      </c>
      <c r="I45" s="535">
        <v>1.94</v>
      </c>
      <c r="J45" s="535">
        <v>30</v>
      </c>
      <c r="K45" s="536">
        <v>58.2</v>
      </c>
    </row>
    <row r="46" spans="1:11" ht="14.4" customHeight="1" x14ac:dyDescent="0.3">
      <c r="A46" s="522" t="s">
        <v>404</v>
      </c>
      <c r="B46" s="523" t="s">
        <v>405</v>
      </c>
      <c r="C46" s="526" t="s">
        <v>660</v>
      </c>
      <c r="D46" s="555" t="s">
        <v>735</v>
      </c>
      <c r="E46" s="526" t="s">
        <v>725</v>
      </c>
      <c r="F46" s="555" t="s">
        <v>726</v>
      </c>
      <c r="G46" s="526" t="s">
        <v>719</v>
      </c>
      <c r="H46" s="526" t="s">
        <v>720</v>
      </c>
      <c r="I46" s="535">
        <v>12.11</v>
      </c>
      <c r="J46" s="535">
        <v>10</v>
      </c>
      <c r="K46" s="536">
        <v>121.1</v>
      </c>
    </row>
    <row r="47" spans="1:11" ht="14.4" customHeight="1" x14ac:dyDescent="0.3">
      <c r="A47" s="522" t="s">
        <v>404</v>
      </c>
      <c r="B47" s="523" t="s">
        <v>405</v>
      </c>
      <c r="C47" s="526" t="s">
        <v>660</v>
      </c>
      <c r="D47" s="555" t="s">
        <v>735</v>
      </c>
      <c r="E47" s="526" t="s">
        <v>725</v>
      </c>
      <c r="F47" s="555" t="s">
        <v>726</v>
      </c>
      <c r="G47" s="526" t="s">
        <v>721</v>
      </c>
      <c r="H47" s="526" t="s">
        <v>722</v>
      </c>
      <c r="I47" s="535">
        <v>2.52</v>
      </c>
      <c r="J47" s="535">
        <v>100</v>
      </c>
      <c r="K47" s="536">
        <v>252</v>
      </c>
    </row>
    <row r="48" spans="1:11" ht="14.4" customHeight="1" x14ac:dyDescent="0.3">
      <c r="A48" s="522" t="s">
        <v>404</v>
      </c>
      <c r="B48" s="523" t="s">
        <v>405</v>
      </c>
      <c r="C48" s="526" t="s">
        <v>660</v>
      </c>
      <c r="D48" s="555" t="s">
        <v>735</v>
      </c>
      <c r="E48" s="526" t="s">
        <v>725</v>
      </c>
      <c r="F48" s="555" t="s">
        <v>726</v>
      </c>
      <c r="G48" s="526" t="s">
        <v>699</v>
      </c>
      <c r="H48" s="526" t="s">
        <v>700</v>
      </c>
      <c r="I48" s="535">
        <v>3.17</v>
      </c>
      <c r="J48" s="535">
        <v>200</v>
      </c>
      <c r="K48" s="536">
        <v>634</v>
      </c>
    </row>
    <row r="49" spans="1:11" ht="14.4" customHeight="1" x14ac:dyDescent="0.3">
      <c r="A49" s="522" t="s">
        <v>404</v>
      </c>
      <c r="B49" s="523" t="s">
        <v>405</v>
      </c>
      <c r="C49" s="526" t="s">
        <v>660</v>
      </c>
      <c r="D49" s="555" t="s">
        <v>735</v>
      </c>
      <c r="E49" s="526" t="s">
        <v>729</v>
      </c>
      <c r="F49" s="555" t="s">
        <v>730</v>
      </c>
      <c r="G49" s="526" t="s">
        <v>703</v>
      </c>
      <c r="H49" s="526" t="s">
        <v>704</v>
      </c>
      <c r="I49" s="535">
        <v>0.3</v>
      </c>
      <c r="J49" s="535">
        <v>500</v>
      </c>
      <c r="K49" s="536">
        <v>150</v>
      </c>
    </row>
    <row r="50" spans="1:11" ht="14.4" customHeight="1" x14ac:dyDescent="0.3">
      <c r="A50" s="522" t="s">
        <v>404</v>
      </c>
      <c r="B50" s="523" t="s">
        <v>405</v>
      </c>
      <c r="C50" s="526" t="s">
        <v>660</v>
      </c>
      <c r="D50" s="555" t="s">
        <v>735</v>
      </c>
      <c r="E50" s="526" t="s">
        <v>729</v>
      </c>
      <c r="F50" s="555" t="s">
        <v>730</v>
      </c>
      <c r="G50" s="526" t="s">
        <v>705</v>
      </c>
      <c r="H50" s="526" t="s">
        <v>706</v>
      </c>
      <c r="I50" s="535">
        <v>0.48</v>
      </c>
      <c r="J50" s="535">
        <v>200</v>
      </c>
      <c r="K50" s="536">
        <v>96</v>
      </c>
    </row>
    <row r="51" spans="1:11" ht="14.4" customHeight="1" x14ac:dyDescent="0.3">
      <c r="A51" s="522" t="s">
        <v>404</v>
      </c>
      <c r="B51" s="523" t="s">
        <v>405</v>
      </c>
      <c r="C51" s="526" t="s">
        <v>660</v>
      </c>
      <c r="D51" s="555" t="s">
        <v>735</v>
      </c>
      <c r="E51" s="526" t="s">
        <v>729</v>
      </c>
      <c r="F51" s="555" t="s">
        <v>730</v>
      </c>
      <c r="G51" s="526" t="s">
        <v>707</v>
      </c>
      <c r="H51" s="526" t="s">
        <v>708</v>
      </c>
      <c r="I51" s="535">
        <v>1.8</v>
      </c>
      <c r="J51" s="535">
        <v>300</v>
      </c>
      <c r="K51" s="536">
        <v>540</v>
      </c>
    </row>
    <row r="52" spans="1:11" ht="14.4" customHeight="1" thickBot="1" x14ac:dyDescent="0.35">
      <c r="A52" s="514" t="s">
        <v>404</v>
      </c>
      <c r="B52" s="515" t="s">
        <v>405</v>
      </c>
      <c r="C52" s="518" t="s">
        <v>660</v>
      </c>
      <c r="D52" s="556" t="s">
        <v>735</v>
      </c>
      <c r="E52" s="518" t="s">
        <v>731</v>
      </c>
      <c r="F52" s="556" t="s">
        <v>732</v>
      </c>
      <c r="G52" s="518" t="s">
        <v>709</v>
      </c>
      <c r="H52" s="518" t="s">
        <v>710</v>
      </c>
      <c r="I52" s="537">
        <v>0.71</v>
      </c>
      <c r="J52" s="537">
        <v>600</v>
      </c>
      <c r="K52" s="538">
        <v>426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8" width="13.109375" customWidth="1"/>
  </cols>
  <sheetData>
    <row r="1" spans="1:9" ht="18.600000000000001" thickBot="1" x14ac:dyDescent="0.4">
      <c r="A1" s="383" t="s">
        <v>106</v>
      </c>
      <c r="B1" s="343"/>
      <c r="C1" s="343"/>
      <c r="D1" s="343"/>
      <c r="E1" s="343"/>
      <c r="F1" s="343"/>
      <c r="G1" s="343"/>
      <c r="H1" s="343"/>
    </row>
    <row r="2" spans="1:9" ht="15" thickBot="1" x14ac:dyDescent="0.35">
      <c r="A2" s="234" t="s">
        <v>246</v>
      </c>
      <c r="B2" s="235"/>
      <c r="C2" s="235"/>
      <c r="D2" s="235"/>
      <c r="E2" s="235"/>
      <c r="F2" s="235"/>
      <c r="G2" s="235"/>
    </row>
    <row r="3" spans="1:9" x14ac:dyDescent="0.3">
      <c r="A3" s="251" t="s">
        <v>193</v>
      </c>
      <c r="B3" s="381" t="s">
        <v>176</v>
      </c>
      <c r="C3" s="236">
        <v>99</v>
      </c>
      <c r="D3" s="254">
        <v>101</v>
      </c>
      <c r="E3" s="254">
        <v>302</v>
      </c>
      <c r="F3" s="254">
        <v>303</v>
      </c>
      <c r="G3" s="254">
        <v>304</v>
      </c>
      <c r="H3" s="569">
        <v>930</v>
      </c>
      <c r="I3" s="584"/>
    </row>
    <row r="4" spans="1:9" ht="24.6" outlineLevel="1" thickBot="1" x14ac:dyDescent="0.35">
      <c r="A4" s="252">
        <v>2016</v>
      </c>
      <c r="B4" s="382"/>
      <c r="C4" s="237" t="s">
        <v>177</v>
      </c>
      <c r="D4" s="255" t="s">
        <v>218</v>
      </c>
      <c r="E4" s="255" t="s">
        <v>219</v>
      </c>
      <c r="F4" s="255" t="s">
        <v>220</v>
      </c>
      <c r="G4" s="255" t="s">
        <v>221</v>
      </c>
      <c r="H4" s="570" t="s">
        <v>195</v>
      </c>
      <c r="I4" s="584"/>
    </row>
    <row r="5" spans="1:9" x14ac:dyDescent="0.3">
      <c r="A5" s="238" t="s">
        <v>178</v>
      </c>
      <c r="B5" s="268"/>
      <c r="C5" s="269"/>
      <c r="D5" s="269"/>
      <c r="E5" s="269"/>
      <c r="F5" s="269"/>
      <c r="G5" s="269"/>
      <c r="H5" s="571"/>
      <c r="I5" s="584"/>
    </row>
    <row r="6" spans="1:9" ht="15" collapsed="1" thickBot="1" x14ac:dyDescent="0.35">
      <c r="A6" s="239" t="s">
        <v>73</v>
      </c>
      <c r="B6" s="270">
        <f xml:space="preserve">
TRUNC(IF($A$4&lt;=12,SUMIFS('ON Data'!F:F,'ON Data'!$D:$D,$A$4,'ON Data'!$E:$E,1),SUMIFS('ON Data'!F:F,'ON Data'!$E:$E,1)/'ON Data'!$D$3),1)</f>
        <v>11.5</v>
      </c>
      <c r="C6" s="271">
        <f xml:space="preserve">
TRUNC(IF($A$4&lt;=12,SUMIFS('ON Data'!I:I,'ON Data'!$D:$D,$A$4,'ON Data'!$E:$E,1),SUMIFS('ON Data'!I:I,'ON Data'!$E:$E,1)/'ON Data'!$D$3),1)</f>
        <v>0.3</v>
      </c>
      <c r="D6" s="271">
        <f xml:space="preserve">
TRUNC(IF($A$4&lt;=12,SUMIFS('ON Data'!K:K,'ON Data'!$D:$D,$A$4,'ON Data'!$E:$E,1),SUMIFS('ON Data'!K:K,'ON Data'!$E:$E,1)/'ON Data'!$D$3),1)</f>
        <v>4</v>
      </c>
      <c r="E6" s="271">
        <f xml:space="preserve">
TRUNC(IF($A$4&lt;=12,SUMIFS('ON Data'!O:O,'ON Data'!$D:$D,$A$4,'ON Data'!$E:$E,1),SUMIFS('ON Data'!O:O,'ON Data'!$E:$E,1)/'ON Data'!$D$3),1)</f>
        <v>0</v>
      </c>
      <c r="F6" s="271">
        <f xml:space="preserve">
TRUNC(IF($A$4&lt;=12,SUMIFS('ON Data'!P:P,'ON Data'!$D:$D,$A$4,'ON Data'!$E:$E,1),SUMIFS('ON Data'!P:P,'ON Data'!$E:$E,1)/'ON Data'!$D$3),1)</f>
        <v>2.5</v>
      </c>
      <c r="G6" s="271">
        <f xml:space="preserve">
TRUNC(IF($A$4&lt;=12,SUMIFS('ON Data'!Q:Q,'ON Data'!$D:$D,$A$4,'ON Data'!$E:$E,1),SUMIFS('ON Data'!Q:Q,'ON Data'!$E:$E,1)/'ON Data'!$D$3),1)</f>
        <v>2.5</v>
      </c>
      <c r="H6" s="572">
        <f xml:space="preserve">
TRUNC(IF($A$4&lt;=12,SUMIFS('ON Data'!AW:AW,'ON Data'!$D:$D,$A$4,'ON Data'!$E:$E,1),SUMIFS('ON Data'!AW:AW,'ON Data'!$E:$E,1)/'ON Data'!$D$3),1)</f>
        <v>2.1</v>
      </c>
      <c r="I6" s="584"/>
    </row>
    <row r="7" spans="1:9" ht="15" hidden="1" outlineLevel="1" thickBot="1" x14ac:dyDescent="0.35">
      <c r="A7" s="239" t="s">
        <v>107</v>
      </c>
      <c r="B7" s="270"/>
      <c r="C7" s="271"/>
      <c r="D7" s="271"/>
      <c r="E7" s="271"/>
      <c r="F7" s="271"/>
      <c r="G7" s="271"/>
      <c r="H7" s="572"/>
      <c r="I7" s="584"/>
    </row>
    <row r="8" spans="1:9" ht="15" hidden="1" outlineLevel="1" thickBot="1" x14ac:dyDescent="0.35">
      <c r="A8" s="239" t="s">
        <v>75</v>
      </c>
      <c r="B8" s="270"/>
      <c r="C8" s="271"/>
      <c r="D8" s="271"/>
      <c r="E8" s="271"/>
      <c r="F8" s="271"/>
      <c r="G8" s="271"/>
      <c r="H8" s="572"/>
      <c r="I8" s="584"/>
    </row>
    <row r="9" spans="1:9" ht="15" hidden="1" outlineLevel="1" thickBot="1" x14ac:dyDescent="0.35">
      <c r="A9" s="240" t="s">
        <v>68</v>
      </c>
      <c r="B9" s="272"/>
      <c r="C9" s="273"/>
      <c r="D9" s="273"/>
      <c r="E9" s="273"/>
      <c r="F9" s="273"/>
      <c r="G9" s="273"/>
      <c r="H9" s="573"/>
      <c r="I9" s="584"/>
    </row>
    <row r="10" spans="1:9" x14ac:dyDescent="0.3">
      <c r="A10" s="241" t="s">
        <v>179</v>
      </c>
      <c r="B10" s="256"/>
      <c r="C10" s="257"/>
      <c r="D10" s="257"/>
      <c r="E10" s="257"/>
      <c r="F10" s="257"/>
      <c r="G10" s="257"/>
      <c r="H10" s="574"/>
      <c r="I10" s="584"/>
    </row>
    <row r="11" spans="1:9" x14ac:dyDescent="0.3">
      <c r="A11" s="242" t="s">
        <v>180</v>
      </c>
      <c r="B11" s="258">
        <f xml:space="preserve">
IF($A$4&lt;=12,SUMIFS('ON Data'!F:F,'ON Data'!$D:$D,$A$4,'ON Data'!$E:$E,2),SUMIFS('ON Data'!F:F,'ON Data'!$E:$E,2))</f>
        <v>10376</v>
      </c>
      <c r="C11" s="259">
        <f xml:space="preserve">
IF($A$4&lt;=12,SUMIFS('ON Data'!I:I,'ON Data'!$D:$D,$A$4,'ON Data'!$E:$E,2),SUMIFS('ON Data'!I:I,'ON Data'!$E:$E,2))</f>
        <v>264</v>
      </c>
      <c r="D11" s="259">
        <f xml:space="preserve">
IF($A$4&lt;=12,SUMIFS('ON Data'!K:K,'ON Data'!$D:$D,$A$4,'ON Data'!$E:$E,2),SUMIFS('ON Data'!K:K,'ON Data'!$E:$E,2))</f>
        <v>4000</v>
      </c>
      <c r="E11" s="259">
        <f xml:space="preserve">
IF($A$4&lt;=12,SUMIFS('ON Data'!O:O,'ON Data'!$D:$D,$A$4,'ON Data'!$E:$E,2),SUMIFS('ON Data'!O:O,'ON Data'!$E:$E,2))</f>
        <v>0</v>
      </c>
      <c r="F11" s="259">
        <f xml:space="preserve">
IF($A$4&lt;=12,SUMIFS('ON Data'!P:P,'ON Data'!$D:$D,$A$4,'ON Data'!$E:$E,2),SUMIFS('ON Data'!P:P,'ON Data'!$E:$E,2))</f>
        <v>2488</v>
      </c>
      <c r="G11" s="259">
        <f xml:space="preserve">
IF($A$4&lt;=12,SUMIFS('ON Data'!Q:Q,'ON Data'!$D:$D,$A$4,'ON Data'!$E:$E,2),SUMIFS('ON Data'!Q:Q,'ON Data'!$E:$E,2))</f>
        <v>2436</v>
      </c>
      <c r="H11" s="575">
        <f xml:space="preserve">
IF($A$4&lt;=12,SUMIFS('ON Data'!AW:AW,'ON Data'!$D:$D,$A$4,'ON Data'!$E:$E,2),SUMIFS('ON Data'!AW:AW,'ON Data'!$E:$E,2))</f>
        <v>1188</v>
      </c>
      <c r="I11" s="584"/>
    </row>
    <row r="12" spans="1:9" x14ac:dyDescent="0.3">
      <c r="A12" s="242" t="s">
        <v>181</v>
      </c>
      <c r="B12" s="258">
        <f xml:space="preserve">
IF($A$4&lt;=12,SUMIFS('ON Data'!F:F,'ON Data'!$D:$D,$A$4,'ON Data'!$E:$E,3),SUMIFS('ON Data'!F:F,'ON Data'!$E:$E,3))</f>
        <v>0</v>
      </c>
      <c r="C12" s="259">
        <f xml:space="preserve">
IF($A$4&lt;=12,SUMIFS('ON Data'!I:I,'ON Data'!$D:$D,$A$4,'ON Data'!$E:$E,3),SUMIFS('ON Data'!I:I,'ON Data'!$E:$E,3))</f>
        <v>0</v>
      </c>
      <c r="D12" s="259">
        <f xml:space="preserve">
IF($A$4&lt;=12,SUMIFS('ON Data'!K:K,'ON Data'!$D:$D,$A$4,'ON Data'!$E:$E,3),SUMIFS('ON Data'!K:K,'ON Data'!$E:$E,3))</f>
        <v>0</v>
      </c>
      <c r="E12" s="259">
        <f xml:space="preserve">
IF($A$4&lt;=12,SUMIFS('ON Data'!O:O,'ON Data'!$D:$D,$A$4,'ON Data'!$E:$E,3),SUMIFS('ON Data'!O:O,'ON Data'!$E:$E,3))</f>
        <v>0</v>
      </c>
      <c r="F12" s="259">
        <f xml:space="preserve">
IF($A$4&lt;=12,SUMIFS('ON Data'!P:P,'ON Data'!$D:$D,$A$4,'ON Data'!$E:$E,3),SUMIFS('ON Data'!P:P,'ON Data'!$E:$E,3))</f>
        <v>0</v>
      </c>
      <c r="G12" s="259">
        <f xml:space="preserve">
IF($A$4&lt;=12,SUMIFS('ON Data'!Q:Q,'ON Data'!$D:$D,$A$4,'ON Data'!$E:$E,3),SUMIFS('ON Data'!Q:Q,'ON Data'!$E:$E,3))</f>
        <v>0</v>
      </c>
      <c r="H12" s="575">
        <f xml:space="preserve">
IF($A$4&lt;=12,SUMIFS('ON Data'!AW:AW,'ON Data'!$D:$D,$A$4,'ON Data'!$E:$E,3),SUMIFS('ON Data'!AW:AW,'ON Data'!$E:$E,3))</f>
        <v>0</v>
      </c>
      <c r="I12" s="584"/>
    </row>
    <row r="13" spans="1:9" x14ac:dyDescent="0.3">
      <c r="A13" s="242" t="s">
        <v>188</v>
      </c>
      <c r="B13" s="258">
        <f xml:space="preserve">
IF($A$4&lt;=12,SUMIFS('ON Data'!F:F,'ON Data'!$D:$D,$A$4,'ON Data'!$E:$E,4),SUMIFS('ON Data'!F:F,'ON Data'!$E:$E,4))</f>
        <v>0</v>
      </c>
      <c r="C13" s="259">
        <f xml:space="preserve">
IF($A$4&lt;=12,SUMIFS('ON Data'!I:I,'ON Data'!$D:$D,$A$4,'ON Data'!$E:$E,4),SUMIFS('ON Data'!I:I,'ON Data'!$E:$E,4))</f>
        <v>0</v>
      </c>
      <c r="D13" s="259">
        <f xml:space="preserve">
IF($A$4&lt;=12,SUMIFS('ON Data'!K:K,'ON Data'!$D:$D,$A$4,'ON Data'!$E:$E,4),SUMIFS('ON Data'!K:K,'ON Data'!$E:$E,4))</f>
        <v>0</v>
      </c>
      <c r="E13" s="259">
        <f xml:space="preserve">
IF($A$4&lt;=12,SUMIFS('ON Data'!O:O,'ON Data'!$D:$D,$A$4,'ON Data'!$E:$E,4),SUMIFS('ON Data'!O:O,'ON Data'!$E:$E,4))</f>
        <v>0</v>
      </c>
      <c r="F13" s="259">
        <f xml:space="preserve">
IF($A$4&lt;=12,SUMIFS('ON Data'!P:P,'ON Data'!$D:$D,$A$4,'ON Data'!$E:$E,4),SUMIFS('ON Data'!P:P,'ON Data'!$E:$E,4))</f>
        <v>0</v>
      </c>
      <c r="G13" s="259">
        <f xml:space="preserve">
IF($A$4&lt;=12,SUMIFS('ON Data'!Q:Q,'ON Data'!$D:$D,$A$4,'ON Data'!$E:$E,4),SUMIFS('ON Data'!Q:Q,'ON Data'!$E:$E,4))</f>
        <v>0</v>
      </c>
      <c r="H13" s="575">
        <f xml:space="preserve">
IF($A$4&lt;=12,SUMIFS('ON Data'!AW:AW,'ON Data'!$D:$D,$A$4,'ON Data'!$E:$E,4),SUMIFS('ON Data'!AW:AW,'ON Data'!$E:$E,4))</f>
        <v>0</v>
      </c>
      <c r="I13" s="584"/>
    </row>
    <row r="14" spans="1:9" ht="15" thickBot="1" x14ac:dyDescent="0.35">
      <c r="A14" s="243" t="s">
        <v>182</v>
      </c>
      <c r="B14" s="260">
        <f xml:space="preserve">
IF($A$4&lt;=12,SUMIFS('ON Data'!F:F,'ON Data'!$D:$D,$A$4,'ON Data'!$E:$E,5),SUMIFS('ON Data'!F:F,'ON Data'!$E:$E,5))</f>
        <v>0</v>
      </c>
      <c r="C14" s="261">
        <f xml:space="preserve">
IF($A$4&lt;=12,SUMIFS('ON Data'!I:I,'ON Data'!$D:$D,$A$4,'ON Data'!$E:$E,5),SUMIFS('ON Data'!I:I,'ON Data'!$E:$E,5))</f>
        <v>0</v>
      </c>
      <c r="D14" s="261">
        <f xml:space="preserve">
IF($A$4&lt;=12,SUMIFS('ON Data'!K:K,'ON Data'!$D:$D,$A$4,'ON Data'!$E:$E,5),SUMIFS('ON Data'!K:K,'ON Data'!$E:$E,5))</f>
        <v>0</v>
      </c>
      <c r="E14" s="261">
        <f xml:space="preserve">
IF($A$4&lt;=12,SUMIFS('ON Data'!O:O,'ON Data'!$D:$D,$A$4,'ON Data'!$E:$E,5),SUMIFS('ON Data'!O:O,'ON Data'!$E:$E,5))</f>
        <v>0</v>
      </c>
      <c r="F14" s="261">
        <f xml:space="preserve">
IF($A$4&lt;=12,SUMIFS('ON Data'!P:P,'ON Data'!$D:$D,$A$4,'ON Data'!$E:$E,5),SUMIFS('ON Data'!P:P,'ON Data'!$E:$E,5))</f>
        <v>0</v>
      </c>
      <c r="G14" s="261">
        <f xml:space="preserve">
IF($A$4&lt;=12,SUMIFS('ON Data'!Q:Q,'ON Data'!$D:$D,$A$4,'ON Data'!$E:$E,5),SUMIFS('ON Data'!Q:Q,'ON Data'!$E:$E,5))</f>
        <v>0</v>
      </c>
      <c r="H14" s="576">
        <f xml:space="preserve">
IF($A$4&lt;=12,SUMIFS('ON Data'!AW:AW,'ON Data'!$D:$D,$A$4,'ON Data'!$E:$E,5),SUMIFS('ON Data'!AW:AW,'ON Data'!$E:$E,5))</f>
        <v>0</v>
      </c>
      <c r="I14" s="584"/>
    </row>
    <row r="15" spans="1:9" x14ac:dyDescent="0.3">
      <c r="A15" s="163" t="s">
        <v>192</v>
      </c>
      <c r="B15" s="262"/>
      <c r="C15" s="263"/>
      <c r="D15" s="263"/>
      <c r="E15" s="263"/>
      <c r="F15" s="263"/>
      <c r="G15" s="263"/>
      <c r="H15" s="577"/>
      <c r="I15" s="584"/>
    </row>
    <row r="16" spans="1:9" x14ac:dyDescent="0.3">
      <c r="A16" s="244" t="s">
        <v>183</v>
      </c>
      <c r="B16" s="258">
        <f xml:space="preserve">
IF($A$4&lt;=12,SUMIFS('ON Data'!F:F,'ON Data'!$D:$D,$A$4,'ON Data'!$E:$E,7),SUMIFS('ON Data'!F:F,'ON Data'!$E:$E,7))</f>
        <v>0</v>
      </c>
      <c r="C16" s="259">
        <f xml:space="preserve">
IF($A$4&lt;=12,SUMIFS('ON Data'!I:I,'ON Data'!$D:$D,$A$4,'ON Data'!$E:$E,7),SUMIFS('ON Data'!I:I,'ON Data'!$E:$E,7))</f>
        <v>0</v>
      </c>
      <c r="D16" s="259">
        <f xml:space="preserve">
IF($A$4&lt;=12,SUMIFS('ON Data'!K:K,'ON Data'!$D:$D,$A$4,'ON Data'!$E:$E,7),SUMIFS('ON Data'!K:K,'ON Data'!$E:$E,7))</f>
        <v>0</v>
      </c>
      <c r="E16" s="259">
        <f xml:space="preserve">
IF($A$4&lt;=12,SUMIFS('ON Data'!O:O,'ON Data'!$D:$D,$A$4,'ON Data'!$E:$E,7),SUMIFS('ON Data'!O:O,'ON Data'!$E:$E,7))</f>
        <v>0</v>
      </c>
      <c r="F16" s="259">
        <f xml:space="preserve">
IF($A$4&lt;=12,SUMIFS('ON Data'!P:P,'ON Data'!$D:$D,$A$4,'ON Data'!$E:$E,7),SUMIFS('ON Data'!P:P,'ON Data'!$E:$E,7))</f>
        <v>0</v>
      </c>
      <c r="G16" s="259">
        <f xml:space="preserve">
IF($A$4&lt;=12,SUMIFS('ON Data'!Q:Q,'ON Data'!$D:$D,$A$4,'ON Data'!$E:$E,7),SUMIFS('ON Data'!Q:Q,'ON Data'!$E:$E,7))</f>
        <v>0</v>
      </c>
      <c r="H16" s="575">
        <f xml:space="preserve">
IF($A$4&lt;=12,SUMIFS('ON Data'!AW:AW,'ON Data'!$D:$D,$A$4,'ON Data'!$E:$E,7),SUMIFS('ON Data'!AW:AW,'ON Data'!$E:$E,7))</f>
        <v>0</v>
      </c>
      <c r="I16" s="584"/>
    </row>
    <row r="17" spans="1:9" x14ac:dyDescent="0.3">
      <c r="A17" s="244" t="s">
        <v>184</v>
      </c>
      <c r="B17" s="258">
        <f xml:space="preserve">
IF($A$4&lt;=12,SUMIFS('ON Data'!F:F,'ON Data'!$D:$D,$A$4,'ON Data'!$E:$E,8),SUMIFS('ON Data'!F:F,'ON Data'!$E:$E,8))</f>
        <v>0</v>
      </c>
      <c r="C17" s="259">
        <f xml:space="preserve">
IF($A$4&lt;=12,SUMIFS('ON Data'!I:I,'ON Data'!$D:$D,$A$4,'ON Data'!$E:$E,8),SUMIFS('ON Data'!I:I,'ON Data'!$E:$E,8))</f>
        <v>0</v>
      </c>
      <c r="D17" s="259">
        <f xml:space="preserve">
IF($A$4&lt;=12,SUMIFS('ON Data'!K:K,'ON Data'!$D:$D,$A$4,'ON Data'!$E:$E,8),SUMIFS('ON Data'!K:K,'ON Data'!$E:$E,8))</f>
        <v>0</v>
      </c>
      <c r="E17" s="259">
        <f xml:space="preserve">
IF($A$4&lt;=12,SUMIFS('ON Data'!O:O,'ON Data'!$D:$D,$A$4,'ON Data'!$E:$E,8),SUMIFS('ON Data'!O:O,'ON Data'!$E:$E,8))</f>
        <v>0</v>
      </c>
      <c r="F17" s="259">
        <f xml:space="preserve">
IF($A$4&lt;=12,SUMIFS('ON Data'!P:P,'ON Data'!$D:$D,$A$4,'ON Data'!$E:$E,8),SUMIFS('ON Data'!P:P,'ON Data'!$E:$E,8))</f>
        <v>0</v>
      </c>
      <c r="G17" s="259">
        <f xml:space="preserve">
IF($A$4&lt;=12,SUMIFS('ON Data'!Q:Q,'ON Data'!$D:$D,$A$4,'ON Data'!$E:$E,8),SUMIFS('ON Data'!Q:Q,'ON Data'!$E:$E,8))</f>
        <v>0</v>
      </c>
      <c r="H17" s="575">
        <f xml:space="preserve">
IF($A$4&lt;=12,SUMIFS('ON Data'!AW:AW,'ON Data'!$D:$D,$A$4,'ON Data'!$E:$E,8),SUMIFS('ON Data'!AW:AW,'ON Data'!$E:$E,8))</f>
        <v>0</v>
      </c>
      <c r="I17" s="584"/>
    </row>
    <row r="18" spans="1:9" x14ac:dyDescent="0.3">
      <c r="A18" s="244" t="s">
        <v>185</v>
      </c>
      <c r="B18" s="258">
        <f xml:space="preserve">
B19-B16-B17</f>
        <v>231086</v>
      </c>
      <c r="C18" s="259">
        <f t="shared" ref="C18:D18" si="0" xml:space="preserve">
C19-C16-C17</f>
        <v>0</v>
      </c>
      <c r="D18" s="259">
        <f t="shared" si="0"/>
        <v>146386</v>
      </c>
      <c r="E18" s="259">
        <f t="shared" ref="E18:G18" si="1" xml:space="preserve">
E19-E16-E17</f>
        <v>0</v>
      </c>
      <c r="F18" s="259">
        <f t="shared" si="1"/>
        <v>26400</v>
      </c>
      <c r="G18" s="259">
        <f t="shared" si="1"/>
        <v>40500</v>
      </c>
      <c r="H18" s="575">
        <f t="shared" ref="H18" si="2" xml:space="preserve">
H19-H16-H17</f>
        <v>17800</v>
      </c>
      <c r="I18" s="584"/>
    </row>
    <row r="19" spans="1:9" ht="15" thickBot="1" x14ac:dyDescent="0.35">
      <c r="A19" s="245" t="s">
        <v>186</v>
      </c>
      <c r="B19" s="264">
        <f xml:space="preserve">
IF($A$4&lt;=12,SUMIFS('ON Data'!F:F,'ON Data'!$D:$D,$A$4,'ON Data'!$E:$E,9),SUMIFS('ON Data'!F:F,'ON Data'!$E:$E,9))</f>
        <v>231086</v>
      </c>
      <c r="C19" s="265">
        <f xml:space="preserve">
IF($A$4&lt;=12,SUMIFS('ON Data'!I:I,'ON Data'!$D:$D,$A$4,'ON Data'!$E:$E,9),SUMIFS('ON Data'!I:I,'ON Data'!$E:$E,9))</f>
        <v>0</v>
      </c>
      <c r="D19" s="265">
        <f xml:space="preserve">
IF($A$4&lt;=12,SUMIFS('ON Data'!K:K,'ON Data'!$D:$D,$A$4,'ON Data'!$E:$E,9),SUMIFS('ON Data'!K:K,'ON Data'!$E:$E,9))</f>
        <v>146386</v>
      </c>
      <c r="E19" s="265">
        <f xml:space="preserve">
IF($A$4&lt;=12,SUMIFS('ON Data'!O:O,'ON Data'!$D:$D,$A$4,'ON Data'!$E:$E,9),SUMIFS('ON Data'!O:O,'ON Data'!$E:$E,9))</f>
        <v>0</v>
      </c>
      <c r="F19" s="265">
        <f xml:space="preserve">
IF($A$4&lt;=12,SUMIFS('ON Data'!P:P,'ON Data'!$D:$D,$A$4,'ON Data'!$E:$E,9),SUMIFS('ON Data'!P:P,'ON Data'!$E:$E,9))</f>
        <v>26400</v>
      </c>
      <c r="G19" s="265">
        <f xml:space="preserve">
IF($A$4&lt;=12,SUMIFS('ON Data'!Q:Q,'ON Data'!$D:$D,$A$4,'ON Data'!$E:$E,9),SUMIFS('ON Data'!Q:Q,'ON Data'!$E:$E,9))</f>
        <v>40500</v>
      </c>
      <c r="H19" s="578">
        <f xml:space="preserve">
IF($A$4&lt;=12,SUMIFS('ON Data'!AW:AW,'ON Data'!$D:$D,$A$4,'ON Data'!$E:$E,9),SUMIFS('ON Data'!AW:AW,'ON Data'!$E:$E,9))</f>
        <v>17800</v>
      </c>
      <c r="I19" s="584"/>
    </row>
    <row r="20" spans="1:9" ht="15" collapsed="1" thickBot="1" x14ac:dyDescent="0.35">
      <c r="A20" s="246" t="s">
        <v>73</v>
      </c>
      <c r="B20" s="266">
        <f xml:space="preserve">
IF($A$4&lt;=12,SUMIFS('ON Data'!F:F,'ON Data'!$D:$D,$A$4,'ON Data'!$E:$E,6),SUMIFS('ON Data'!F:F,'ON Data'!$E:$E,6))</f>
        <v>2766935</v>
      </c>
      <c r="C20" s="267">
        <f xml:space="preserve">
IF($A$4&lt;=12,SUMIFS('ON Data'!I:I,'ON Data'!$D:$D,$A$4,'ON Data'!$E:$E,6),SUMIFS('ON Data'!I:I,'ON Data'!$E:$E,6))</f>
        <v>66897</v>
      </c>
      <c r="D20" s="267">
        <f xml:space="preserve">
IF($A$4&lt;=12,SUMIFS('ON Data'!K:K,'ON Data'!$D:$D,$A$4,'ON Data'!$E:$E,6),SUMIFS('ON Data'!K:K,'ON Data'!$E:$E,6))</f>
        <v>1563463</v>
      </c>
      <c r="E20" s="267">
        <f xml:space="preserve">
IF($A$4&lt;=12,SUMIFS('ON Data'!O:O,'ON Data'!$D:$D,$A$4,'ON Data'!$E:$E,6),SUMIFS('ON Data'!O:O,'ON Data'!$E:$E,6))</f>
        <v>0</v>
      </c>
      <c r="F20" s="267">
        <f xml:space="preserve">
IF($A$4&lt;=12,SUMIFS('ON Data'!P:P,'ON Data'!$D:$D,$A$4,'ON Data'!$E:$E,6),SUMIFS('ON Data'!P:P,'ON Data'!$E:$E,6))</f>
        <v>496899</v>
      </c>
      <c r="G20" s="267">
        <f xml:space="preserve">
IF($A$4&lt;=12,SUMIFS('ON Data'!Q:Q,'ON Data'!$D:$D,$A$4,'ON Data'!$E:$E,6),SUMIFS('ON Data'!Q:Q,'ON Data'!$E:$E,6))</f>
        <v>463124</v>
      </c>
      <c r="H20" s="579">
        <f xml:space="preserve">
IF($A$4&lt;=12,SUMIFS('ON Data'!AW:AW,'ON Data'!$D:$D,$A$4,'ON Data'!$E:$E,6),SUMIFS('ON Data'!AW:AW,'ON Data'!$E:$E,6))</f>
        <v>176552</v>
      </c>
      <c r="I20" s="584"/>
    </row>
    <row r="21" spans="1:9" ht="15" hidden="1" outlineLevel="1" thickBot="1" x14ac:dyDescent="0.35">
      <c r="A21" s="239" t="s">
        <v>107</v>
      </c>
      <c r="B21" s="258">
        <f xml:space="preserve">
IF($A$4&lt;=12,SUMIFS('ON Data'!F:F,'ON Data'!$D:$D,$A$4,'ON Data'!$E:$E,12),SUMIFS('ON Data'!F:F,'ON Data'!$E:$E,12))</f>
        <v>0</v>
      </c>
      <c r="C21" s="259">
        <f xml:space="preserve">
IF($A$4&lt;=12,SUMIFS('ON Data'!I:I,'ON Data'!$D:$D,$A$4,'ON Data'!$E:$E,12),SUMIFS('ON Data'!I:I,'ON Data'!$E:$E,12))</f>
        <v>0</v>
      </c>
      <c r="D21" s="259">
        <f xml:space="preserve">
IF($A$4&lt;=12,SUMIFS('ON Data'!K:K,'ON Data'!$D:$D,$A$4,'ON Data'!$E:$E,12),SUMIFS('ON Data'!K:K,'ON Data'!$E:$E,12))</f>
        <v>0</v>
      </c>
      <c r="E21" s="259">
        <f xml:space="preserve">
IF($A$4&lt;=12,SUMIFS('ON Data'!O:O,'ON Data'!$D:$D,$A$4,'ON Data'!$E:$E,12),SUMIFS('ON Data'!O:O,'ON Data'!$E:$E,12))</f>
        <v>0</v>
      </c>
      <c r="F21" s="259">
        <f xml:space="preserve">
IF($A$4&lt;=12,SUMIFS('ON Data'!P:P,'ON Data'!$D:$D,$A$4,'ON Data'!$E:$E,12),SUMIFS('ON Data'!P:P,'ON Data'!$E:$E,12))</f>
        <v>0</v>
      </c>
      <c r="G21" s="259">
        <f xml:space="preserve">
IF($A$4&lt;=12,SUMIFS('ON Data'!Q:Q,'ON Data'!$D:$D,$A$4,'ON Data'!$E:$E,12),SUMIFS('ON Data'!Q:Q,'ON Data'!$E:$E,12))</f>
        <v>0</v>
      </c>
      <c r="I21" s="584"/>
    </row>
    <row r="22" spans="1:9" ht="15" hidden="1" outlineLevel="1" thickBot="1" x14ac:dyDescent="0.35">
      <c r="A22" s="239" t="s">
        <v>75</v>
      </c>
      <c r="B22" s="305" t="str">
        <f xml:space="preserve">
IF(OR(B21="",B21=0),"",B20/B21)</f>
        <v/>
      </c>
      <c r="C22" s="306" t="str">
        <f t="shared" ref="C22:D22" si="3" xml:space="preserve">
IF(OR(C21="",C21=0),"",C20/C21)</f>
        <v/>
      </c>
      <c r="D22" s="306" t="str">
        <f t="shared" si="3"/>
        <v/>
      </c>
      <c r="E22" s="306" t="str">
        <f t="shared" ref="E22:G22" si="4" xml:space="preserve">
IF(OR(E21="",E21=0),"",E20/E21)</f>
        <v/>
      </c>
      <c r="F22" s="306" t="str">
        <f t="shared" si="4"/>
        <v/>
      </c>
      <c r="G22" s="306" t="str">
        <f t="shared" si="4"/>
        <v/>
      </c>
      <c r="I22" s="584"/>
    </row>
    <row r="23" spans="1:9" ht="15" hidden="1" outlineLevel="1" thickBot="1" x14ac:dyDescent="0.35">
      <c r="A23" s="247" t="s">
        <v>68</v>
      </c>
      <c r="B23" s="260">
        <f xml:space="preserve">
IF(B21="","",B20-B21)</f>
        <v>2766935</v>
      </c>
      <c r="C23" s="261">
        <f t="shared" ref="C23:D23" si="5" xml:space="preserve">
IF(C21="","",C20-C21)</f>
        <v>66897</v>
      </c>
      <c r="D23" s="261">
        <f t="shared" si="5"/>
        <v>1563463</v>
      </c>
      <c r="E23" s="261">
        <f t="shared" ref="E23:G23" si="6" xml:space="preserve">
IF(E21="","",E20-E21)</f>
        <v>0</v>
      </c>
      <c r="F23" s="261">
        <f t="shared" si="6"/>
        <v>496899</v>
      </c>
      <c r="G23" s="261">
        <f t="shared" si="6"/>
        <v>463124</v>
      </c>
      <c r="I23" s="584"/>
    </row>
    <row r="24" spans="1:9" x14ac:dyDescent="0.3">
      <c r="A24" s="241" t="s">
        <v>187</v>
      </c>
      <c r="B24" s="278" t="s">
        <v>3</v>
      </c>
      <c r="C24" s="585"/>
      <c r="D24" s="557"/>
      <c r="E24" s="558" t="s">
        <v>198</v>
      </c>
      <c r="F24" s="559"/>
      <c r="G24" s="559"/>
      <c r="H24" s="580" t="s">
        <v>199</v>
      </c>
      <c r="I24" s="584"/>
    </row>
    <row r="25" spans="1:9" x14ac:dyDescent="0.3">
      <c r="A25" s="242" t="s">
        <v>73</v>
      </c>
      <c r="B25" s="258">
        <f xml:space="preserve">
SUM(C25:H25)</f>
        <v>0</v>
      </c>
      <c r="C25" s="586"/>
      <c r="D25" s="560"/>
      <c r="E25" s="561">
        <f xml:space="preserve">
IF($A$4&lt;=12,SUMIFS('ON Data'!O:O,'ON Data'!$D:$D,$A$4,'ON Data'!$E:$E,10),SUMIFS('ON Data'!O:O,'ON Data'!$E:$E,10))</f>
        <v>0</v>
      </c>
      <c r="F25" s="562"/>
      <c r="G25" s="562"/>
      <c r="H25" s="581">
        <f xml:space="preserve">
IF($A$4&lt;=12,SUMIFS('ON Data'!AW:AW,'ON Data'!$D:$D,$A$4,'ON Data'!$E:$E,10),SUMIFS('ON Data'!AW:AW,'ON Data'!$E:$E,10))</f>
        <v>0</v>
      </c>
      <c r="I25" s="584"/>
    </row>
    <row r="26" spans="1:9" x14ac:dyDescent="0.3">
      <c r="A26" s="248" t="s">
        <v>197</v>
      </c>
      <c r="B26" s="264">
        <f xml:space="preserve">
SUM(C26:H26)</f>
        <v>750</v>
      </c>
      <c r="C26" s="586"/>
      <c r="D26" s="560"/>
      <c r="E26" s="563">
        <f xml:space="preserve">
IF($A$4&lt;=12,SUMIFS('ON Data'!O:O,'ON Data'!$D:$D,$A$4,'ON Data'!$E:$E,11),SUMIFS('ON Data'!O:O,'ON Data'!$E:$E,11))</f>
        <v>750</v>
      </c>
      <c r="F26" s="564"/>
      <c r="G26" s="564"/>
      <c r="H26" s="581">
        <f xml:space="preserve">
IF($A$4&lt;=12,SUMIFS('ON Data'!AW:AW,'ON Data'!$D:$D,$A$4,'ON Data'!$E:$E,11),SUMIFS('ON Data'!AW:AW,'ON Data'!$E:$E,11))</f>
        <v>0</v>
      </c>
      <c r="I26" s="584"/>
    </row>
    <row r="27" spans="1:9" x14ac:dyDescent="0.3">
      <c r="A27" s="248" t="s">
        <v>75</v>
      </c>
      <c r="B27" s="279">
        <f xml:space="preserve">
IF(B26=0,0,B25/B26)</f>
        <v>0</v>
      </c>
      <c r="C27" s="587"/>
      <c r="D27" s="560"/>
      <c r="E27" s="565">
        <f xml:space="preserve">
IF(E26=0,0,E25/E26)</f>
        <v>0</v>
      </c>
      <c r="F27" s="562"/>
      <c r="G27" s="562"/>
      <c r="H27" s="582">
        <f xml:space="preserve">
IF(H26=0,0,H25/H26)</f>
        <v>0</v>
      </c>
      <c r="I27" s="584"/>
    </row>
    <row r="28" spans="1:9" ht="15" thickBot="1" x14ac:dyDescent="0.35">
      <c r="A28" s="248" t="s">
        <v>196</v>
      </c>
      <c r="B28" s="264">
        <f xml:space="preserve">
SUM(C28:H28)</f>
        <v>750</v>
      </c>
      <c r="C28" s="588"/>
      <c r="D28" s="566"/>
      <c r="E28" s="567">
        <f xml:space="preserve">
E26-E25</f>
        <v>750</v>
      </c>
      <c r="F28" s="568"/>
      <c r="G28" s="568"/>
      <c r="H28" s="583">
        <f xml:space="preserve">
H26-H25</f>
        <v>0</v>
      </c>
      <c r="I28" s="584"/>
    </row>
    <row r="29" spans="1:9" x14ac:dyDescent="0.3">
      <c r="A29" s="249"/>
      <c r="B29" s="249"/>
      <c r="C29" s="249"/>
      <c r="D29" s="250"/>
      <c r="E29" s="250"/>
      <c r="F29" s="250"/>
      <c r="G29" s="250"/>
    </row>
    <row r="30" spans="1:9" x14ac:dyDescent="0.3">
      <c r="A30" s="113" t="s">
        <v>157</v>
      </c>
      <c r="B30" s="130"/>
      <c r="C30" s="130"/>
      <c r="D30" s="130"/>
      <c r="E30" s="130"/>
      <c r="F30" s="130"/>
      <c r="G30" s="130"/>
    </row>
    <row r="31" spans="1:9" x14ac:dyDescent="0.3">
      <c r="A31" s="114" t="s">
        <v>194</v>
      </c>
      <c r="B31" s="130"/>
      <c r="C31" s="130"/>
      <c r="D31" s="130"/>
      <c r="E31" s="130"/>
      <c r="F31" s="130"/>
      <c r="G31" s="130"/>
    </row>
    <row r="32" spans="1:9" ht="14.4" customHeight="1" x14ac:dyDescent="0.3">
      <c r="A32" s="275" t="s">
        <v>191</v>
      </c>
      <c r="B32" s="276"/>
      <c r="C32" s="276"/>
      <c r="D32" s="276"/>
      <c r="E32" s="276"/>
      <c r="F32" s="276"/>
      <c r="G32" s="276"/>
    </row>
    <row r="33" spans="1:1" x14ac:dyDescent="0.3">
      <c r="A33" s="277" t="s">
        <v>222</v>
      </c>
    </row>
    <row r="34" spans="1:1" x14ac:dyDescent="0.3">
      <c r="A34" s="277" t="s">
        <v>223</v>
      </c>
    </row>
    <row r="35" spans="1:1" x14ac:dyDescent="0.3">
      <c r="A35" s="277" t="s">
        <v>224</v>
      </c>
    </row>
    <row r="36" spans="1:1" x14ac:dyDescent="0.3">
      <c r="A36" s="277" t="s">
        <v>200</v>
      </c>
    </row>
  </sheetData>
  <mergeCells count="12">
    <mergeCell ref="B3:B4"/>
    <mergeCell ref="A1:H1"/>
    <mergeCell ref="C27:D27"/>
    <mergeCell ref="C28:D28"/>
    <mergeCell ref="E27:G27"/>
    <mergeCell ref="E28:G28"/>
    <mergeCell ref="C24:D24"/>
    <mergeCell ref="C25:D25"/>
    <mergeCell ref="C26:D26"/>
    <mergeCell ref="E24:G24"/>
    <mergeCell ref="E25:G25"/>
    <mergeCell ref="E26:G26"/>
  </mergeCells>
  <conditionalFormatting sqref="B22:G22">
    <cfRule type="cellIs" dxfId="6" priority="6" operator="greaterThan">
      <formula>1</formula>
    </cfRule>
  </conditionalFormatting>
  <conditionalFormatting sqref="B23:G23">
    <cfRule type="cellIs" dxfId="5" priority="5" operator="greaterThan">
      <formula>0</formula>
    </cfRule>
  </conditionalFormatting>
  <conditionalFormatting sqref="H27">
    <cfRule type="cellIs" dxfId="4" priority="4" operator="greaterThan">
      <formula>1</formula>
    </cfRule>
  </conditionalFormatting>
  <conditionalFormatting sqref="H28">
    <cfRule type="cellIs" dxfId="3" priority="3" operator="lessThan">
      <formula>0</formula>
    </cfRule>
  </conditionalFormatting>
  <conditionalFormatting sqref="E28">
    <cfRule type="cellIs" dxfId="2" priority="1" operator="lessThan">
      <formula>0</formula>
    </cfRule>
  </conditionalFormatting>
  <conditionalFormatting sqref="E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3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9" x14ac:dyDescent="0.3">
      <c r="A1" s="230" t="s">
        <v>737</v>
      </c>
    </row>
    <row r="2" spans="1:49" x14ac:dyDescent="0.3">
      <c r="A2" s="234" t="s">
        <v>246</v>
      </c>
    </row>
    <row r="3" spans="1:49" x14ac:dyDescent="0.3">
      <c r="A3" s="230" t="s">
        <v>163</v>
      </c>
      <c r="B3" s="253">
        <v>2016</v>
      </c>
      <c r="D3" s="231">
        <f>MAX(D5:D1048576)</f>
        <v>6</v>
      </c>
      <c r="F3" s="231">
        <f>SUMIF($E5:$E1048576,"&lt;10",F5:F1048576)</f>
        <v>3008466.1000000006</v>
      </c>
      <c r="G3" s="231">
        <f t="shared" ref="G3:AW3" si="0">SUMIF($E5:$E1048576,"&lt;10",G5:G1048576)</f>
        <v>0</v>
      </c>
      <c r="H3" s="231">
        <f t="shared" si="0"/>
        <v>0</v>
      </c>
      <c r="I3" s="231">
        <f t="shared" si="0"/>
        <v>67162.8</v>
      </c>
      <c r="J3" s="231">
        <f t="shared" si="0"/>
        <v>0</v>
      </c>
      <c r="K3" s="231">
        <f t="shared" si="0"/>
        <v>1713873.3000000003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0</v>
      </c>
      <c r="P3" s="231">
        <f t="shared" si="0"/>
        <v>525802</v>
      </c>
      <c r="Q3" s="231">
        <f t="shared" si="0"/>
        <v>506075</v>
      </c>
      <c r="R3" s="231">
        <f t="shared" si="0"/>
        <v>0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0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0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0</v>
      </c>
      <c r="AI3" s="231">
        <f t="shared" si="0"/>
        <v>0</v>
      </c>
      <c r="AJ3" s="231">
        <f t="shared" si="0"/>
        <v>0</v>
      </c>
      <c r="AK3" s="231">
        <f t="shared" si="0"/>
        <v>0</v>
      </c>
      <c r="AL3" s="231">
        <f t="shared" si="0"/>
        <v>0</v>
      </c>
      <c r="AM3" s="231">
        <f t="shared" si="0"/>
        <v>0</v>
      </c>
      <c r="AN3" s="231">
        <f t="shared" si="0"/>
        <v>0</v>
      </c>
      <c r="AO3" s="231">
        <f t="shared" si="0"/>
        <v>0</v>
      </c>
      <c r="AP3" s="231">
        <f t="shared" si="0"/>
        <v>0</v>
      </c>
      <c r="AQ3" s="231">
        <f t="shared" si="0"/>
        <v>0</v>
      </c>
      <c r="AR3" s="231">
        <f t="shared" si="0"/>
        <v>0</v>
      </c>
      <c r="AS3" s="231">
        <f t="shared" si="0"/>
        <v>0</v>
      </c>
      <c r="AT3" s="231">
        <f t="shared" si="0"/>
        <v>0</v>
      </c>
      <c r="AU3" s="231">
        <f t="shared" si="0"/>
        <v>0</v>
      </c>
      <c r="AV3" s="231">
        <f t="shared" si="0"/>
        <v>0</v>
      </c>
      <c r="AW3" s="231">
        <f t="shared" si="0"/>
        <v>195553</v>
      </c>
    </row>
    <row r="4" spans="1:49" x14ac:dyDescent="0.3">
      <c r="A4" s="230" t="s">
        <v>164</v>
      </c>
      <c r="B4" s="253">
        <v>1</v>
      </c>
      <c r="C4" s="232" t="s">
        <v>5</v>
      </c>
      <c r="D4" s="233" t="s">
        <v>67</v>
      </c>
      <c r="E4" s="233" t="s">
        <v>162</v>
      </c>
      <c r="F4" s="233" t="s">
        <v>3</v>
      </c>
      <c r="G4" s="233">
        <v>0</v>
      </c>
      <c r="H4" s="233">
        <v>25</v>
      </c>
      <c r="I4" s="233">
        <v>99</v>
      </c>
      <c r="J4" s="233">
        <v>100</v>
      </c>
      <c r="K4" s="233">
        <v>101</v>
      </c>
      <c r="L4" s="233">
        <v>102</v>
      </c>
      <c r="M4" s="233">
        <v>103</v>
      </c>
      <c r="N4" s="233">
        <v>203</v>
      </c>
      <c r="O4" s="233">
        <v>302</v>
      </c>
      <c r="P4" s="233">
        <v>303</v>
      </c>
      <c r="Q4" s="233">
        <v>304</v>
      </c>
      <c r="R4" s="233">
        <v>305</v>
      </c>
      <c r="S4" s="233">
        <v>306</v>
      </c>
      <c r="T4" s="233">
        <v>407</v>
      </c>
      <c r="U4" s="233">
        <v>408</v>
      </c>
      <c r="V4" s="233">
        <v>409</v>
      </c>
      <c r="W4" s="233">
        <v>410</v>
      </c>
      <c r="X4" s="233">
        <v>415</v>
      </c>
      <c r="Y4" s="233">
        <v>416</v>
      </c>
      <c r="Z4" s="233">
        <v>418</v>
      </c>
      <c r="AA4" s="233">
        <v>419</v>
      </c>
      <c r="AB4" s="233">
        <v>420</v>
      </c>
      <c r="AC4" s="233">
        <v>421</v>
      </c>
      <c r="AD4" s="233">
        <v>520</v>
      </c>
      <c r="AE4" s="233">
        <v>521</v>
      </c>
      <c r="AF4" s="233">
        <v>522</v>
      </c>
      <c r="AG4" s="233">
        <v>523</v>
      </c>
      <c r="AH4" s="233">
        <v>524</v>
      </c>
      <c r="AI4" s="233">
        <v>525</v>
      </c>
      <c r="AJ4" s="233">
        <v>526</v>
      </c>
      <c r="AK4" s="233">
        <v>527</v>
      </c>
      <c r="AL4" s="233">
        <v>528</v>
      </c>
      <c r="AM4" s="233">
        <v>629</v>
      </c>
      <c r="AN4" s="233">
        <v>630</v>
      </c>
      <c r="AO4" s="233">
        <v>636</v>
      </c>
      <c r="AP4" s="233">
        <v>637</v>
      </c>
      <c r="AQ4" s="233">
        <v>640</v>
      </c>
      <c r="AR4" s="233">
        <v>642</v>
      </c>
      <c r="AS4" s="233">
        <v>743</v>
      </c>
      <c r="AT4" s="233">
        <v>745</v>
      </c>
      <c r="AU4" s="233">
        <v>746</v>
      </c>
      <c r="AV4" s="233">
        <v>747</v>
      </c>
      <c r="AW4" s="233">
        <v>930</v>
      </c>
    </row>
    <row r="5" spans="1:49" x14ac:dyDescent="0.3">
      <c r="A5" s="230" t="s">
        <v>165</v>
      </c>
      <c r="B5" s="253">
        <v>2</v>
      </c>
      <c r="C5" s="230">
        <v>19</v>
      </c>
      <c r="D5" s="230">
        <v>1</v>
      </c>
      <c r="E5" s="230">
        <v>1</v>
      </c>
      <c r="F5" s="230">
        <v>11.35</v>
      </c>
      <c r="G5" s="230">
        <v>0</v>
      </c>
      <c r="H5" s="230">
        <v>0</v>
      </c>
      <c r="I5" s="230">
        <v>0.6</v>
      </c>
      <c r="J5" s="230">
        <v>0</v>
      </c>
      <c r="K5" s="230">
        <v>3.75</v>
      </c>
      <c r="L5" s="230">
        <v>0</v>
      </c>
      <c r="M5" s="230">
        <v>0</v>
      </c>
      <c r="N5" s="230">
        <v>0</v>
      </c>
      <c r="O5" s="230">
        <v>0</v>
      </c>
      <c r="P5" s="230">
        <v>3</v>
      </c>
      <c r="Q5" s="230">
        <v>2</v>
      </c>
      <c r="R5" s="230">
        <v>0</v>
      </c>
      <c r="S5" s="230">
        <v>0</v>
      </c>
      <c r="T5" s="230">
        <v>0</v>
      </c>
      <c r="U5" s="230">
        <v>0</v>
      </c>
      <c r="V5" s="230">
        <v>0</v>
      </c>
      <c r="W5" s="230">
        <v>0</v>
      </c>
      <c r="X5" s="230">
        <v>0</v>
      </c>
      <c r="Y5" s="230">
        <v>0</v>
      </c>
      <c r="Z5" s="230">
        <v>0</v>
      </c>
      <c r="AA5" s="230">
        <v>0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0</v>
      </c>
      <c r="AI5" s="230">
        <v>0</v>
      </c>
      <c r="AJ5" s="230">
        <v>0</v>
      </c>
      <c r="AK5" s="230">
        <v>0</v>
      </c>
      <c r="AL5" s="230">
        <v>0</v>
      </c>
      <c r="AM5" s="230">
        <v>0</v>
      </c>
      <c r="AN5" s="230">
        <v>0</v>
      </c>
      <c r="AO5" s="230">
        <v>0</v>
      </c>
      <c r="AP5" s="230">
        <v>0</v>
      </c>
      <c r="AQ5" s="230">
        <v>0</v>
      </c>
      <c r="AR5" s="230">
        <v>0</v>
      </c>
      <c r="AS5" s="230">
        <v>0</v>
      </c>
      <c r="AT5" s="230">
        <v>0</v>
      </c>
      <c r="AU5" s="230">
        <v>0</v>
      </c>
      <c r="AV5" s="230">
        <v>0</v>
      </c>
      <c r="AW5" s="230">
        <v>2</v>
      </c>
    </row>
    <row r="6" spans="1:49" x14ac:dyDescent="0.3">
      <c r="A6" s="230" t="s">
        <v>166</v>
      </c>
      <c r="B6" s="253">
        <v>3</v>
      </c>
      <c r="C6" s="230">
        <v>19</v>
      </c>
      <c r="D6" s="230">
        <v>1</v>
      </c>
      <c r="E6" s="230">
        <v>2</v>
      </c>
      <c r="F6" s="230">
        <v>1758.8</v>
      </c>
      <c r="G6" s="230">
        <v>0</v>
      </c>
      <c r="H6" s="230">
        <v>0</v>
      </c>
      <c r="I6" s="230">
        <v>76.8</v>
      </c>
      <c r="J6" s="230">
        <v>0</v>
      </c>
      <c r="K6" s="230">
        <v>622</v>
      </c>
      <c r="L6" s="230">
        <v>0</v>
      </c>
      <c r="M6" s="230">
        <v>0</v>
      </c>
      <c r="N6" s="230">
        <v>0</v>
      </c>
      <c r="O6" s="230">
        <v>0</v>
      </c>
      <c r="P6" s="230">
        <v>500</v>
      </c>
      <c r="Q6" s="230">
        <v>312</v>
      </c>
      <c r="R6" s="230">
        <v>0</v>
      </c>
      <c r="S6" s="230">
        <v>0</v>
      </c>
      <c r="T6" s="230">
        <v>0</v>
      </c>
      <c r="U6" s="230">
        <v>0</v>
      </c>
      <c r="V6" s="230">
        <v>0</v>
      </c>
      <c r="W6" s="230">
        <v>0</v>
      </c>
      <c r="X6" s="230">
        <v>0</v>
      </c>
      <c r="Y6" s="230">
        <v>0</v>
      </c>
      <c r="Z6" s="230">
        <v>0</v>
      </c>
      <c r="AA6" s="230">
        <v>0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0</v>
      </c>
      <c r="AI6" s="230">
        <v>0</v>
      </c>
      <c r="AJ6" s="230">
        <v>0</v>
      </c>
      <c r="AK6" s="230">
        <v>0</v>
      </c>
      <c r="AL6" s="230">
        <v>0</v>
      </c>
      <c r="AM6" s="230">
        <v>0</v>
      </c>
      <c r="AN6" s="230">
        <v>0</v>
      </c>
      <c r="AO6" s="230">
        <v>0</v>
      </c>
      <c r="AP6" s="230">
        <v>0</v>
      </c>
      <c r="AQ6" s="230">
        <v>0</v>
      </c>
      <c r="AR6" s="230">
        <v>0</v>
      </c>
      <c r="AS6" s="230">
        <v>0</v>
      </c>
      <c r="AT6" s="230">
        <v>0</v>
      </c>
      <c r="AU6" s="230">
        <v>0</v>
      </c>
      <c r="AV6" s="230">
        <v>0</v>
      </c>
      <c r="AW6" s="230">
        <v>248</v>
      </c>
    </row>
    <row r="7" spans="1:49" x14ac:dyDescent="0.3">
      <c r="A7" s="230" t="s">
        <v>167</v>
      </c>
      <c r="B7" s="253">
        <v>4</v>
      </c>
      <c r="C7" s="230">
        <v>19</v>
      </c>
      <c r="D7" s="230">
        <v>1</v>
      </c>
      <c r="E7" s="230">
        <v>6</v>
      </c>
      <c r="F7" s="230">
        <v>424473</v>
      </c>
      <c r="G7" s="230">
        <v>0</v>
      </c>
      <c r="H7" s="230">
        <v>0</v>
      </c>
      <c r="I7" s="230">
        <v>18114</v>
      </c>
      <c r="J7" s="230">
        <v>0</v>
      </c>
      <c r="K7" s="230">
        <v>222356</v>
      </c>
      <c r="L7" s="230">
        <v>0</v>
      </c>
      <c r="M7" s="230">
        <v>0</v>
      </c>
      <c r="N7" s="230">
        <v>0</v>
      </c>
      <c r="O7" s="230">
        <v>0</v>
      </c>
      <c r="P7" s="230">
        <v>91432</v>
      </c>
      <c r="Q7" s="230">
        <v>53789</v>
      </c>
      <c r="R7" s="230">
        <v>0</v>
      </c>
      <c r="S7" s="230">
        <v>0</v>
      </c>
      <c r="T7" s="230">
        <v>0</v>
      </c>
      <c r="U7" s="230">
        <v>0</v>
      </c>
      <c r="V7" s="230">
        <v>0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  <c r="AP7" s="230">
        <v>0</v>
      </c>
      <c r="AQ7" s="230">
        <v>0</v>
      </c>
      <c r="AR7" s="230">
        <v>0</v>
      </c>
      <c r="AS7" s="230">
        <v>0</v>
      </c>
      <c r="AT7" s="230">
        <v>0</v>
      </c>
      <c r="AU7" s="230">
        <v>0</v>
      </c>
      <c r="AV7" s="230">
        <v>0</v>
      </c>
      <c r="AW7" s="230">
        <v>38782</v>
      </c>
    </row>
    <row r="8" spans="1:49" x14ac:dyDescent="0.3">
      <c r="A8" s="230" t="s">
        <v>168</v>
      </c>
      <c r="B8" s="253">
        <v>5</v>
      </c>
      <c r="C8" s="230">
        <v>19</v>
      </c>
      <c r="D8" s="230">
        <v>1</v>
      </c>
      <c r="E8" s="230">
        <v>11</v>
      </c>
      <c r="F8" s="230">
        <v>1270.0381679389313</v>
      </c>
      <c r="G8" s="230">
        <v>0</v>
      </c>
      <c r="H8" s="230">
        <v>0</v>
      </c>
      <c r="I8" s="230">
        <v>0</v>
      </c>
      <c r="J8" s="230">
        <v>1145.0381679389313</v>
      </c>
      <c r="K8" s="230">
        <v>0</v>
      </c>
      <c r="L8" s="230">
        <v>0</v>
      </c>
      <c r="M8" s="230">
        <v>0</v>
      </c>
      <c r="N8" s="230">
        <v>0</v>
      </c>
      <c r="O8" s="230">
        <v>125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  <c r="AP8" s="230">
        <v>0</v>
      </c>
      <c r="AQ8" s="230">
        <v>0</v>
      </c>
      <c r="AR8" s="230">
        <v>0</v>
      </c>
      <c r="AS8" s="230">
        <v>0</v>
      </c>
      <c r="AT8" s="230">
        <v>0</v>
      </c>
      <c r="AU8" s="230">
        <v>0</v>
      </c>
      <c r="AV8" s="230">
        <v>0</v>
      </c>
      <c r="AW8" s="230">
        <v>0</v>
      </c>
    </row>
    <row r="9" spans="1:49" x14ac:dyDescent="0.3">
      <c r="A9" s="230" t="s">
        <v>169</v>
      </c>
      <c r="B9" s="253">
        <v>6</v>
      </c>
      <c r="C9" s="230">
        <v>19</v>
      </c>
      <c r="D9" s="230">
        <v>2</v>
      </c>
      <c r="E9" s="230">
        <v>1</v>
      </c>
      <c r="F9" s="230">
        <v>11.35</v>
      </c>
      <c r="G9" s="230">
        <v>0</v>
      </c>
      <c r="H9" s="230">
        <v>0</v>
      </c>
      <c r="I9" s="230">
        <v>0.6</v>
      </c>
      <c r="J9" s="230">
        <v>0</v>
      </c>
      <c r="K9" s="230">
        <v>3.75</v>
      </c>
      <c r="L9" s="230">
        <v>0</v>
      </c>
      <c r="M9" s="230">
        <v>0</v>
      </c>
      <c r="N9" s="230">
        <v>0</v>
      </c>
      <c r="O9" s="230">
        <v>0</v>
      </c>
      <c r="P9" s="230">
        <v>3</v>
      </c>
      <c r="Q9" s="230">
        <v>2</v>
      </c>
      <c r="R9" s="230">
        <v>0</v>
      </c>
      <c r="S9" s="230">
        <v>0</v>
      </c>
      <c r="T9" s="230">
        <v>0</v>
      </c>
      <c r="U9" s="230">
        <v>0</v>
      </c>
      <c r="V9" s="230">
        <v>0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0</v>
      </c>
      <c r="AK9" s="230">
        <v>0</v>
      </c>
      <c r="AL9" s="230">
        <v>0</v>
      </c>
      <c r="AM9" s="230">
        <v>0</v>
      </c>
      <c r="AN9" s="230">
        <v>0</v>
      </c>
      <c r="AO9" s="230">
        <v>0</v>
      </c>
      <c r="AP9" s="230">
        <v>0</v>
      </c>
      <c r="AQ9" s="230">
        <v>0</v>
      </c>
      <c r="AR9" s="230">
        <v>0</v>
      </c>
      <c r="AS9" s="230">
        <v>0</v>
      </c>
      <c r="AT9" s="230">
        <v>0</v>
      </c>
      <c r="AU9" s="230">
        <v>0</v>
      </c>
      <c r="AV9" s="230">
        <v>0</v>
      </c>
      <c r="AW9" s="230">
        <v>2</v>
      </c>
    </row>
    <row r="10" spans="1:49" x14ac:dyDescent="0.3">
      <c r="A10" s="230" t="s">
        <v>170</v>
      </c>
      <c r="B10" s="253">
        <v>7</v>
      </c>
      <c r="C10" s="230">
        <v>19</v>
      </c>
      <c r="D10" s="230">
        <v>2</v>
      </c>
      <c r="E10" s="230">
        <v>2</v>
      </c>
      <c r="F10" s="230">
        <v>1636.8</v>
      </c>
      <c r="G10" s="230">
        <v>0</v>
      </c>
      <c r="H10" s="230">
        <v>0</v>
      </c>
      <c r="I10" s="230">
        <v>76.8</v>
      </c>
      <c r="J10" s="230">
        <v>0</v>
      </c>
      <c r="K10" s="230">
        <v>592</v>
      </c>
      <c r="L10" s="230">
        <v>0</v>
      </c>
      <c r="M10" s="230">
        <v>0</v>
      </c>
      <c r="N10" s="230">
        <v>0</v>
      </c>
      <c r="O10" s="230">
        <v>0</v>
      </c>
      <c r="P10" s="230">
        <v>488</v>
      </c>
      <c r="Q10" s="230">
        <v>312</v>
      </c>
      <c r="R10" s="230">
        <v>0</v>
      </c>
      <c r="S10" s="230">
        <v>0</v>
      </c>
      <c r="T10" s="230">
        <v>0</v>
      </c>
      <c r="U10" s="230">
        <v>0</v>
      </c>
      <c r="V10" s="230">
        <v>0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0</v>
      </c>
      <c r="AI10" s="230">
        <v>0</v>
      </c>
      <c r="AJ10" s="230">
        <v>0</v>
      </c>
      <c r="AK10" s="230">
        <v>0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0</v>
      </c>
      <c r="AS10" s="230">
        <v>0</v>
      </c>
      <c r="AT10" s="230">
        <v>0</v>
      </c>
      <c r="AU10" s="230">
        <v>0</v>
      </c>
      <c r="AV10" s="230">
        <v>0</v>
      </c>
      <c r="AW10" s="230">
        <v>168</v>
      </c>
    </row>
    <row r="11" spans="1:49" x14ac:dyDescent="0.3">
      <c r="A11" s="230" t="s">
        <v>171</v>
      </c>
      <c r="B11" s="253">
        <v>8</v>
      </c>
      <c r="C11" s="230">
        <v>19</v>
      </c>
      <c r="D11" s="230">
        <v>2</v>
      </c>
      <c r="E11" s="230">
        <v>6</v>
      </c>
      <c r="F11" s="230">
        <v>427521</v>
      </c>
      <c r="G11" s="230">
        <v>0</v>
      </c>
      <c r="H11" s="230">
        <v>0</v>
      </c>
      <c r="I11" s="230">
        <v>25009</v>
      </c>
      <c r="J11" s="230">
        <v>0</v>
      </c>
      <c r="K11" s="230">
        <v>229864</v>
      </c>
      <c r="L11" s="230">
        <v>0</v>
      </c>
      <c r="M11" s="230">
        <v>0</v>
      </c>
      <c r="N11" s="230">
        <v>0</v>
      </c>
      <c r="O11" s="230">
        <v>0</v>
      </c>
      <c r="P11" s="230">
        <v>91517</v>
      </c>
      <c r="Q11" s="230">
        <v>56503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  <c r="AP11" s="230">
        <v>0</v>
      </c>
      <c r="AQ11" s="230">
        <v>0</v>
      </c>
      <c r="AR11" s="230">
        <v>0</v>
      </c>
      <c r="AS11" s="230">
        <v>0</v>
      </c>
      <c r="AT11" s="230">
        <v>0</v>
      </c>
      <c r="AU11" s="230">
        <v>0</v>
      </c>
      <c r="AV11" s="230">
        <v>0</v>
      </c>
      <c r="AW11" s="230">
        <v>24628</v>
      </c>
    </row>
    <row r="12" spans="1:49" x14ac:dyDescent="0.3">
      <c r="A12" s="230" t="s">
        <v>172</v>
      </c>
      <c r="B12" s="253">
        <v>9</v>
      </c>
      <c r="C12" s="230">
        <v>19</v>
      </c>
      <c r="D12" s="230">
        <v>2</v>
      </c>
      <c r="E12" s="230">
        <v>9</v>
      </c>
      <c r="F12" s="230">
        <v>6591</v>
      </c>
      <c r="G12" s="230">
        <v>0</v>
      </c>
      <c r="H12" s="230">
        <v>0</v>
      </c>
      <c r="I12" s="230">
        <v>0</v>
      </c>
      <c r="J12" s="230">
        <v>0</v>
      </c>
      <c r="K12" s="230">
        <v>6591</v>
      </c>
      <c r="L12" s="230">
        <v>0</v>
      </c>
      <c r="M12" s="230">
        <v>0</v>
      </c>
      <c r="N12" s="230">
        <v>0</v>
      </c>
      <c r="O12" s="230">
        <v>0</v>
      </c>
      <c r="P12" s="230">
        <v>0</v>
      </c>
      <c r="Q12" s="230">
        <v>0</v>
      </c>
      <c r="R12" s="230">
        <v>0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0</v>
      </c>
      <c r="AK12" s="230">
        <v>0</v>
      </c>
      <c r="AL12" s="230">
        <v>0</v>
      </c>
      <c r="AM12" s="230">
        <v>0</v>
      </c>
      <c r="AN12" s="230">
        <v>0</v>
      </c>
      <c r="AO12" s="230">
        <v>0</v>
      </c>
      <c r="AP12" s="230">
        <v>0</v>
      </c>
      <c r="AQ12" s="230">
        <v>0</v>
      </c>
      <c r="AR12" s="230">
        <v>0</v>
      </c>
      <c r="AS12" s="230">
        <v>0</v>
      </c>
      <c r="AT12" s="230">
        <v>0</v>
      </c>
      <c r="AU12" s="230">
        <v>0</v>
      </c>
      <c r="AV12" s="230">
        <v>0</v>
      </c>
      <c r="AW12" s="230">
        <v>0</v>
      </c>
    </row>
    <row r="13" spans="1:49" x14ac:dyDescent="0.3">
      <c r="A13" s="230" t="s">
        <v>173</v>
      </c>
      <c r="B13" s="253">
        <v>10</v>
      </c>
      <c r="C13" s="230">
        <v>19</v>
      </c>
      <c r="D13" s="230">
        <v>2</v>
      </c>
      <c r="E13" s="230">
        <v>11</v>
      </c>
      <c r="F13" s="230">
        <v>1270.0381679389313</v>
      </c>
      <c r="G13" s="230">
        <v>0</v>
      </c>
      <c r="H13" s="230">
        <v>0</v>
      </c>
      <c r="I13" s="230">
        <v>0</v>
      </c>
      <c r="J13" s="230">
        <v>1145.0381679389313</v>
      </c>
      <c r="K13" s="230">
        <v>0</v>
      </c>
      <c r="L13" s="230">
        <v>0</v>
      </c>
      <c r="M13" s="230">
        <v>0</v>
      </c>
      <c r="N13" s="230">
        <v>0</v>
      </c>
      <c r="O13" s="230">
        <v>125</v>
      </c>
      <c r="P13" s="230">
        <v>0</v>
      </c>
      <c r="Q13" s="230">
        <v>0</v>
      </c>
      <c r="R13" s="230">
        <v>0</v>
      </c>
      <c r="S13" s="230">
        <v>0</v>
      </c>
      <c r="T13" s="230">
        <v>0</v>
      </c>
      <c r="U13" s="230">
        <v>0</v>
      </c>
      <c r="V13" s="230">
        <v>0</v>
      </c>
      <c r="W13" s="230">
        <v>0</v>
      </c>
      <c r="X13" s="230">
        <v>0</v>
      </c>
      <c r="Y13" s="230">
        <v>0</v>
      </c>
      <c r="Z13" s="230">
        <v>0</v>
      </c>
      <c r="AA13" s="230">
        <v>0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0</v>
      </c>
      <c r="AI13" s="230">
        <v>0</v>
      </c>
      <c r="AJ13" s="230">
        <v>0</v>
      </c>
      <c r="AK13" s="230">
        <v>0</v>
      </c>
      <c r="AL13" s="230">
        <v>0</v>
      </c>
      <c r="AM13" s="230">
        <v>0</v>
      </c>
      <c r="AN13" s="230">
        <v>0</v>
      </c>
      <c r="AO13" s="230">
        <v>0</v>
      </c>
      <c r="AP13" s="230">
        <v>0</v>
      </c>
      <c r="AQ13" s="230">
        <v>0</v>
      </c>
      <c r="AR13" s="230">
        <v>0</v>
      </c>
      <c r="AS13" s="230">
        <v>0</v>
      </c>
      <c r="AT13" s="230">
        <v>0</v>
      </c>
      <c r="AU13" s="230">
        <v>0</v>
      </c>
      <c r="AV13" s="230">
        <v>0</v>
      </c>
      <c r="AW13" s="230">
        <v>0</v>
      </c>
    </row>
    <row r="14" spans="1:49" x14ac:dyDescent="0.3">
      <c r="A14" s="230" t="s">
        <v>174</v>
      </c>
      <c r="B14" s="253">
        <v>11</v>
      </c>
      <c r="C14" s="230">
        <v>19</v>
      </c>
      <c r="D14" s="230">
        <v>3</v>
      </c>
      <c r="E14" s="230">
        <v>1</v>
      </c>
      <c r="F14" s="230">
        <v>12.35</v>
      </c>
      <c r="G14" s="230">
        <v>0</v>
      </c>
      <c r="H14" s="230">
        <v>0</v>
      </c>
      <c r="I14" s="230">
        <v>0.6</v>
      </c>
      <c r="J14" s="230">
        <v>0</v>
      </c>
      <c r="K14" s="230">
        <v>3.75</v>
      </c>
      <c r="L14" s="230">
        <v>0</v>
      </c>
      <c r="M14" s="230">
        <v>0</v>
      </c>
      <c r="N14" s="230">
        <v>0</v>
      </c>
      <c r="O14" s="230">
        <v>0</v>
      </c>
      <c r="P14" s="230">
        <v>3</v>
      </c>
      <c r="Q14" s="230">
        <v>2</v>
      </c>
      <c r="R14" s="230">
        <v>0</v>
      </c>
      <c r="S14" s="230">
        <v>0</v>
      </c>
      <c r="T14" s="230">
        <v>0</v>
      </c>
      <c r="U14" s="230">
        <v>0</v>
      </c>
      <c r="V14" s="230">
        <v>0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0</v>
      </c>
      <c r="AK14" s="230">
        <v>0</v>
      </c>
      <c r="AL14" s="230">
        <v>0</v>
      </c>
      <c r="AM14" s="230">
        <v>0</v>
      </c>
      <c r="AN14" s="230">
        <v>0</v>
      </c>
      <c r="AO14" s="230">
        <v>0</v>
      </c>
      <c r="AP14" s="230">
        <v>0</v>
      </c>
      <c r="AQ14" s="230">
        <v>0</v>
      </c>
      <c r="AR14" s="230">
        <v>0</v>
      </c>
      <c r="AS14" s="230">
        <v>0</v>
      </c>
      <c r="AT14" s="230">
        <v>0</v>
      </c>
      <c r="AU14" s="230">
        <v>0</v>
      </c>
      <c r="AV14" s="230">
        <v>0</v>
      </c>
      <c r="AW14" s="230">
        <v>3</v>
      </c>
    </row>
    <row r="15" spans="1:49" x14ac:dyDescent="0.3">
      <c r="A15" s="230" t="s">
        <v>175</v>
      </c>
      <c r="B15" s="253">
        <v>12</v>
      </c>
      <c r="C15" s="230">
        <v>19</v>
      </c>
      <c r="D15" s="230">
        <v>3</v>
      </c>
      <c r="E15" s="230">
        <v>2</v>
      </c>
      <c r="F15" s="230">
        <v>1926.4</v>
      </c>
      <c r="G15" s="230">
        <v>0</v>
      </c>
      <c r="H15" s="230">
        <v>0</v>
      </c>
      <c r="I15" s="230">
        <v>110.4</v>
      </c>
      <c r="J15" s="230">
        <v>0</v>
      </c>
      <c r="K15" s="230">
        <v>680</v>
      </c>
      <c r="L15" s="230">
        <v>0</v>
      </c>
      <c r="M15" s="230">
        <v>0</v>
      </c>
      <c r="N15" s="230">
        <v>0</v>
      </c>
      <c r="O15" s="230">
        <v>0</v>
      </c>
      <c r="P15" s="230">
        <v>524</v>
      </c>
      <c r="Q15" s="230">
        <v>360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  <c r="AP15" s="230">
        <v>0</v>
      </c>
      <c r="AQ15" s="230">
        <v>0</v>
      </c>
      <c r="AR15" s="230">
        <v>0</v>
      </c>
      <c r="AS15" s="230">
        <v>0</v>
      </c>
      <c r="AT15" s="230">
        <v>0</v>
      </c>
      <c r="AU15" s="230">
        <v>0</v>
      </c>
      <c r="AV15" s="230">
        <v>0</v>
      </c>
      <c r="AW15" s="230">
        <v>252</v>
      </c>
    </row>
    <row r="16" spans="1:49" x14ac:dyDescent="0.3">
      <c r="A16" s="230" t="s">
        <v>163</v>
      </c>
      <c r="B16" s="253">
        <v>2016</v>
      </c>
      <c r="C16" s="230">
        <v>19</v>
      </c>
      <c r="D16" s="230">
        <v>3</v>
      </c>
      <c r="E16" s="230">
        <v>6</v>
      </c>
      <c r="F16" s="230">
        <v>445722</v>
      </c>
      <c r="G16" s="230">
        <v>0</v>
      </c>
      <c r="H16" s="230">
        <v>0</v>
      </c>
      <c r="I16" s="230">
        <v>23774</v>
      </c>
      <c r="J16" s="230">
        <v>0</v>
      </c>
      <c r="K16" s="230">
        <v>227575</v>
      </c>
      <c r="L16" s="230">
        <v>0</v>
      </c>
      <c r="M16" s="230">
        <v>0</v>
      </c>
      <c r="N16" s="230">
        <v>0</v>
      </c>
      <c r="O16" s="230">
        <v>0</v>
      </c>
      <c r="P16" s="230">
        <v>94045</v>
      </c>
      <c r="Q16" s="230">
        <v>56496</v>
      </c>
      <c r="R16" s="230">
        <v>0</v>
      </c>
      <c r="S16" s="230">
        <v>0</v>
      </c>
      <c r="T16" s="230">
        <v>0</v>
      </c>
      <c r="U16" s="230">
        <v>0</v>
      </c>
      <c r="V16" s="230">
        <v>0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0</v>
      </c>
      <c r="AJ16" s="230">
        <v>0</v>
      </c>
      <c r="AK16" s="230">
        <v>0</v>
      </c>
      <c r="AL16" s="230">
        <v>0</v>
      </c>
      <c r="AM16" s="230">
        <v>0</v>
      </c>
      <c r="AN16" s="230">
        <v>0</v>
      </c>
      <c r="AO16" s="230">
        <v>0</v>
      </c>
      <c r="AP16" s="230">
        <v>0</v>
      </c>
      <c r="AQ16" s="230">
        <v>0</v>
      </c>
      <c r="AR16" s="230">
        <v>0</v>
      </c>
      <c r="AS16" s="230">
        <v>0</v>
      </c>
      <c r="AT16" s="230">
        <v>0</v>
      </c>
      <c r="AU16" s="230">
        <v>0</v>
      </c>
      <c r="AV16" s="230">
        <v>0</v>
      </c>
      <c r="AW16" s="230">
        <v>43832</v>
      </c>
    </row>
    <row r="17" spans="3:49" x14ac:dyDescent="0.3">
      <c r="C17" s="230">
        <v>19</v>
      </c>
      <c r="D17" s="230">
        <v>3</v>
      </c>
      <c r="E17" s="230">
        <v>9</v>
      </c>
      <c r="F17" s="230">
        <v>15480</v>
      </c>
      <c r="G17" s="230">
        <v>0</v>
      </c>
      <c r="H17" s="230">
        <v>0</v>
      </c>
      <c r="I17" s="230">
        <v>0</v>
      </c>
      <c r="J17" s="230">
        <v>0</v>
      </c>
      <c r="K17" s="230">
        <v>3780</v>
      </c>
      <c r="L17" s="230">
        <v>0</v>
      </c>
      <c r="M17" s="230">
        <v>0</v>
      </c>
      <c r="N17" s="230">
        <v>0</v>
      </c>
      <c r="O17" s="230">
        <v>0</v>
      </c>
      <c r="P17" s="230">
        <v>2000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0">
        <v>0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0</v>
      </c>
      <c r="AK17" s="230">
        <v>0</v>
      </c>
      <c r="AL17" s="230">
        <v>0</v>
      </c>
      <c r="AM17" s="230">
        <v>0</v>
      </c>
      <c r="AN17" s="230">
        <v>0</v>
      </c>
      <c r="AO17" s="230">
        <v>0</v>
      </c>
      <c r="AP17" s="230">
        <v>0</v>
      </c>
      <c r="AQ17" s="230">
        <v>0</v>
      </c>
      <c r="AR17" s="230">
        <v>0</v>
      </c>
      <c r="AS17" s="230">
        <v>0</v>
      </c>
      <c r="AT17" s="230">
        <v>0</v>
      </c>
      <c r="AU17" s="230">
        <v>0</v>
      </c>
      <c r="AV17" s="230">
        <v>0</v>
      </c>
      <c r="AW17" s="230">
        <v>9700</v>
      </c>
    </row>
    <row r="18" spans="3:49" x14ac:dyDescent="0.3">
      <c r="C18" s="230">
        <v>19</v>
      </c>
      <c r="D18" s="230">
        <v>3</v>
      </c>
      <c r="E18" s="230">
        <v>11</v>
      </c>
      <c r="F18" s="230">
        <v>1270.0381679389313</v>
      </c>
      <c r="G18" s="230">
        <v>0</v>
      </c>
      <c r="H18" s="230">
        <v>0</v>
      </c>
      <c r="I18" s="230">
        <v>0</v>
      </c>
      <c r="J18" s="230">
        <v>1145.0381679389313</v>
      </c>
      <c r="K18" s="230">
        <v>0</v>
      </c>
      <c r="L18" s="230">
        <v>0</v>
      </c>
      <c r="M18" s="230">
        <v>0</v>
      </c>
      <c r="N18" s="230">
        <v>0</v>
      </c>
      <c r="O18" s="230">
        <v>125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0</v>
      </c>
      <c r="AP18" s="230">
        <v>0</v>
      </c>
      <c r="AQ18" s="230">
        <v>0</v>
      </c>
      <c r="AR18" s="230">
        <v>0</v>
      </c>
      <c r="AS18" s="230">
        <v>0</v>
      </c>
      <c r="AT18" s="230">
        <v>0</v>
      </c>
      <c r="AU18" s="230">
        <v>0</v>
      </c>
      <c r="AV18" s="230">
        <v>0</v>
      </c>
      <c r="AW18" s="230">
        <v>0</v>
      </c>
    </row>
    <row r="19" spans="3:49" x14ac:dyDescent="0.3">
      <c r="C19" s="230">
        <v>19</v>
      </c>
      <c r="D19" s="230">
        <v>4</v>
      </c>
      <c r="E19" s="230">
        <v>1</v>
      </c>
      <c r="F19" s="230">
        <v>11.35</v>
      </c>
      <c r="G19" s="230">
        <v>0</v>
      </c>
      <c r="H19" s="230">
        <v>0</v>
      </c>
      <c r="I19" s="230">
        <v>0</v>
      </c>
      <c r="J19" s="230">
        <v>0</v>
      </c>
      <c r="K19" s="230">
        <v>4.3499999999999996</v>
      </c>
      <c r="L19" s="230">
        <v>0</v>
      </c>
      <c r="M19" s="230">
        <v>0</v>
      </c>
      <c r="N19" s="230">
        <v>0</v>
      </c>
      <c r="O19" s="230">
        <v>0</v>
      </c>
      <c r="P19" s="230">
        <v>2</v>
      </c>
      <c r="Q19" s="230">
        <v>3</v>
      </c>
      <c r="R19" s="230">
        <v>0</v>
      </c>
      <c r="S19" s="230">
        <v>0</v>
      </c>
      <c r="T19" s="230">
        <v>0</v>
      </c>
      <c r="U19" s="230">
        <v>0</v>
      </c>
      <c r="V19" s="230">
        <v>0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0</v>
      </c>
      <c r="AJ19" s="230">
        <v>0</v>
      </c>
      <c r="AK19" s="230">
        <v>0</v>
      </c>
      <c r="AL19" s="230">
        <v>0</v>
      </c>
      <c r="AM19" s="230">
        <v>0</v>
      </c>
      <c r="AN19" s="230">
        <v>0</v>
      </c>
      <c r="AO19" s="230">
        <v>0</v>
      </c>
      <c r="AP19" s="230">
        <v>0</v>
      </c>
      <c r="AQ19" s="230">
        <v>0</v>
      </c>
      <c r="AR19" s="230">
        <v>0</v>
      </c>
      <c r="AS19" s="230">
        <v>0</v>
      </c>
      <c r="AT19" s="230">
        <v>0</v>
      </c>
      <c r="AU19" s="230">
        <v>0</v>
      </c>
      <c r="AV19" s="230">
        <v>0</v>
      </c>
      <c r="AW19" s="230">
        <v>2</v>
      </c>
    </row>
    <row r="20" spans="3:49" x14ac:dyDescent="0.3">
      <c r="C20" s="230">
        <v>19</v>
      </c>
      <c r="D20" s="230">
        <v>4</v>
      </c>
      <c r="E20" s="230">
        <v>2</v>
      </c>
      <c r="F20" s="230">
        <v>1656.8</v>
      </c>
      <c r="G20" s="230">
        <v>0</v>
      </c>
      <c r="H20" s="230">
        <v>0</v>
      </c>
      <c r="I20" s="230">
        <v>0</v>
      </c>
      <c r="J20" s="230">
        <v>0</v>
      </c>
      <c r="K20" s="230">
        <v>716.8</v>
      </c>
      <c r="L20" s="230">
        <v>0</v>
      </c>
      <c r="M20" s="230">
        <v>0</v>
      </c>
      <c r="N20" s="230">
        <v>0</v>
      </c>
      <c r="O20" s="230">
        <v>0</v>
      </c>
      <c r="P20" s="230">
        <v>312</v>
      </c>
      <c r="Q20" s="230">
        <v>460</v>
      </c>
      <c r="R20" s="230">
        <v>0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30">
        <v>0</v>
      </c>
      <c r="Z20" s="230">
        <v>0</v>
      </c>
      <c r="AA20" s="230">
        <v>0</v>
      </c>
      <c r="AB20" s="230">
        <v>0</v>
      </c>
      <c r="AC20" s="230">
        <v>0</v>
      </c>
      <c r="AD20" s="230">
        <v>0</v>
      </c>
      <c r="AE20" s="230">
        <v>0</v>
      </c>
      <c r="AF20" s="230">
        <v>0</v>
      </c>
      <c r="AG20" s="230">
        <v>0</v>
      </c>
      <c r="AH20" s="230">
        <v>0</v>
      </c>
      <c r="AI20" s="230">
        <v>0</v>
      </c>
      <c r="AJ20" s="230">
        <v>0</v>
      </c>
      <c r="AK20" s="230">
        <v>0</v>
      </c>
      <c r="AL20" s="230">
        <v>0</v>
      </c>
      <c r="AM20" s="230">
        <v>0</v>
      </c>
      <c r="AN20" s="230">
        <v>0</v>
      </c>
      <c r="AO20" s="230">
        <v>0</v>
      </c>
      <c r="AP20" s="230">
        <v>0</v>
      </c>
      <c r="AQ20" s="230">
        <v>0</v>
      </c>
      <c r="AR20" s="230">
        <v>0</v>
      </c>
      <c r="AS20" s="230">
        <v>0</v>
      </c>
      <c r="AT20" s="230">
        <v>0</v>
      </c>
      <c r="AU20" s="230">
        <v>0</v>
      </c>
      <c r="AV20" s="230">
        <v>0</v>
      </c>
      <c r="AW20" s="230">
        <v>168</v>
      </c>
    </row>
    <row r="21" spans="3:49" x14ac:dyDescent="0.3">
      <c r="C21" s="230">
        <v>19</v>
      </c>
      <c r="D21" s="230">
        <v>4</v>
      </c>
      <c r="E21" s="230">
        <v>6</v>
      </c>
      <c r="F21" s="230">
        <v>607511</v>
      </c>
      <c r="G21" s="230">
        <v>0</v>
      </c>
      <c r="H21" s="230">
        <v>0</v>
      </c>
      <c r="I21" s="230">
        <v>0</v>
      </c>
      <c r="J21" s="230">
        <v>0</v>
      </c>
      <c r="K21" s="230">
        <v>374824</v>
      </c>
      <c r="L21" s="230">
        <v>0</v>
      </c>
      <c r="M21" s="230">
        <v>0</v>
      </c>
      <c r="N21" s="230">
        <v>0</v>
      </c>
      <c r="O21" s="230">
        <v>0</v>
      </c>
      <c r="P21" s="230">
        <v>86209</v>
      </c>
      <c r="Q21" s="230">
        <v>123708</v>
      </c>
      <c r="R21" s="230">
        <v>0</v>
      </c>
      <c r="S21" s="230">
        <v>0</v>
      </c>
      <c r="T21" s="230">
        <v>0</v>
      </c>
      <c r="U21" s="230">
        <v>0</v>
      </c>
      <c r="V21" s="230">
        <v>0</v>
      </c>
      <c r="W21" s="230">
        <v>0</v>
      </c>
      <c r="X21" s="230">
        <v>0</v>
      </c>
      <c r="Y21" s="230">
        <v>0</v>
      </c>
      <c r="Z21" s="230">
        <v>0</v>
      </c>
      <c r="AA21" s="230">
        <v>0</v>
      </c>
      <c r="AB21" s="230">
        <v>0</v>
      </c>
      <c r="AC21" s="230">
        <v>0</v>
      </c>
      <c r="AD21" s="230">
        <v>0</v>
      </c>
      <c r="AE21" s="230">
        <v>0</v>
      </c>
      <c r="AF21" s="230">
        <v>0</v>
      </c>
      <c r="AG21" s="230">
        <v>0</v>
      </c>
      <c r="AH21" s="230">
        <v>0</v>
      </c>
      <c r="AI21" s="230">
        <v>0</v>
      </c>
      <c r="AJ21" s="230">
        <v>0</v>
      </c>
      <c r="AK21" s="230">
        <v>0</v>
      </c>
      <c r="AL21" s="230">
        <v>0</v>
      </c>
      <c r="AM21" s="230">
        <v>0</v>
      </c>
      <c r="AN21" s="230">
        <v>0</v>
      </c>
      <c r="AO21" s="230">
        <v>0</v>
      </c>
      <c r="AP21" s="230">
        <v>0</v>
      </c>
      <c r="AQ21" s="230">
        <v>0</v>
      </c>
      <c r="AR21" s="230">
        <v>0</v>
      </c>
      <c r="AS21" s="230">
        <v>0</v>
      </c>
      <c r="AT21" s="230">
        <v>0</v>
      </c>
      <c r="AU21" s="230">
        <v>0</v>
      </c>
      <c r="AV21" s="230">
        <v>0</v>
      </c>
      <c r="AW21" s="230">
        <v>22770</v>
      </c>
    </row>
    <row r="22" spans="3:49" x14ac:dyDescent="0.3">
      <c r="C22" s="230">
        <v>19</v>
      </c>
      <c r="D22" s="230">
        <v>4</v>
      </c>
      <c r="E22" s="230">
        <v>9</v>
      </c>
      <c r="F22" s="230">
        <v>192140</v>
      </c>
      <c r="G22" s="230">
        <v>0</v>
      </c>
      <c r="H22" s="230">
        <v>0</v>
      </c>
      <c r="I22" s="230">
        <v>0</v>
      </c>
      <c r="J22" s="230">
        <v>0</v>
      </c>
      <c r="K22" s="230">
        <v>127940</v>
      </c>
      <c r="L22" s="230">
        <v>0</v>
      </c>
      <c r="M22" s="230">
        <v>0</v>
      </c>
      <c r="N22" s="230">
        <v>0</v>
      </c>
      <c r="O22" s="230">
        <v>0</v>
      </c>
      <c r="P22" s="230">
        <v>23000</v>
      </c>
      <c r="Q22" s="230">
        <v>38500</v>
      </c>
      <c r="R22" s="230">
        <v>0</v>
      </c>
      <c r="S22" s="230">
        <v>0</v>
      </c>
      <c r="T22" s="230">
        <v>0</v>
      </c>
      <c r="U22" s="230">
        <v>0</v>
      </c>
      <c r="V22" s="230">
        <v>0</v>
      </c>
      <c r="W22" s="230">
        <v>0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0</v>
      </c>
      <c r="AJ22" s="230">
        <v>0</v>
      </c>
      <c r="AK22" s="230">
        <v>0</v>
      </c>
      <c r="AL22" s="230">
        <v>0</v>
      </c>
      <c r="AM22" s="230">
        <v>0</v>
      </c>
      <c r="AN22" s="230">
        <v>0</v>
      </c>
      <c r="AO22" s="230">
        <v>0</v>
      </c>
      <c r="AP22" s="230">
        <v>0</v>
      </c>
      <c r="AQ22" s="230">
        <v>0</v>
      </c>
      <c r="AR22" s="230">
        <v>0</v>
      </c>
      <c r="AS22" s="230">
        <v>0</v>
      </c>
      <c r="AT22" s="230">
        <v>0</v>
      </c>
      <c r="AU22" s="230">
        <v>0</v>
      </c>
      <c r="AV22" s="230">
        <v>0</v>
      </c>
      <c r="AW22" s="230">
        <v>2700</v>
      </c>
    </row>
    <row r="23" spans="3:49" x14ac:dyDescent="0.3">
      <c r="C23" s="230">
        <v>19</v>
      </c>
      <c r="D23" s="230">
        <v>4</v>
      </c>
      <c r="E23" s="230">
        <v>11</v>
      </c>
      <c r="F23" s="230">
        <v>1270.0381679389313</v>
      </c>
      <c r="G23" s="230">
        <v>0</v>
      </c>
      <c r="H23" s="230">
        <v>0</v>
      </c>
      <c r="I23" s="230">
        <v>0</v>
      </c>
      <c r="J23" s="230">
        <v>1145.0381679389313</v>
      </c>
      <c r="K23" s="230">
        <v>0</v>
      </c>
      <c r="L23" s="230">
        <v>0</v>
      </c>
      <c r="M23" s="230">
        <v>0</v>
      </c>
      <c r="N23" s="230">
        <v>0</v>
      </c>
      <c r="O23" s="230">
        <v>125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  <c r="AP23" s="230">
        <v>0</v>
      </c>
      <c r="AQ23" s="230">
        <v>0</v>
      </c>
      <c r="AR23" s="230">
        <v>0</v>
      </c>
      <c r="AS23" s="230">
        <v>0</v>
      </c>
      <c r="AT23" s="230">
        <v>0</v>
      </c>
      <c r="AU23" s="230">
        <v>0</v>
      </c>
      <c r="AV23" s="230">
        <v>0</v>
      </c>
      <c r="AW23" s="230">
        <v>0</v>
      </c>
    </row>
    <row r="24" spans="3:49" x14ac:dyDescent="0.3">
      <c r="C24" s="230">
        <v>19</v>
      </c>
      <c r="D24" s="230">
        <v>5</v>
      </c>
      <c r="E24" s="230">
        <v>1</v>
      </c>
      <c r="F24" s="230">
        <v>11.35</v>
      </c>
      <c r="G24" s="230">
        <v>0</v>
      </c>
      <c r="H24" s="230">
        <v>0</v>
      </c>
      <c r="I24" s="230">
        <v>0</v>
      </c>
      <c r="J24" s="230">
        <v>0</v>
      </c>
      <c r="K24" s="230">
        <v>4.3499999999999996</v>
      </c>
      <c r="L24" s="230">
        <v>0</v>
      </c>
      <c r="M24" s="230">
        <v>0</v>
      </c>
      <c r="N24" s="230">
        <v>0</v>
      </c>
      <c r="O24" s="230">
        <v>0</v>
      </c>
      <c r="P24" s="230">
        <v>2</v>
      </c>
      <c r="Q24" s="230">
        <v>3</v>
      </c>
      <c r="R24" s="230">
        <v>0</v>
      </c>
      <c r="S24" s="230">
        <v>0</v>
      </c>
      <c r="T24" s="230">
        <v>0</v>
      </c>
      <c r="U24" s="230">
        <v>0</v>
      </c>
      <c r="V24" s="230">
        <v>0</v>
      </c>
      <c r="W24" s="230">
        <v>0</v>
      </c>
      <c r="X24" s="230">
        <v>0</v>
      </c>
      <c r="Y24" s="230">
        <v>0</v>
      </c>
      <c r="Z24" s="230">
        <v>0</v>
      </c>
      <c r="AA24" s="230">
        <v>0</v>
      </c>
      <c r="AB24" s="230">
        <v>0</v>
      </c>
      <c r="AC24" s="230">
        <v>0</v>
      </c>
      <c r="AD24" s="230">
        <v>0</v>
      </c>
      <c r="AE24" s="230">
        <v>0</v>
      </c>
      <c r="AF24" s="230">
        <v>0</v>
      </c>
      <c r="AG24" s="230">
        <v>0</v>
      </c>
      <c r="AH24" s="230">
        <v>0</v>
      </c>
      <c r="AI24" s="230">
        <v>0</v>
      </c>
      <c r="AJ24" s="230">
        <v>0</v>
      </c>
      <c r="AK24" s="230">
        <v>0</v>
      </c>
      <c r="AL24" s="230">
        <v>0</v>
      </c>
      <c r="AM24" s="230">
        <v>0</v>
      </c>
      <c r="AN24" s="230">
        <v>0</v>
      </c>
      <c r="AO24" s="230">
        <v>0</v>
      </c>
      <c r="AP24" s="230">
        <v>0</v>
      </c>
      <c r="AQ24" s="230">
        <v>0</v>
      </c>
      <c r="AR24" s="230">
        <v>0</v>
      </c>
      <c r="AS24" s="230">
        <v>0</v>
      </c>
      <c r="AT24" s="230">
        <v>0</v>
      </c>
      <c r="AU24" s="230">
        <v>0</v>
      </c>
      <c r="AV24" s="230">
        <v>0</v>
      </c>
      <c r="AW24" s="230">
        <v>2</v>
      </c>
    </row>
    <row r="25" spans="3:49" x14ac:dyDescent="0.3">
      <c r="C25" s="230">
        <v>19</v>
      </c>
      <c r="D25" s="230">
        <v>5</v>
      </c>
      <c r="E25" s="230">
        <v>2</v>
      </c>
      <c r="F25" s="230">
        <v>1751.6</v>
      </c>
      <c r="G25" s="230">
        <v>0</v>
      </c>
      <c r="H25" s="230">
        <v>0</v>
      </c>
      <c r="I25" s="230">
        <v>0</v>
      </c>
      <c r="J25" s="230">
        <v>0</v>
      </c>
      <c r="K25" s="230">
        <v>719.6</v>
      </c>
      <c r="L25" s="230">
        <v>0</v>
      </c>
      <c r="M25" s="230">
        <v>0</v>
      </c>
      <c r="N25" s="230">
        <v>0</v>
      </c>
      <c r="O25" s="230">
        <v>0</v>
      </c>
      <c r="P25" s="230">
        <v>352</v>
      </c>
      <c r="Q25" s="230">
        <v>504</v>
      </c>
      <c r="R25" s="230">
        <v>0</v>
      </c>
      <c r="S25" s="230">
        <v>0</v>
      </c>
      <c r="T25" s="230">
        <v>0</v>
      </c>
      <c r="U25" s="230">
        <v>0</v>
      </c>
      <c r="V25" s="230">
        <v>0</v>
      </c>
      <c r="W25" s="230">
        <v>0</v>
      </c>
      <c r="X25" s="230">
        <v>0</v>
      </c>
      <c r="Y25" s="230">
        <v>0</v>
      </c>
      <c r="Z25" s="230">
        <v>0</v>
      </c>
      <c r="AA25" s="230">
        <v>0</v>
      </c>
      <c r="AB25" s="230">
        <v>0</v>
      </c>
      <c r="AC25" s="230">
        <v>0</v>
      </c>
      <c r="AD25" s="230">
        <v>0</v>
      </c>
      <c r="AE25" s="230">
        <v>0</v>
      </c>
      <c r="AF25" s="230">
        <v>0</v>
      </c>
      <c r="AG25" s="230">
        <v>0</v>
      </c>
      <c r="AH25" s="230">
        <v>0</v>
      </c>
      <c r="AI25" s="230">
        <v>0</v>
      </c>
      <c r="AJ25" s="230">
        <v>0</v>
      </c>
      <c r="AK25" s="230">
        <v>0</v>
      </c>
      <c r="AL25" s="230">
        <v>0</v>
      </c>
      <c r="AM25" s="230">
        <v>0</v>
      </c>
      <c r="AN25" s="230">
        <v>0</v>
      </c>
      <c r="AO25" s="230">
        <v>0</v>
      </c>
      <c r="AP25" s="230">
        <v>0</v>
      </c>
      <c r="AQ25" s="230">
        <v>0</v>
      </c>
      <c r="AR25" s="230">
        <v>0</v>
      </c>
      <c r="AS25" s="230">
        <v>0</v>
      </c>
      <c r="AT25" s="230">
        <v>0</v>
      </c>
      <c r="AU25" s="230">
        <v>0</v>
      </c>
      <c r="AV25" s="230">
        <v>0</v>
      </c>
      <c r="AW25" s="230">
        <v>176</v>
      </c>
    </row>
    <row r="26" spans="3:49" x14ac:dyDescent="0.3">
      <c r="C26" s="230">
        <v>19</v>
      </c>
      <c r="D26" s="230">
        <v>5</v>
      </c>
      <c r="E26" s="230">
        <v>6</v>
      </c>
      <c r="F26" s="230">
        <v>429350</v>
      </c>
      <c r="G26" s="230">
        <v>0</v>
      </c>
      <c r="H26" s="230">
        <v>0</v>
      </c>
      <c r="I26" s="230">
        <v>0</v>
      </c>
      <c r="J26" s="230">
        <v>0</v>
      </c>
      <c r="K26" s="230">
        <v>253815</v>
      </c>
      <c r="L26" s="230">
        <v>0</v>
      </c>
      <c r="M26" s="230">
        <v>0</v>
      </c>
      <c r="N26" s="230">
        <v>0</v>
      </c>
      <c r="O26" s="230">
        <v>0</v>
      </c>
      <c r="P26" s="230">
        <v>66550</v>
      </c>
      <c r="Q26" s="230">
        <v>86215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0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0</v>
      </c>
      <c r="AJ26" s="230">
        <v>0</v>
      </c>
      <c r="AK26" s="230">
        <v>0</v>
      </c>
      <c r="AL26" s="230">
        <v>0</v>
      </c>
      <c r="AM26" s="230">
        <v>0</v>
      </c>
      <c r="AN26" s="230">
        <v>0</v>
      </c>
      <c r="AO26" s="230">
        <v>0</v>
      </c>
      <c r="AP26" s="230">
        <v>0</v>
      </c>
      <c r="AQ26" s="230">
        <v>0</v>
      </c>
      <c r="AR26" s="230">
        <v>0</v>
      </c>
      <c r="AS26" s="230">
        <v>0</v>
      </c>
      <c r="AT26" s="230">
        <v>0</v>
      </c>
      <c r="AU26" s="230">
        <v>0</v>
      </c>
      <c r="AV26" s="230">
        <v>0</v>
      </c>
      <c r="AW26" s="230">
        <v>22770</v>
      </c>
    </row>
    <row r="27" spans="3:49" x14ac:dyDescent="0.3">
      <c r="C27" s="230">
        <v>19</v>
      </c>
      <c r="D27" s="230">
        <v>5</v>
      </c>
      <c r="E27" s="230">
        <v>9</v>
      </c>
      <c r="F27" s="230">
        <v>9135</v>
      </c>
      <c r="G27" s="230">
        <v>0</v>
      </c>
      <c r="H27" s="230">
        <v>0</v>
      </c>
      <c r="I27" s="230">
        <v>0</v>
      </c>
      <c r="J27" s="230">
        <v>0</v>
      </c>
      <c r="K27" s="230">
        <v>4735</v>
      </c>
      <c r="L27" s="230">
        <v>0</v>
      </c>
      <c r="M27" s="230">
        <v>0</v>
      </c>
      <c r="N27" s="230">
        <v>0</v>
      </c>
      <c r="O27" s="230">
        <v>0</v>
      </c>
      <c r="P27" s="230">
        <v>700</v>
      </c>
      <c r="Q27" s="230">
        <v>1000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  <c r="AP27" s="230">
        <v>0</v>
      </c>
      <c r="AQ27" s="230">
        <v>0</v>
      </c>
      <c r="AR27" s="230">
        <v>0</v>
      </c>
      <c r="AS27" s="230">
        <v>0</v>
      </c>
      <c r="AT27" s="230">
        <v>0</v>
      </c>
      <c r="AU27" s="230">
        <v>0</v>
      </c>
      <c r="AV27" s="230">
        <v>0</v>
      </c>
      <c r="AW27" s="230">
        <v>2700</v>
      </c>
    </row>
    <row r="28" spans="3:49" x14ac:dyDescent="0.3">
      <c r="C28" s="230">
        <v>19</v>
      </c>
      <c r="D28" s="230">
        <v>5</v>
      </c>
      <c r="E28" s="230">
        <v>11</v>
      </c>
      <c r="F28" s="230">
        <v>1270.0381679389313</v>
      </c>
      <c r="G28" s="230">
        <v>0</v>
      </c>
      <c r="H28" s="230">
        <v>0</v>
      </c>
      <c r="I28" s="230">
        <v>0</v>
      </c>
      <c r="J28" s="230">
        <v>1145.0381679389313</v>
      </c>
      <c r="K28" s="230">
        <v>0</v>
      </c>
      <c r="L28" s="230">
        <v>0</v>
      </c>
      <c r="M28" s="230">
        <v>0</v>
      </c>
      <c r="N28" s="230">
        <v>0</v>
      </c>
      <c r="O28" s="230">
        <v>125</v>
      </c>
      <c r="P28" s="230">
        <v>0</v>
      </c>
      <c r="Q28" s="230">
        <v>0</v>
      </c>
      <c r="R28" s="230">
        <v>0</v>
      </c>
      <c r="S28" s="230">
        <v>0</v>
      </c>
      <c r="T28" s="230">
        <v>0</v>
      </c>
      <c r="U28" s="230">
        <v>0</v>
      </c>
      <c r="V28" s="230">
        <v>0</v>
      </c>
      <c r="W28" s="230">
        <v>0</v>
      </c>
      <c r="X28" s="230">
        <v>0</v>
      </c>
      <c r="Y28" s="230">
        <v>0</v>
      </c>
      <c r="Z28" s="230">
        <v>0</v>
      </c>
      <c r="AA28" s="230">
        <v>0</v>
      </c>
      <c r="AB28" s="230">
        <v>0</v>
      </c>
      <c r="AC28" s="230">
        <v>0</v>
      </c>
      <c r="AD28" s="230">
        <v>0</v>
      </c>
      <c r="AE28" s="230">
        <v>0</v>
      </c>
      <c r="AF28" s="230">
        <v>0</v>
      </c>
      <c r="AG28" s="230">
        <v>0</v>
      </c>
      <c r="AH28" s="230">
        <v>0</v>
      </c>
      <c r="AI28" s="230">
        <v>0</v>
      </c>
      <c r="AJ28" s="230">
        <v>0</v>
      </c>
      <c r="AK28" s="230">
        <v>0</v>
      </c>
      <c r="AL28" s="230">
        <v>0</v>
      </c>
      <c r="AM28" s="230">
        <v>0</v>
      </c>
      <c r="AN28" s="230">
        <v>0</v>
      </c>
      <c r="AO28" s="230">
        <v>0</v>
      </c>
      <c r="AP28" s="230">
        <v>0</v>
      </c>
      <c r="AQ28" s="230">
        <v>0</v>
      </c>
      <c r="AR28" s="230">
        <v>0</v>
      </c>
      <c r="AS28" s="230">
        <v>0</v>
      </c>
      <c r="AT28" s="230">
        <v>0</v>
      </c>
      <c r="AU28" s="230">
        <v>0</v>
      </c>
      <c r="AV28" s="230">
        <v>0</v>
      </c>
      <c r="AW28" s="230">
        <v>0</v>
      </c>
    </row>
    <row r="29" spans="3:49" x14ac:dyDescent="0.3">
      <c r="C29" s="230">
        <v>19</v>
      </c>
      <c r="D29" s="230">
        <v>6</v>
      </c>
      <c r="E29" s="230">
        <v>1</v>
      </c>
      <c r="F29" s="230">
        <v>11.35</v>
      </c>
      <c r="G29" s="230">
        <v>0</v>
      </c>
      <c r="H29" s="230">
        <v>0</v>
      </c>
      <c r="I29" s="230">
        <v>0</v>
      </c>
      <c r="J29" s="230">
        <v>0</v>
      </c>
      <c r="K29" s="230">
        <v>4.3499999999999996</v>
      </c>
      <c r="L29" s="230">
        <v>0</v>
      </c>
      <c r="M29" s="230">
        <v>0</v>
      </c>
      <c r="N29" s="230">
        <v>0</v>
      </c>
      <c r="O29" s="230">
        <v>0</v>
      </c>
      <c r="P29" s="230">
        <v>2</v>
      </c>
      <c r="Q29" s="230">
        <v>3</v>
      </c>
      <c r="R29" s="230">
        <v>0</v>
      </c>
      <c r="S29" s="230">
        <v>0</v>
      </c>
      <c r="T29" s="230">
        <v>0</v>
      </c>
      <c r="U29" s="230">
        <v>0</v>
      </c>
      <c r="V29" s="230">
        <v>0</v>
      </c>
      <c r="W29" s="230">
        <v>0</v>
      </c>
      <c r="X29" s="230">
        <v>0</v>
      </c>
      <c r="Y29" s="230">
        <v>0</v>
      </c>
      <c r="Z29" s="230">
        <v>0</v>
      </c>
      <c r="AA29" s="230">
        <v>0</v>
      </c>
      <c r="AB29" s="230">
        <v>0</v>
      </c>
      <c r="AC29" s="230">
        <v>0</v>
      </c>
      <c r="AD29" s="230">
        <v>0</v>
      </c>
      <c r="AE29" s="230">
        <v>0</v>
      </c>
      <c r="AF29" s="230">
        <v>0</v>
      </c>
      <c r="AG29" s="230">
        <v>0</v>
      </c>
      <c r="AH29" s="230">
        <v>0</v>
      </c>
      <c r="AI29" s="230">
        <v>0</v>
      </c>
      <c r="AJ29" s="230">
        <v>0</v>
      </c>
      <c r="AK29" s="230">
        <v>0</v>
      </c>
      <c r="AL29" s="230">
        <v>0</v>
      </c>
      <c r="AM29" s="230">
        <v>0</v>
      </c>
      <c r="AN29" s="230">
        <v>0</v>
      </c>
      <c r="AO29" s="230">
        <v>0</v>
      </c>
      <c r="AP29" s="230">
        <v>0</v>
      </c>
      <c r="AQ29" s="230">
        <v>0</v>
      </c>
      <c r="AR29" s="230">
        <v>0</v>
      </c>
      <c r="AS29" s="230">
        <v>0</v>
      </c>
      <c r="AT29" s="230">
        <v>0</v>
      </c>
      <c r="AU29" s="230">
        <v>0</v>
      </c>
      <c r="AV29" s="230">
        <v>0</v>
      </c>
      <c r="AW29" s="230">
        <v>2</v>
      </c>
    </row>
    <row r="30" spans="3:49" x14ac:dyDescent="0.3">
      <c r="C30" s="230">
        <v>19</v>
      </c>
      <c r="D30" s="230">
        <v>6</v>
      </c>
      <c r="E30" s="230">
        <v>2</v>
      </c>
      <c r="F30" s="230">
        <v>1645.6</v>
      </c>
      <c r="G30" s="230">
        <v>0</v>
      </c>
      <c r="H30" s="230">
        <v>0</v>
      </c>
      <c r="I30" s="230">
        <v>0</v>
      </c>
      <c r="J30" s="230">
        <v>0</v>
      </c>
      <c r="K30" s="230">
        <v>669.6</v>
      </c>
      <c r="L30" s="230">
        <v>0</v>
      </c>
      <c r="M30" s="230">
        <v>0</v>
      </c>
      <c r="N30" s="230">
        <v>0</v>
      </c>
      <c r="O30" s="230">
        <v>0</v>
      </c>
      <c r="P30" s="230">
        <v>312</v>
      </c>
      <c r="Q30" s="230">
        <v>488</v>
      </c>
      <c r="R30" s="230">
        <v>0</v>
      </c>
      <c r="S30" s="230">
        <v>0</v>
      </c>
      <c r="T30" s="230">
        <v>0</v>
      </c>
      <c r="U30" s="230">
        <v>0</v>
      </c>
      <c r="V30" s="230">
        <v>0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0</v>
      </c>
      <c r="AK30" s="230">
        <v>0</v>
      </c>
      <c r="AL30" s="230">
        <v>0</v>
      </c>
      <c r="AM30" s="230">
        <v>0</v>
      </c>
      <c r="AN30" s="230">
        <v>0</v>
      </c>
      <c r="AO30" s="230">
        <v>0</v>
      </c>
      <c r="AP30" s="230">
        <v>0</v>
      </c>
      <c r="AQ30" s="230">
        <v>0</v>
      </c>
      <c r="AR30" s="230">
        <v>0</v>
      </c>
      <c r="AS30" s="230">
        <v>0</v>
      </c>
      <c r="AT30" s="230">
        <v>0</v>
      </c>
      <c r="AU30" s="230">
        <v>0</v>
      </c>
      <c r="AV30" s="230">
        <v>0</v>
      </c>
      <c r="AW30" s="230">
        <v>176</v>
      </c>
    </row>
    <row r="31" spans="3:49" x14ac:dyDescent="0.3">
      <c r="C31" s="230">
        <v>19</v>
      </c>
      <c r="D31" s="230">
        <v>6</v>
      </c>
      <c r="E31" s="230">
        <v>6</v>
      </c>
      <c r="F31" s="230">
        <v>432358</v>
      </c>
      <c r="G31" s="230">
        <v>0</v>
      </c>
      <c r="H31" s="230">
        <v>0</v>
      </c>
      <c r="I31" s="230">
        <v>0</v>
      </c>
      <c r="J31" s="230">
        <v>0</v>
      </c>
      <c r="K31" s="230">
        <v>255029</v>
      </c>
      <c r="L31" s="230">
        <v>0</v>
      </c>
      <c r="M31" s="230">
        <v>0</v>
      </c>
      <c r="N31" s="230">
        <v>0</v>
      </c>
      <c r="O31" s="230">
        <v>0</v>
      </c>
      <c r="P31" s="230">
        <v>67146</v>
      </c>
      <c r="Q31" s="230">
        <v>86413</v>
      </c>
      <c r="R31" s="230">
        <v>0</v>
      </c>
      <c r="S31" s="230">
        <v>0</v>
      </c>
      <c r="T31" s="230">
        <v>0</v>
      </c>
      <c r="U31" s="230">
        <v>0</v>
      </c>
      <c r="V31" s="230">
        <v>0</v>
      </c>
      <c r="W31" s="230">
        <v>0</v>
      </c>
      <c r="X31" s="230">
        <v>0</v>
      </c>
      <c r="Y31" s="230">
        <v>0</v>
      </c>
      <c r="Z31" s="230">
        <v>0</v>
      </c>
      <c r="AA31" s="230">
        <v>0</v>
      </c>
      <c r="AB31" s="230">
        <v>0</v>
      </c>
      <c r="AC31" s="230">
        <v>0</v>
      </c>
      <c r="AD31" s="230">
        <v>0</v>
      </c>
      <c r="AE31" s="230">
        <v>0</v>
      </c>
      <c r="AF31" s="230">
        <v>0</v>
      </c>
      <c r="AG31" s="230">
        <v>0</v>
      </c>
      <c r="AH31" s="230">
        <v>0</v>
      </c>
      <c r="AI31" s="230">
        <v>0</v>
      </c>
      <c r="AJ31" s="230">
        <v>0</v>
      </c>
      <c r="AK31" s="230">
        <v>0</v>
      </c>
      <c r="AL31" s="230">
        <v>0</v>
      </c>
      <c r="AM31" s="230">
        <v>0</v>
      </c>
      <c r="AN31" s="230">
        <v>0</v>
      </c>
      <c r="AO31" s="230">
        <v>0</v>
      </c>
      <c r="AP31" s="230">
        <v>0</v>
      </c>
      <c r="AQ31" s="230">
        <v>0</v>
      </c>
      <c r="AR31" s="230">
        <v>0</v>
      </c>
      <c r="AS31" s="230">
        <v>0</v>
      </c>
      <c r="AT31" s="230">
        <v>0</v>
      </c>
      <c r="AU31" s="230">
        <v>0</v>
      </c>
      <c r="AV31" s="230">
        <v>0</v>
      </c>
      <c r="AW31" s="230">
        <v>23770</v>
      </c>
    </row>
    <row r="32" spans="3:49" x14ac:dyDescent="0.3">
      <c r="C32" s="230">
        <v>19</v>
      </c>
      <c r="D32" s="230">
        <v>6</v>
      </c>
      <c r="E32" s="230">
        <v>9</v>
      </c>
      <c r="F32" s="230">
        <v>7740</v>
      </c>
      <c r="G32" s="230">
        <v>0</v>
      </c>
      <c r="H32" s="230">
        <v>0</v>
      </c>
      <c r="I32" s="230">
        <v>0</v>
      </c>
      <c r="J32" s="230">
        <v>0</v>
      </c>
      <c r="K32" s="230">
        <v>3340</v>
      </c>
      <c r="L32" s="230">
        <v>0</v>
      </c>
      <c r="M32" s="230">
        <v>0</v>
      </c>
      <c r="N32" s="230">
        <v>0</v>
      </c>
      <c r="O32" s="230">
        <v>0</v>
      </c>
      <c r="P32" s="230">
        <v>700</v>
      </c>
      <c r="Q32" s="230">
        <v>1000</v>
      </c>
      <c r="R32" s="230">
        <v>0</v>
      </c>
      <c r="S32" s="230">
        <v>0</v>
      </c>
      <c r="T32" s="230">
        <v>0</v>
      </c>
      <c r="U32" s="230">
        <v>0</v>
      </c>
      <c r="V32" s="230">
        <v>0</v>
      </c>
      <c r="W32" s="230">
        <v>0</v>
      </c>
      <c r="X32" s="230">
        <v>0</v>
      </c>
      <c r="Y32" s="230">
        <v>0</v>
      </c>
      <c r="Z32" s="230">
        <v>0</v>
      </c>
      <c r="AA32" s="230">
        <v>0</v>
      </c>
      <c r="AB32" s="230">
        <v>0</v>
      </c>
      <c r="AC32" s="230">
        <v>0</v>
      </c>
      <c r="AD32" s="230">
        <v>0</v>
      </c>
      <c r="AE32" s="230">
        <v>0</v>
      </c>
      <c r="AF32" s="230">
        <v>0</v>
      </c>
      <c r="AG32" s="230">
        <v>0</v>
      </c>
      <c r="AH32" s="230">
        <v>0</v>
      </c>
      <c r="AI32" s="230">
        <v>0</v>
      </c>
      <c r="AJ32" s="230">
        <v>0</v>
      </c>
      <c r="AK32" s="230">
        <v>0</v>
      </c>
      <c r="AL32" s="230">
        <v>0</v>
      </c>
      <c r="AM32" s="230">
        <v>0</v>
      </c>
      <c r="AN32" s="230">
        <v>0</v>
      </c>
      <c r="AO32" s="230">
        <v>0</v>
      </c>
      <c r="AP32" s="230">
        <v>0</v>
      </c>
      <c r="AQ32" s="230">
        <v>0</v>
      </c>
      <c r="AR32" s="230">
        <v>0</v>
      </c>
      <c r="AS32" s="230">
        <v>0</v>
      </c>
      <c r="AT32" s="230">
        <v>0</v>
      </c>
      <c r="AU32" s="230">
        <v>0</v>
      </c>
      <c r="AV32" s="230">
        <v>0</v>
      </c>
      <c r="AW32" s="230">
        <v>2700</v>
      </c>
    </row>
    <row r="33" spans="3:49" x14ac:dyDescent="0.3">
      <c r="C33" s="230">
        <v>19</v>
      </c>
      <c r="D33" s="230">
        <v>6</v>
      </c>
      <c r="E33" s="230">
        <v>11</v>
      </c>
      <c r="F33" s="230">
        <v>1270.0381679389313</v>
      </c>
      <c r="G33" s="230">
        <v>0</v>
      </c>
      <c r="H33" s="230">
        <v>0</v>
      </c>
      <c r="I33" s="230">
        <v>0</v>
      </c>
      <c r="J33" s="230">
        <v>1145.0381679389313</v>
      </c>
      <c r="K33" s="230">
        <v>0</v>
      </c>
      <c r="L33" s="230">
        <v>0</v>
      </c>
      <c r="M33" s="230">
        <v>0</v>
      </c>
      <c r="N33" s="230">
        <v>0</v>
      </c>
      <c r="O33" s="230">
        <v>125</v>
      </c>
      <c r="P33" s="230">
        <v>0</v>
      </c>
      <c r="Q33" s="230">
        <v>0</v>
      </c>
      <c r="R33" s="230">
        <v>0</v>
      </c>
      <c r="S33" s="230">
        <v>0</v>
      </c>
      <c r="T33" s="230">
        <v>0</v>
      </c>
      <c r="U33" s="230">
        <v>0</v>
      </c>
      <c r="V33" s="230">
        <v>0</v>
      </c>
      <c r="W33" s="230">
        <v>0</v>
      </c>
      <c r="X33" s="230">
        <v>0</v>
      </c>
      <c r="Y33" s="230">
        <v>0</v>
      </c>
      <c r="Z33" s="230">
        <v>0</v>
      </c>
      <c r="AA33" s="230">
        <v>0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0</v>
      </c>
      <c r="AJ33" s="230">
        <v>0</v>
      </c>
      <c r="AK33" s="230">
        <v>0</v>
      </c>
      <c r="AL33" s="230">
        <v>0</v>
      </c>
      <c r="AM33" s="230">
        <v>0</v>
      </c>
      <c r="AN33" s="230">
        <v>0</v>
      </c>
      <c r="AO33" s="230">
        <v>0</v>
      </c>
      <c r="AP33" s="230">
        <v>0</v>
      </c>
      <c r="AQ33" s="230">
        <v>0</v>
      </c>
      <c r="AR33" s="230">
        <v>0</v>
      </c>
      <c r="AS33" s="230">
        <v>0</v>
      </c>
      <c r="AT33" s="230">
        <v>0</v>
      </c>
      <c r="AU33" s="230">
        <v>0</v>
      </c>
      <c r="AV33" s="230">
        <v>0</v>
      </c>
      <c r="AW33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84" t="s">
        <v>740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</row>
    <row r="2" spans="1:19" ht="14.4" customHeight="1" thickBot="1" x14ac:dyDescent="0.35">
      <c r="A2" s="234" t="s">
        <v>246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1064851</v>
      </c>
      <c r="C3" s="222">
        <f t="shared" ref="C3:R3" si="0">SUBTOTAL(9,C6:C1048576)</f>
        <v>3</v>
      </c>
      <c r="D3" s="222">
        <f>SUBTOTAL(9,D6:D1048576)/2</f>
        <v>1267343.3099999996</v>
      </c>
      <c r="E3" s="222">
        <f t="shared" si="0"/>
        <v>3.4534387570002432</v>
      </c>
      <c r="F3" s="222">
        <f>SUBTOTAL(9,F6:F1048576)/2</f>
        <v>1255301</v>
      </c>
      <c r="G3" s="223">
        <f>IF(B3&lt;&gt;0,F3/B3,"")</f>
        <v>1.1788513134701475</v>
      </c>
      <c r="H3" s="224">
        <f t="shared" si="0"/>
        <v>35300.750000000007</v>
      </c>
      <c r="I3" s="222">
        <f t="shared" si="0"/>
        <v>1</v>
      </c>
      <c r="J3" s="222">
        <f t="shared" si="0"/>
        <v>36005.970000000016</v>
      </c>
      <c r="K3" s="222">
        <f t="shared" si="0"/>
        <v>1.019977479232028</v>
      </c>
      <c r="L3" s="222">
        <f t="shared" si="0"/>
        <v>31648.939999999988</v>
      </c>
      <c r="M3" s="225">
        <f>IF(H3&lt;&gt;0,L3/H3,"")</f>
        <v>0.89655148969922682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85" t="s">
        <v>217</v>
      </c>
      <c r="B4" s="386" t="s">
        <v>99</v>
      </c>
      <c r="C4" s="387"/>
      <c r="D4" s="387"/>
      <c r="E4" s="387"/>
      <c r="F4" s="387"/>
      <c r="G4" s="388"/>
      <c r="H4" s="386" t="s">
        <v>100</v>
      </c>
      <c r="I4" s="387"/>
      <c r="J4" s="387"/>
      <c r="K4" s="387"/>
      <c r="L4" s="387"/>
      <c r="M4" s="388"/>
      <c r="N4" s="386" t="s">
        <v>101</v>
      </c>
      <c r="O4" s="387"/>
      <c r="P4" s="387"/>
      <c r="Q4" s="387"/>
      <c r="R4" s="387"/>
      <c r="S4" s="388"/>
    </row>
    <row r="5" spans="1:19" ht="14.4" customHeight="1" thickBot="1" x14ac:dyDescent="0.35">
      <c r="A5" s="589"/>
      <c r="B5" s="590">
        <v>2014</v>
      </c>
      <c r="C5" s="591"/>
      <c r="D5" s="591">
        <v>2015</v>
      </c>
      <c r="E5" s="591"/>
      <c r="F5" s="591">
        <v>2016</v>
      </c>
      <c r="G5" s="592" t="s">
        <v>2</v>
      </c>
      <c r="H5" s="590">
        <v>2014</v>
      </c>
      <c r="I5" s="591"/>
      <c r="J5" s="591">
        <v>2015</v>
      </c>
      <c r="K5" s="591"/>
      <c r="L5" s="591">
        <v>2016</v>
      </c>
      <c r="M5" s="592" t="s">
        <v>2</v>
      </c>
      <c r="N5" s="590">
        <v>2014</v>
      </c>
      <c r="O5" s="591"/>
      <c r="P5" s="591">
        <v>2015</v>
      </c>
      <c r="Q5" s="591"/>
      <c r="R5" s="591">
        <v>2016</v>
      </c>
      <c r="S5" s="592" t="s">
        <v>2</v>
      </c>
    </row>
    <row r="6" spans="1:19" ht="14.4" customHeight="1" x14ac:dyDescent="0.3">
      <c r="A6" s="546" t="s">
        <v>738</v>
      </c>
      <c r="B6" s="593">
        <v>1008824</v>
      </c>
      <c r="C6" s="445">
        <v>1</v>
      </c>
      <c r="D6" s="593">
        <v>1207605.3099999998</v>
      </c>
      <c r="E6" s="445">
        <v>1.1970426060442652</v>
      </c>
      <c r="F6" s="593">
        <v>1210108</v>
      </c>
      <c r="G6" s="468">
        <v>1.1995234054701316</v>
      </c>
      <c r="H6" s="593">
        <v>35300.750000000007</v>
      </c>
      <c r="I6" s="445">
        <v>1</v>
      </c>
      <c r="J6" s="593">
        <v>36005.970000000016</v>
      </c>
      <c r="K6" s="445">
        <v>1.019977479232028</v>
      </c>
      <c r="L6" s="593">
        <v>31648.939999999988</v>
      </c>
      <c r="M6" s="468">
        <v>0.89655148969922682</v>
      </c>
      <c r="N6" s="593"/>
      <c r="O6" s="445"/>
      <c r="P6" s="593"/>
      <c r="Q6" s="445"/>
      <c r="R6" s="593"/>
      <c r="S6" s="122"/>
    </row>
    <row r="7" spans="1:19" ht="14.4" customHeight="1" thickBot="1" x14ac:dyDescent="0.35">
      <c r="A7" s="595" t="s">
        <v>739</v>
      </c>
      <c r="B7" s="594">
        <v>56027</v>
      </c>
      <c r="C7" s="515">
        <v>1</v>
      </c>
      <c r="D7" s="594">
        <v>59738</v>
      </c>
      <c r="E7" s="515">
        <v>1.0662359219661948</v>
      </c>
      <c r="F7" s="594">
        <v>45193</v>
      </c>
      <c r="G7" s="520">
        <v>0.80662894675781316</v>
      </c>
      <c r="H7" s="594"/>
      <c r="I7" s="515"/>
      <c r="J7" s="594"/>
      <c r="K7" s="515"/>
      <c r="L7" s="594"/>
      <c r="M7" s="520"/>
      <c r="N7" s="594"/>
      <c r="O7" s="515"/>
      <c r="P7" s="594"/>
      <c r="Q7" s="515"/>
      <c r="R7" s="594"/>
      <c r="S7" s="521"/>
    </row>
    <row r="8" spans="1:19" ht="14.4" customHeight="1" thickBot="1" x14ac:dyDescent="0.35"/>
    <row r="9" spans="1:19" ht="14.4" customHeight="1" thickBot="1" x14ac:dyDescent="0.35">
      <c r="A9" s="598" t="s">
        <v>410</v>
      </c>
      <c r="B9" s="596">
        <v>1064851</v>
      </c>
      <c r="C9" s="597">
        <v>1</v>
      </c>
      <c r="D9" s="596">
        <v>1267343.3099999996</v>
      </c>
      <c r="E9" s="597">
        <v>1.1901602289897832</v>
      </c>
      <c r="F9" s="596">
        <v>1255301.0000000002</v>
      </c>
      <c r="G9" s="290">
        <v>1.1788513134701477</v>
      </c>
      <c r="H9" s="596"/>
      <c r="I9" s="597"/>
      <c r="J9" s="596"/>
      <c r="K9" s="597"/>
      <c r="L9" s="596"/>
      <c r="M9" s="290"/>
      <c r="N9" s="596"/>
      <c r="O9" s="597"/>
      <c r="P9" s="596"/>
      <c r="Q9" s="597"/>
      <c r="R9" s="596"/>
      <c r="S9" s="291"/>
    </row>
    <row r="10" spans="1:19" ht="14.4" customHeight="1" x14ac:dyDescent="0.3">
      <c r="A10" s="487" t="s">
        <v>513</v>
      </c>
    </row>
    <row r="11" spans="1:19" ht="14.4" customHeight="1" x14ac:dyDescent="0.3">
      <c r="A11" s="488" t="s">
        <v>514</v>
      </c>
    </row>
    <row r="12" spans="1:19" ht="14.4" customHeight="1" x14ac:dyDescent="0.3">
      <c r="A12" s="487" t="s">
        <v>741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12" t="s">
        <v>121</v>
      </c>
      <c r="B1" s="312"/>
      <c r="C1" s="313"/>
      <c r="D1" s="313"/>
      <c r="E1" s="313"/>
    </row>
    <row r="2" spans="1:5" ht="14.4" customHeight="1" thickBot="1" x14ac:dyDescent="0.35">
      <c r="A2" s="234" t="s">
        <v>246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5032.2601118304174</v>
      </c>
      <c r="D4" s="161">
        <f ca="1">IF(ISERROR(VLOOKUP("Náklady celkem",INDIRECT("HI!$A:$G"),5,0)),0,VLOOKUP("Náklady celkem",INDIRECT("HI!$A:$G"),5,0))</f>
        <v>5064.2478499999988</v>
      </c>
      <c r="E4" s="162">
        <f ca="1">IF(C4=0,0,D4/C4)</f>
        <v>1.0063565351271053</v>
      </c>
    </row>
    <row r="5" spans="1:5" ht="14.4" customHeight="1" x14ac:dyDescent="0.3">
      <c r="A5" s="163" t="s">
        <v>149</v>
      </c>
      <c r="B5" s="164"/>
      <c r="C5" s="165"/>
      <c r="D5" s="165"/>
      <c r="E5" s="166"/>
    </row>
    <row r="6" spans="1:5" ht="14.4" customHeight="1" x14ac:dyDescent="0.3">
      <c r="A6" s="167" t="s">
        <v>154</v>
      </c>
      <c r="B6" s="168"/>
      <c r="C6" s="169"/>
      <c r="D6" s="169"/>
      <c r="E6" s="166"/>
    </row>
    <row r="7" spans="1:5" ht="14.4" customHeight="1" x14ac:dyDescent="0.3">
      <c r="A7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346.01953714096101</v>
      </c>
      <c r="D7" s="169">
        <f>IF(ISERROR(HI!E5),"",HI!E5)</f>
        <v>298.49718000000001</v>
      </c>
      <c r="E7" s="166">
        <f t="shared" ref="E7:E14" si="0">IF(C7=0,0,D7/C7)</f>
        <v>0.86265990199969145</v>
      </c>
    </row>
    <row r="8" spans="1:5" ht="14.4" customHeight="1" x14ac:dyDescent="0.3">
      <c r="A8" s="299" t="str">
        <f>HYPERLINK("#'LŽ Statim'!A1","Podíl statimových žádanek (max. 30%)")</f>
        <v>Podíl statimových žádanek (max. 30%)</v>
      </c>
      <c r="B8" s="297" t="s">
        <v>212</v>
      </c>
      <c r="C8" s="298">
        <v>0.3</v>
      </c>
      <c r="D8" s="298">
        <f>IF('LŽ Statim'!G3="",0,'LŽ Statim'!G3)</f>
        <v>0</v>
      </c>
      <c r="E8" s="166">
        <f>IF(C8=0,0,D8/C8)</f>
        <v>0</v>
      </c>
    </row>
    <row r="9" spans="1:5" ht="14.4" customHeight="1" x14ac:dyDescent="0.3">
      <c r="A9" s="171" t="s">
        <v>150</v>
      </c>
      <c r="B9" s="168"/>
      <c r="C9" s="169"/>
      <c r="D9" s="169"/>
      <c r="E9" s="166"/>
    </row>
    <row r="10" spans="1:5" ht="14.4" customHeight="1" x14ac:dyDescent="0.3">
      <c r="A10" s="299" t="str">
        <f>HYPERLINK("#'Léky Recepty'!A1","Záchyt v lékárně (Úhrada Kč, min. 60%)")</f>
        <v>Záchyt v lékárně (Úhrada Kč, min. 60%)</v>
      </c>
      <c r="B10" s="168" t="s">
        <v>116</v>
      </c>
      <c r="C10" s="170">
        <v>0.6</v>
      </c>
      <c r="D10" s="170">
        <f>IF(ISERROR(VLOOKUP("Celkem",'Léky Recepty'!B:H,5,0)),0,VLOOKUP("Celkem",'Léky Recepty'!B:H,5,0))</f>
        <v>0.77903780402795408</v>
      </c>
      <c r="E10" s="166">
        <f t="shared" si="0"/>
        <v>1.2983963400465901</v>
      </c>
    </row>
    <row r="11" spans="1:5" ht="14.4" customHeight="1" x14ac:dyDescent="0.3">
      <c r="A11" s="299" t="str">
        <f>HYPERLINK("#'LRp PL'!A1","Plnění pozitivního listu (min. 80%)")</f>
        <v>Plnění pozitivního listu (min. 80%)</v>
      </c>
      <c r="B11" s="168" t="s">
        <v>143</v>
      </c>
      <c r="C11" s="170">
        <v>0.8</v>
      </c>
      <c r="D11" s="170">
        <f>IF(ISERROR(VLOOKUP("Celkem",'LRp PL'!A:F,5,0)),0,VLOOKUP("Celkem",'LRp PL'!A:F,5,0))</f>
        <v>0.90489039491298517</v>
      </c>
      <c r="E11" s="166">
        <f t="shared" si="0"/>
        <v>1.1311129936412314</v>
      </c>
    </row>
    <row r="12" spans="1:5" ht="14.4" customHeight="1" x14ac:dyDescent="0.3">
      <c r="A12" s="171" t="s">
        <v>151</v>
      </c>
      <c r="B12" s="168"/>
      <c r="C12" s="169"/>
      <c r="D12" s="169"/>
      <c r="E12" s="166"/>
    </row>
    <row r="13" spans="1:5" ht="14.4" customHeight="1" x14ac:dyDescent="0.3">
      <c r="A13" s="172" t="s">
        <v>155</v>
      </c>
      <c r="B13" s="168"/>
      <c r="C13" s="165"/>
      <c r="D13" s="165"/>
      <c r="E13" s="166"/>
    </row>
    <row r="14" spans="1:5" ht="14.4" customHeight="1" x14ac:dyDescent="0.3">
      <c r="A14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8" t="s">
        <v>111</v>
      </c>
      <c r="C14" s="169">
        <f>IF(ISERROR(HI!F6),"",HI!F6)</f>
        <v>41.271428725961997</v>
      </c>
      <c r="D14" s="169">
        <f>IF(ISERROR(HI!E6),"",HI!E6)</f>
        <v>24.035119999999999</v>
      </c>
      <c r="E14" s="166">
        <f t="shared" si="0"/>
        <v>0.58236704524068461</v>
      </c>
    </row>
    <row r="15" spans="1:5" ht="14.4" customHeight="1" thickBot="1" x14ac:dyDescent="0.35">
      <c r="A15" s="174" t="str">
        <f>HYPERLINK("#HI!A1","Osobní náklady")</f>
        <v>Osobní náklady</v>
      </c>
      <c r="B15" s="168"/>
      <c r="C15" s="165">
        <f ca="1">IF(ISERROR(VLOOKUP("Osobní náklady (Kč) *",INDIRECT("HI!$A:$G"),6,0)),0,VLOOKUP("Osobní náklady (Kč) *",INDIRECT("HI!$A:$G"),6,0))</f>
        <v>3734.00033710363</v>
      </c>
      <c r="D15" s="165">
        <f ca="1">IF(ISERROR(VLOOKUP("Osobní náklady (Kč) *",INDIRECT("HI!$A:$G"),5,0)),0,VLOOKUP("Osobní náklady (Kč) *",INDIRECT("HI!$A:$G"),5,0))</f>
        <v>3747.8697099999999</v>
      </c>
      <c r="E15" s="166">
        <f ca="1">IF(C15=0,0,D15/C15)</f>
        <v>1.0037143469856054</v>
      </c>
    </row>
    <row r="16" spans="1:5" ht="14.4" customHeight="1" thickBot="1" x14ac:dyDescent="0.35">
      <c r="A16" s="178"/>
      <c r="B16" s="179"/>
      <c r="C16" s="180"/>
      <c r="D16" s="180"/>
      <c r="E16" s="181"/>
    </row>
    <row r="17" spans="1:5" ht="14.4" customHeight="1" thickBot="1" x14ac:dyDescent="0.35">
      <c r="A17" s="182" t="str">
        <f>HYPERLINK("#HI!A1","VÝNOSY CELKEM (v tisících)")</f>
        <v>VÝNOSY CELKEM (v tisících)</v>
      </c>
      <c r="B17" s="183"/>
      <c r="C17" s="184">
        <f ca="1">IF(ISERROR(VLOOKUP("Výnosy celkem",INDIRECT("HI!$A:$G"),6,0)),0,VLOOKUP("Výnosy celkem",INDIRECT("HI!$A:$G"),6,0))</f>
        <v>1064.8510000000001</v>
      </c>
      <c r="D17" s="184">
        <f ca="1">IF(ISERROR(VLOOKUP("Výnosy celkem",INDIRECT("HI!$A:$G"),5,0)),0,VLOOKUP("Výnosy celkem",INDIRECT("HI!$A:$G"),5,0))</f>
        <v>1255.3009999999999</v>
      </c>
      <c r="E17" s="185">
        <f t="shared" ref="E17:E20" ca="1" si="1">IF(C17=0,0,D17/C17)</f>
        <v>1.1788513134701473</v>
      </c>
    </row>
    <row r="18" spans="1:5" ht="14.4" customHeight="1" x14ac:dyDescent="0.3">
      <c r="A18" s="186" t="str">
        <f>HYPERLINK("#HI!A1","Ambulance (body za výkony + Kč za ZUM a ZULP)")</f>
        <v>Ambulance (body za výkony + Kč za ZUM a ZULP)</v>
      </c>
      <c r="B18" s="164"/>
      <c r="C18" s="165">
        <f ca="1">IF(ISERROR(VLOOKUP("Ambulance *",INDIRECT("HI!$A:$G"),6,0)),0,VLOOKUP("Ambulance *",INDIRECT("HI!$A:$G"),6,0))</f>
        <v>1064.8510000000001</v>
      </c>
      <c r="D18" s="165">
        <f ca="1">IF(ISERROR(VLOOKUP("Ambulance *",INDIRECT("HI!$A:$G"),5,0)),0,VLOOKUP("Ambulance *",INDIRECT("HI!$A:$G"),5,0))</f>
        <v>1255.3009999999999</v>
      </c>
      <c r="E18" s="166">
        <f t="shared" ca="1" si="1"/>
        <v>1.1788513134701473</v>
      </c>
    </row>
    <row r="19" spans="1:5" ht="14.4" customHeight="1" x14ac:dyDescent="0.3">
      <c r="A19" s="187" t="str">
        <f>HYPERLINK("#'ZV Vykáz.-A'!A1","Zdravotní výkony vykázané u ambulantních pacientů (min. 100 %)")</f>
        <v>Zdravotní výkony vykázané u ambulantních pacientů (min. 100 %)</v>
      </c>
      <c r="B19" s="151" t="s">
        <v>123</v>
      </c>
      <c r="C19" s="170">
        <v>1</v>
      </c>
      <c r="D19" s="170">
        <f>IF(ISERROR(VLOOKUP("Celkem:",'ZV Vykáz.-A'!$A:$S,7,0)),"",VLOOKUP("Celkem:",'ZV Vykáz.-A'!$A:$S,7,0))</f>
        <v>1.1788513134701475</v>
      </c>
      <c r="E19" s="166">
        <f t="shared" si="1"/>
        <v>1.1788513134701475</v>
      </c>
    </row>
    <row r="20" spans="1:5" ht="14.4" customHeight="1" x14ac:dyDescent="0.3">
      <c r="A20" s="187" t="str">
        <f>HYPERLINK("#'ZV Vykáz.-H'!A1","Zdravotní výkony vykázané u hospitalizovaných pacientů (max. 85 %)")</f>
        <v>Zdravotní výkony vykázané u hospitalizovaných pacientů (max. 85 %)</v>
      </c>
      <c r="B20" s="151" t="s">
        <v>125</v>
      </c>
      <c r="C20" s="170">
        <v>0.85</v>
      </c>
      <c r="D20" s="170">
        <f>IF(ISERROR(VLOOKUP("Celkem:",'ZV Vykáz.-H'!$A:$S,7,0)),"",VLOOKUP("Celkem:",'ZV Vykáz.-H'!$A:$S,7,0))</f>
        <v>0.18047517065988489</v>
      </c>
      <c r="E20" s="166">
        <f t="shared" si="1"/>
        <v>0.21232373018809989</v>
      </c>
    </row>
    <row r="21" spans="1:5" ht="14.4" customHeight="1" x14ac:dyDescent="0.3">
      <c r="A21" s="188" t="str">
        <f>HYPERLINK("#HI!A1","Hospitalizace (casemix * 30000)")</f>
        <v>Hospitalizace (casemix * 30000)</v>
      </c>
      <c r="B21" s="168"/>
      <c r="C21" s="165">
        <f ca="1">IF(ISERROR(VLOOKUP("Hospitalizace *",INDIRECT("HI!$A:$G"),6,0)),0,VLOOKUP("Hospitalizace *",INDIRECT("HI!$A:$G"),6,0))</f>
        <v>0</v>
      </c>
      <c r="D21" s="165">
        <f ca="1">IF(ISERROR(VLOOKUP("Hospitalizace *",INDIRECT("HI!$A:$G"),5,0)),0,VLOOKUP("Hospitalizace *",INDIRECT("HI!$A:$G"),5,0))</f>
        <v>0</v>
      </c>
      <c r="E21" s="166">
        <f ca="1">IF(C21=0,0,D21/C21)</f>
        <v>0</v>
      </c>
    </row>
    <row r="22" spans="1:5" ht="14.4" customHeight="1" thickBot="1" x14ac:dyDescent="0.35">
      <c r="A22" s="189" t="s">
        <v>152</v>
      </c>
      <c r="B22" s="175"/>
      <c r="C22" s="176"/>
      <c r="D22" s="176"/>
      <c r="E22" s="177"/>
    </row>
    <row r="23" spans="1:5" ht="14.4" customHeight="1" thickBot="1" x14ac:dyDescent="0.35">
      <c r="A23" s="190"/>
      <c r="B23" s="191"/>
      <c r="C23" s="192"/>
      <c r="D23" s="192"/>
      <c r="E23" s="193"/>
    </row>
    <row r="24" spans="1:5" ht="14.4" customHeight="1" thickBot="1" x14ac:dyDescent="0.35">
      <c r="A24" s="194" t="s">
        <v>153</v>
      </c>
      <c r="B24" s="195"/>
      <c r="C24" s="196"/>
      <c r="D24" s="196"/>
      <c r="E24" s="197"/>
    </row>
  </sheetData>
  <mergeCells count="1">
    <mergeCell ref="A1:E1"/>
  </mergeCells>
  <conditionalFormatting sqref="E5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61" priority="20" operator="lessThan">
      <formula>1</formula>
    </cfRule>
  </conditionalFormatting>
  <conditionalFormatting sqref="E8">
    <cfRule type="cellIs" dxfId="6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84" t="s">
        <v>745</v>
      </c>
      <c r="B1" s="312"/>
      <c r="C1" s="312"/>
      <c r="D1" s="312"/>
      <c r="E1" s="312"/>
      <c r="F1" s="312"/>
      <c r="G1" s="312"/>
    </row>
    <row r="2" spans="1:7" ht="14.4" customHeight="1" thickBot="1" x14ac:dyDescent="0.35">
      <c r="A2" s="234" t="s">
        <v>246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02">
        <f t="shared" ref="B3:G3" si="0">SUBTOTAL(9,B6:B1048576)</f>
        <v>9447</v>
      </c>
      <c r="C3" s="303">
        <f t="shared" si="0"/>
        <v>10776</v>
      </c>
      <c r="D3" s="303">
        <f t="shared" si="0"/>
        <v>10255</v>
      </c>
      <c r="E3" s="224">
        <f t="shared" si="0"/>
        <v>1064851</v>
      </c>
      <c r="F3" s="222">
        <f t="shared" si="0"/>
        <v>1267343.31</v>
      </c>
      <c r="G3" s="304">
        <f t="shared" si="0"/>
        <v>1255301.0000000002</v>
      </c>
    </row>
    <row r="4" spans="1:7" ht="14.4" customHeight="1" x14ac:dyDescent="0.3">
      <c r="A4" s="385" t="s">
        <v>135</v>
      </c>
      <c r="B4" s="386" t="s">
        <v>214</v>
      </c>
      <c r="C4" s="387"/>
      <c r="D4" s="387"/>
      <c r="E4" s="389" t="s">
        <v>99</v>
      </c>
      <c r="F4" s="390"/>
      <c r="G4" s="391"/>
    </row>
    <row r="5" spans="1:7" ht="14.4" customHeight="1" thickBot="1" x14ac:dyDescent="0.35">
      <c r="A5" s="589"/>
      <c r="B5" s="590">
        <v>2014</v>
      </c>
      <c r="C5" s="591">
        <v>2015</v>
      </c>
      <c r="D5" s="591">
        <v>2016</v>
      </c>
      <c r="E5" s="590">
        <v>2014</v>
      </c>
      <c r="F5" s="591">
        <v>2015</v>
      </c>
      <c r="G5" s="591">
        <v>2016</v>
      </c>
    </row>
    <row r="6" spans="1:7" ht="14.4" customHeight="1" x14ac:dyDescent="0.3">
      <c r="A6" s="546" t="s">
        <v>742</v>
      </c>
      <c r="B6" s="448">
        <v>2126</v>
      </c>
      <c r="C6" s="448">
        <v>3454</v>
      </c>
      <c r="D6" s="448">
        <v>1782</v>
      </c>
      <c r="E6" s="593">
        <v>116671</v>
      </c>
      <c r="F6" s="593">
        <v>212757</v>
      </c>
      <c r="G6" s="599">
        <v>157214.66</v>
      </c>
    </row>
    <row r="7" spans="1:7" ht="14.4" customHeight="1" x14ac:dyDescent="0.3">
      <c r="A7" s="547" t="s">
        <v>516</v>
      </c>
      <c r="B7" s="535">
        <v>3018</v>
      </c>
      <c r="C7" s="535">
        <v>3295</v>
      </c>
      <c r="D7" s="535">
        <v>3341</v>
      </c>
      <c r="E7" s="600">
        <v>277294</v>
      </c>
      <c r="F7" s="600">
        <v>332062.66000000003</v>
      </c>
      <c r="G7" s="601">
        <v>332307.67000000004</v>
      </c>
    </row>
    <row r="8" spans="1:7" ht="14.4" customHeight="1" x14ac:dyDescent="0.3">
      <c r="A8" s="547" t="s">
        <v>743</v>
      </c>
      <c r="B8" s="535">
        <v>23</v>
      </c>
      <c r="C8" s="535">
        <v>9</v>
      </c>
      <c r="D8" s="535"/>
      <c r="E8" s="600">
        <v>4771</v>
      </c>
      <c r="F8" s="600">
        <v>1293</v>
      </c>
      <c r="G8" s="601"/>
    </row>
    <row r="9" spans="1:7" ht="14.4" customHeight="1" x14ac:dyDescent="0.3">
      <c r="A9" s="547" t="s">
        <v>517</v>
      </c>
      <c r="B9" s="535">
        <v>1629</v>
      </c>
      <c r="C9" s="535">
        <v>1655</v>
      </c>
      <c r="D9" s="535">
        <v>1954</v>
      </c>
      <c r="E9" s="600">
        <v>250043</v>
      </c>
      <c r="F9" s="600">
        <v>291041.65999999992</v>
      </c>
      <c r="G9" s="601">
        <v>285971</v>
      </c>
    </row>
    <row r="10" spans="1:7" ht="14.4" customHeight="1" x14ac:dyDescent="0.3">
      <c r="A10" s="547" t="s">
        <v>518</v>
      </c>
      <c r="B10" s="535">
        <v>36</v>
      </c>
      <c r="C10" s="535">
        <v>61</v>
      </c>
      <c r="D10" s="535">
        <v>99</v>
      </c>
      <c r="E10" s="600">
        <v>5154</v>
      </c>
      <c r="F10" s="600">
        <v>9785.99</v>
      </c>
      <c r="G10" s="601">
        <v>17792.330000000002</v>
      </c>
    </row>
    <row r="11" spans="1:7" ht="14.4" customHeight="1" x14ac:dyDescent="0.3">
      <c r="A11" s="547" t="s">
        <v>519</v>
      </c>
      <c r="B11" s="535">
        <v>1493</v>
      </c>
      <c r="C11" s="535">
        <v>1525</v>
      </c>
      <c r="D11" s="535">
        <v>2207</v>
      </c>
      <c r="E11" s="600">
        <v>255743</v>
      </c>
      <c r="F11" s="600">
        <v>322433.67</v>
      </c>
      <c r="G11" s="601">
        <v>362370.33000000007</v>
      </c>
    </row>
    <row r="12" spans="1:7" ht="14.4" customHeight="1" x14ac:dyDescent="0.3">
      <c r="A12" s="547" t="s">
        <v>744</v>
      </c>
      <c r="B12" s="535"/>
      <c r="C12" s="535"/>
      <c r="D12" s="535">
        <v>1</v>
      </c>
      <c r="E12" s="600"/>
      <c r="F12" s="600"/>
      <c r="G12" s="601">
        <v>74</v>
      </c>
    </row>
    <row r="13" spans="1:7" ht="14.4" customHeight="1" thickBot="1" x14ac:dyDescent="0.35">
      <c r="A13" s="595" t="s">
        <v>520</v>
      </c>
      <c r="B13" s="537">
        <v>1122</v>
      </c>
      <c r="C13" s="537">
        <v>777</v>
      </c>
      <c r="D13" s="537">
        <v>871</v>
      </c>
      <c r="E13" s="594">
        <v>155175</v>
      </c>
      <c r="F13" s="594">
        <v>97969.33</v>
      </c>
      <c r="G13" s="602">
        <v>99571.01</v>
      </c>
    </row>
    <row r="14" spans="1:7" ht="14.4" customHeight="1" x14ac:dyDescent="0.3">
      <c r="A14" s="487" t="s">
        <v>513</v>
      </c>
    </row>
    <row r="15" spans="1:7" ht="14.4" customHeight="1" x14ac:dyDescent="0.3">
      <c r="A15" s="488" t="s">
        <v>514</v>
      </c>
    </row>
    <row r="16" spans="1:7" ht="14.4" customHeight="1" x14ac:dyDescent="0.3">
      <c r="A16" s="487" t="s">
        <v>741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4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12" t="s">
        <v>820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ht="14.4" customHeight="1" thickBot="1" x14ac:dyDescent="0.35">
      <c r="A2" s="234" t="s">
        <v>246</v>
      </c>
      <c r="B2" s="307"/>
      <c r="C2" s="131"/>
      <c r="D2" s="301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11232.1</v>
      </c>
      <c r="G3" s="103">
        <f t="shared" si="0"/>
        <v>1100151.75</v>
      </c>
      <c r="H3" s="74"/>
      <c r="I3" s="74"/>
      <c r="J3" s="103">
        <f t="shared" si="0"/>
        <v>12787.8</v>
      </c>
      <c r="K3" s="103">
        <f t="shared" si="0"/>
        <v>1303349.28</v>
      </c>
      <c r="L3" s="74"/>
      <c r="M3" s="74"/>
      <c r="N3" s="103">
        <f t="shared" si="0"/>
        <v>12344.7</v>
      </c>
      <c r="O3" s="103">
        <f t="shared" si="0"/>
        <v>1286949.94</v>
      </c>
      <c r="P3" s="75">
        <f>IF(G3=0,0,O3/G3)</f>
        <v>1.1697931126319618</v>
      </c>
      <c r="Q3" s="104">
        <f>IF(N3=0,0,O3/N3)</f>
        <v>104.2512122611323</v>
      </c>
    </row>
    <row r="4" spans="1:17" ht="14.4" customHeight="1" x14ac:dyDescent="0.3">
      <c r="A4" s="393" t="s">
        <v>95</v>
      </c>
      <c r="B4" s="400" t="s">
        <v>0</v>
      </c>
      <c r="C4" s="394" t="s">
        <v>96</v>
      </c>
      <c r="D4" s="399" t="s">
        <v>71</v>
      </c>
      <c r="E4" s="395" t="s">
        <v>70</v>
      </c>
      <c r="F4" s="396">
        <v>2014</v>
      </c>
      <c r="G4" s="397"/>
      <c r="H4" s="101"/>
      <c r="I4" s="101"/>
      <c r="J4" s="396">
        <v>2015</v>
      </c>
      <c r="K4" s="397"/>
      <c r="L4" s="101"/>
      <c r="M4" s="101"/>
      <c r="N4" s="396">
        <v>2016</v>
      </c>
      <c r="O4" s="397"/>
      <c r="P4" s="398" t="s">
        <v>2</v>
      </c>
      <c r="Q4" s="392" t="s">
        <v>98</v>
      </c>
    </row>
    <row r="5" spans="1:17" ht="14.4" customHeight="1" thickBot="1" x14ac:dyDescent="0.35">
      <c r="A5" s="603"/>
      <c r="B5" s="604"/>
      <c r="C5" s="605"/>
      <c r="D5" s="606"/>
      <c r="E5" s="607"/>
      <c r="F5" s="608" t="s">
        <v>72</v>
      </c>
      <c r="G5" s="609" t="s">
        <v>14</v>
      </c>
      <c r="H5" s="610"/>
      <c r="I5" s="610"/>
      <c r="J5" s="608" t="s">
        <v>72</v>
      </c>
      <c r="K5" s="609" t="s">
        <v>14</v>
      </c>
      <c r="L5" s="610"/>
      <c r="M5" s="610"/>
      <c r="N5" s="608" t="s">
        <v>72</v>
      </c>
      <c r="O5" s="609" t="s">
        <v>14</v>
      </c>
      <c r="P5" s="611"/>
      <c r="Q5" s="612"/>
    </row>
    <row r="6" spans="1:17" ht="14.4" customHeight="1" x14ac:dyDescent="0.3">
      <c r="A6" s="507" t="s">
        <v>746</v>
      </c>
      <c r="B6" s="445" t="s">
        <v>410</v>
      </c>
      <c r="C6" s="445" t="s">
        <v>747</v>
      </c>
      <c r="D6" s="445" t="s">
        <v>748</v>
      </c>
      <c r="E6" s="445" t="s">
        <v>749</v>
      </c>
      <c r="F6" s="448">
        <v>267</v>
      </c>
      <c r="G6" s="448">
        <v>15100.359999999999</v>
      </c>
      <c r="H6" s="445">
        <v>1</v>
      </c>
      <c r="I6" s="445">
        <v>56.555655430711603</v>
      </c>
      <c r="J6" s="448">
        <v>300.59999999999997</v>
      </c>
      <c r="K6" s="448">
        <v>16262.459999999997</v>
      </c>
      <c r="L6" s="445">
        <v>1.0769584301301425</v>
      </c>
      <c r="M6" s="445">
        <v>54.099999999999994</v>
      </c>
      <c r="N6" s="448">
        <v>319.99999999999994</v>
      </c>
      <c r="O6" s="448">
        <v>17312</v>
      </c>
      <c r="P6" s="468">
        <v>1.146462733338808</v>
      </c>
      <c r="Q6" s="534">
        <v>54.100000000000009</v>
      </c>
    </row>
    <row r="7" spans="1:17" ht="14.4" customHeight="1" x14ac:dyDescent="0.3">
      <c r="A7" s="522" t="s">
        <v>746</v>
      </c>
      <c r="B7" s="523" t="s">
        <v>410</v>
      </c>
      <c r="C7" s="523" t="s">
        <v>747</v>
      </c>
      <c r="D7" s="523" t="s">
        <v>750</v>
      </c>
      <c r="E7" s="523" t="s">
        <v>751</v>
      </c>
      <c r="F7" s="535"/>
      <c r="G7" s="535"/>
      <c r="H7" s="523"/>
      <c r="I7" s="523"/>
      <c r="J7" s="535">
        <v>3.4000000000000004</v>
      </c>
      <c r="K7" s="535">
        <v>368.04999999999995</v>
      </c>
      <c r="L7" s="523"/>
      <c r="M7" s="523">
        <v>108.24999999999997</v>
      </c>
      <c r="N7" s="535"/>
      <c r="O7" s="535"/>
      <c r="P7" s="528"/>
      <c r="Q7" s="536"/>
    </row>
    <row r="8" spans="1:17" ht="14.4" customHeight="1" x14ac:dyDescent="0.3">
      <c r="A8" s="522" t="s">
        <v>746</v>
      </c>
      <c r="B8" s="523" t="s">
        <v>410</v>
      </c>
      <c r="C8" s="523" t="s">
        <v>747</v>
      </c>
      <c r="D8" s="523" t="s">
        <v>752</v>
      </c>
      <c r="E8" s="523" t="s">
        <v>753</v>
      </c>
      <c r="F8" s="535">
        <v>0.1</v>
      </c>
      <c r="G8" s="535">
        <v>13.65</v>
      </c>
      <c r="H8" s="523">
        <v>1</v>
      </c>
      <c r="I8" s="523">
        <v>136.5</v>
      </c>
      <c r="J8" s="535"/>
      <c r="K8" s="535"/>
      <c r="L8" s="523"/>
      <c r="M8" s="523"/>
      <c r="N8" s="535"/>
      <c r="O8" s="535"/>
      <c r="P8" s="528"/>
      <c r="Q8" s="536"/>
    </row>
    <row r="9" spans="1:17" ht="14.4" customHeight="1" x14ac:dyDescent="0.3">
      <c r="A9" s="522" t="s">
        <v>746</v>
      </c>
      <c r="B9" s="523" t="s">
        <v>410</v>
      </c>
      <c r="C9" s="523" t="s">
        <v>747</v>
      </c>
      <c r="D9" s="523" t="s">
        <v>754</v>
      </c>
      <c r="E9" s="523" t="s">
        <v>755</v>
      </c>
      <c r="F9" s="535">
        <v>1.4</v>
      </c>
      <c r="G9" s="535">
        <v>108.99000000000001</v>
      </c>
      <c r="H9" s="523">
        <v>1</v>
      </c>
      <c r="I9" s="523">
        <v>77.850000000000009</v>
      </c>
      <c r="J9" s="535"/>
      <c r="K9" s="535"/>
      <c r="L9" s="523"/>
      <c r="M9" s="523"/>
      <c r="N9" s="535"/>
      <c r="O9" s="535"/>
      <c r="P9" s="528"/>
      <c r="Q9" s="536"/>
    </row>
    <row r="10" spans="1:17" ht="14.4" customHeight="1" x14ac:dyDescent="0.3">
      <c r="A10" s="522" t="s">
        <v>746</v>
      </c>
      <c r="B10" s="523" t="s">
        <v>410</v>
      </c>
      <c r="C10" s="523" t="s">
        <v>747</v>
      </c>
      <c r="D10" s="523" t="s">
        <v>756</v>
      </c>
      <c r="E10" s="523" t="s">
        <v>757</v>
      </c>
      <c r="F10" s="535">
        <v>18.8</v>
      </c>
      <c r="G10" s="535">
        <v>1981.64</v>
      </c>
      <c r="H10" s="523">
        <v>1</v>
      </c>
      <c r="I10" s="523">
        <v>105.4063829787234</v>
      </c>
      <c r="J10" s="535">
        <v>15.3</v>
      </c>
      <c r="K10" s="535">
        <v>974.87999999999988</v>
      </c>
      <c r="L10" s="523">
        <v>0.4919561575260894</v>
      </c>
      <c r="M10" s="523">
        <v>63.717647058823516</v>
      </c>
      <c r="N10" s="535">
        <v>15.1</v>
      </c>
      <c r="O10" s="535">
        <v>927.14</v>
      </c>
      <c r="P10" s="528">
        <v>0.46786500070648551</v>
      </c>
      <c r="Q10" s="536">
        <v>61.4</v>
      </c>
    </row>
    <row r="11" spans="1:17" ht="14.4" customHeight="1" x14ac:dyDescent="0.3">
      <c r="A11" s="522" t="s">
        <v>746</v>
      </c>
      <c r="B11" s="523" t="s">
        <v>410</v>
      </c>
      <c r="C11" s="523" t="s">
        <v>747</v>
      </c>
      <c r="D11" s="523" t="s">
        <v>758</v>
      </c>
      <c r="E11" s="523" t="s">
        <v>759</v>
      </c>
      <c r="F11" s="535">
        <v>8.8000000000000007</v>
      </c>
      <c r="G11" s="535">
        <v>973.34</v>
      </c>
      <c r="H11" s="523">
        <v>1</v>
      </c>
      <c r="I11" s="523">
        <v>110.60681818181817</v>
      </c>
      <c r="J11" s="535">
        <v>15.5</v>
      </c>
      <c r="K11" s="535">
        <v>2697.02</v>
      </c>
      <c r="L11" s="523">
        <v>2.7708919801919163</v>
      </c>
      <c r="M11" s="523">
        <v>174.00129032258064</v>
      </c>
      <c r="N11" s="535">
        <v>9.6000000000000014</v>
      </c>
      <c r="O11" s="535">
        <v>1699.2000000000003</v>
      </c>
      <c r="P11" s="528">
        <v>1.7457414675241953</v>
      </c>
      <c r="Q11" s="536">
        <v>177</v>
      </c>
    </row>
    <row r="12" spans="1:17" ht="14.4" customHeight="1" x14ac:dyDescent="0.3">
      <c r="A12" s="522" t="s">
        <v>746</v>
      </c>
      <c r="B12" s="523" t="s">
        <v>410</v>
      </c>
      <c r="C12" s="523" t="s">
        <v>747</v>
      </c>
      <c r="D12" s="523" t="s">
        <v>760</v>
      </c>
      <c r="E12" s="523"/>
      <c r="F12" s="535">
        <v>25</v>
      </c>
      <c r="G12" s="535">
        <v>236.25</v>
      </c>
      <c r="H12" s="523">
        <v>1</v>
      </c>
      <c r="I12" s="523">
        <v>9.4499999999999993</v>
      </c>
      <c r="J12" s="535"/>
      <c r="K12" s="535"/>
      <c r="L12" s="523"/>
      <c r="M12" s="523"/>
      <c r="N12" s="535"/>
      <c r="O12" s="535"/>
      <c r="P12" s="528"/>
      <c r="Q12" s="536"/>
    </row>
    <row r="13" spans="1:17" ht="14.4" customHeight="1" x14ac:dyDescent="0.3">
      <c r="A13" s="522" t="s">
        <v>746</v>
      </c>
      <c r="B13" s="523" t="s">
        <v>410</v>
      </c>
      <c r="C13" s="523" t="s">
        <v>747</v>
      </c>
      <c r="D13" s="523" t="s">
        <v>761</v>
      </c>
      <c r="E13" s="523"/>
      <c r="F13" s="535">
        <v>1067</v>
      </c>
      <c r="G13" s="535">
        <v>4033.26</v>
      </c>
      <c r="H13" s="523">
        <v>1</v>
      </c>
      <c r="I13" s="523">
        <v>3.7800000000000002</v>
      </c>
      <c r="J13" s="535"/>
      <c r="K13" s="535"/>
      <c r="L13" s="523"/>
      <c r="M13" s="523"/>
      <c r="N13" s="535"/>
      <c r="O13" s="535"/>
      <c r="P13" s="528"/>
      <c r="Q13" s="536"/>
    </row>
    <row r="14" spans="1:17" ht="14.4" customHeight="1" x14ac:dyDescent="0.3">
      <c r="A14" s="522" t="s">
        <v>746</v>
      </c>
      <c r="B14" s="523" t="s">
        <v>410</v>
      </c>
      <c r="C14" s="523" t="s">
        <v>747</v>
      </c>
      <c r="D14" s="523" t="s">
        <v>762</v>
      </c>
      <c r="E14" s="523" t="s">
        <v>763</v>
      </c>
      <c r="F14" s="535">
        <v>204</v>
      </c>
      <c r="G14" s="535">
        <v>12123.720000000001</v>
      </c>
      <c r="H14" s="523">
        <v>1</v>
      </c>
      <c r="I14" s="523">
        <v>59.430000000000007</v>
      </c>
      <c r="J14" s="535">
        <v>181</v>
      </c>
      <c r="K14" s="535">
        <v>10288.039999999999</v>
      </c>
      <c r="L14" s="523">
        <v>0.84858772719924236</v>
      </c>
      <c r="M14" s="523">
        <v>56.839999999999996</v>
      </c>
      <c r="N14" s="535">
        <v>109</v>
      </c>
      <c r="O14" s="535">
        <v>7718.76</v>
      </c>
      <c r="P14" s="528">
        <v>0.63666597381001866</v>
      </c>
      <c r="Q14" s="536">
        <v>70.814311926605512</v>
      </c>
    </row>
    <row r="15" spans="1:17" ht="14.4" customHeight="1" x14ac:dyDescent="0.3">
      <c r="A15" s="522" t="s">
        <v>746</v>
      </c>
      <c r="B15" s="523" t="s">
        <v>410</v>
      </c>
      <c r="C15" s="523" t="s">
        <v>747</v>
      </c>
      <c r="D15" s="523" t="s">
        <v>764</v>
      </c>
      <c r="E15" s="523" t="s">
        <v>765</v>
      </c>
      <c r="F15" s="535">
        <v>193</v>
      </c>
      <c r="G15" s="535">
        <v>729.54000000000008</v>
      </c>
      <c r="H15" s="523">
        <v>1</v>
      </c>
      <c r="I15" s="523">
        <v>3.7800000000000002</v>
      </c>
      <c r="J15" s="535">
        <v>1496</v>
      </c>
      <c r="K15" s="535">
        <v>5415.5199999999995</v>
      </c>
      <c r="L15" s="523">
        <v>7.4231981796748618</v>
      </c>
      <c r="M15" s="523">
        <v>3.6199999999999997</v>
      </c>
      <c r="N15" s="535">
        <v>1636</v>
      </c>
      <c r="O15" s="535">
        <v>3991.84</v>
      </c>
      <c r="P15" s="528">
        <v>5.4717219069550671</v>
      </c>
      <c r="Q15" s="536">
        <v>2.44</v>
      </c>
    </row>
    <row r="16" spans="1:17" ht="14.4" customHeight="1" x14ac:dyDescent="0.3">
      <c r="A16" s="522" t="s">
        <v>746</v>
      </c>
      <c r="B16" s="523" t="s">
        <v>410</v>
      </c>
      <c r="C16" s="523" t="s">
        <v>766</v>
      </c>
      <c r="D16" s="523" t="s">
        <v>767</v>
      </c>
      <c r="E16" s="523" t="s">
        <v>768</v>
      </c>
      <c r="F16" s="535">
        <v>50</v>
      </c>
      <c r="G16" s="535">
        <v>8471</v>
      </c>
      <c r="H16" s="523">
        <v>1</v>
      </c>
      <c r="I16" s="523">
        <v>169.42</v>
      </c>
      <c r="J16" s="535">
        <v>45</v>
      </c>
      <c r="K16" s="535">
        <v>7695</v>
      </c>
      <c r="L16" s="523">
        <v>0.90839334199031996</v>
      </c>
      <c r="M16" s="523">
        <v>171</v>
      </c>
      <c r="N16" s="535">
        <v>64</v>
      </c>
      <c r="O16" s="535">
        <v>11712</v>
      </c>
      <c r="P16" s="528">
        <v>1.3825994569708417</v>
      </c>
      <c r="Q16" s="536">
        <v>183</v>
      </c>
    </row>
    <row r="17" spans="1:17" ht="14.4" customHeight="1" x14ac:dyDescent="0.3">
      <c r="A17" s="522" t="s">
        <v>746</v>
      </c>
      <c r="B17" s="523" t="s">
        <v>410</v>
      </c>
      <c r="C17" s="523" t="s">
        <v>766</v>
      </c>
      <c r="D17" s="523" t="s">
        <v>769</v>
      </c>
      <c r="E17" s="523" t="s">
        <v>770</v>
      </c>
      <c r="F17" s="535">
        <v>61</v>
      </c>
      <c r="G17" s="535">
        <v>6862</v>
      </c>
      <c r="H17" s="523">
        <v>1</v>
      </c>
      <c r="I17" s="523">
        <v>112.49180327868852</v>
      </c>
      <c r="J17" s="535">
        <v>29</v>
      </c>
      <c r="K17" s="535">
        <v>3277</v>
      </c>
      <c r="L17" s="523">
        <v>0.47755756339259692</v>
      </c>
      <c r="M17" s="523">
        <v>113</v>
      </c>
      <c r="N17" s="535">
        <v>39</v>
      </c>
      <c r="O17" s="535">
        <v>4758</v>
      </c>
      <c r="P17" s="528">
        <v>0.69338385310405126</v>
      </c>
      <c r="Q17" s="536">
        <v>122</v>
      </c>
    </row>
    <row r="18" spans="1:17" ht="14.4" customHeight="1" x14ac:dyDescent="0.3">
      <c r="A18" s="522" t="s">
        <v>746</v>
      </c>
      <c r="B18" s="523" t="s">
        <v>410</v>
      </c>
      <c r="C18" s="523" t="s">
        <v>766</v>
      </c>
      <c r="D18" s="523" t="s">
        <v>771</v>
      </c>
      <c r="E18" s="523" t="s">
        <v>772</v>
      </c>
      <c r="F18" s="535">
        <v>2039</v>
      </c>
      <c r="G18" s="535">
        <v>70406</v>
      </c>
      <c r="H18" s="523">
        <v>1</v>
      </c>
      <c r="I18" s="523">
        <v>34.529671407552719</v>
      </c>
      <c r="J18" s="535">
        <v>2009</v>
      </c>
      <c r="K18" s="535">
        <v>70315</v>
      </c>
      <c r="L18" s="523">
        <v>0.99870749652018298</v>
      </c>
      <c r="M18" s="523">
        <v>35</v>
      </c>
      <c r="N18" s="535">
        <v>2133</v>
      </c>
      <c r="O18" s="535">
        <v>78921</v>
      </c>
      <c r="P18" s="528">
        <v>1.120941397040025</v>
      </c>
      <c r="Q18" s="536">
        <v>37</v>
      </c>
    </row>
    <row r="19" spans="1:17" ht="14.4" customHeight="1" x14ac:dyDescent="0.3">
      <c r="A19" s="522" t="s">
        <v>746</v>
      </c>
      <c r="B19" s="523" t="s">
        <v>410</v>
      </c>
      <c r="C19" s="523" t="s">
        <v>766</v>
      </c>
      <c r="D19" s="523" t="s">
        <v>773</v>
      </c>
      <c r="E19" s="523" t="s">
        <v>774</v>
      </c>
      <c r="F19" s="535">
        <v>455</v>
      </c>
      <c r="G19" s="535">
        <v>4550</v>
      </c>
      <c r="H19" s="523">
        <v>1</v>
      </c>
      <c r="I19" s="523">
        <v>10</v>
      </c>
      <c r="J19" s="535">
        <v>631</v>
      </c>
      <c r="K19" s="535">
        <v>6310</v>
      </c>
      <c r="L19" s="523">
        <v>1.3868131868131868</v>
      </c>
      <c r="M19" s="523">
        <v>10</v>
      </c>
      <c r="N19" s="535">
        <v>560</v>
      </c>
      <c r="O19" s="535">
        <v>5600</v>
      </c>
      <c r="P19" s="528">
        <v>1.2307692307692308</v>
      </c>
      <c r="Q19" s="536">
        <v>10</v>
      </c>
    </row>
    <row r="20" spans="1:17" ht="14.4" customHeight="1" x14ac:dyDescent="0.3">
      <c r="A20" s="522" t="s">
        <v>746</v>
      </c>
      <c r="B20" s="523" t="s">
        <v>410</v>
      </c>
      <c r="C20" s="523" t="s">
        <v>766</v>
      </c>
      <c r="D20" s="523" t="s">
        <v>775</v>
      </c>
      <c r="E20" s="523" t="s">
        <v>776</v>
      </c>
      <c r="F20" s="535">
        <v>66</v>
      </c>
      <c r="G20" s="535">
        <v>330</v>
      </c>
      <c r="H20" s="523">
        <v>1</v>
      </c>
      <c r="I20" s="523">
        <v>5</v>
      </c>
      <c r="J20" s="535">
        <v>65</v>
      </c>
      <c r="K20" s="535">
        <v>325</v>
      </c>
      <c r="L20" s="523">
        <v>0.98484848484848486</v>
      </c>
      <c r="M20" s="523">
        <v>5</v>
      </c>
      <c r="N20" s="535">
        <v>74</v>
      </c>
      <c r="O20" s="535">
        <v>370</v>
      </c>
      <c r="P20" s="528">
        <v>1.1212121212121211</v>
      </c>
      <c r="Q20" s="536">
        <v>5</v>
      </c>
    </row>
    <row r="21" spans="1:17" ht="14.4" customHeight="1" x14ac:dyDescent="0.3">
      <c r="A21" s="522" t="s">
        <v>746</v>
      </c>
      <c r="B21" s="523" t="s">
        <v>410</v>
      </c>
      <c r="C21" s="523" t="s">
        <v>766</v>
      </c>
      <c r="D21" s="523" t="s">
        <v>777</v>
      </c>
      <c r="E21" s="523" t="s">
        <v>778</v>
      </c>
      <c r="F21" s="535">
        <v>12</v>
      </c>
      <c r="G21" s="535">
        <v>60</v>
      </c>
      <c r="H21" s="523">
        <v>1</v>
      </c>
      <c r="I21" s="523">
        <v>5</v>
      </c>
      <c r="J21" s="535">
        <v>14</v>
      </c>
      <c r="K21" s="535">
        <v>70</v>
      </c>
      <c r="L21" s="523">
        <v>1.1666666666666667</v>
      </c>
      <c r="M21" s="523">
        <v>5</v>
      </c>
      <c r="N21" s="535">
        <v>14</v>
      </c>
      <c r="O21" s="535">
        <v>70</v>
      </c>
      <c r="P21" s="528">
        <v>1.1666666666666667</v>
      </c>
      <c r="Q21" s="536">
        <v>5</v>
      </c>
    </row>
    <row r="22" spans="1:17" ht="14.4" customHeight="1" x14ac:dyDescent="0.3">
      <c r="A22" s="522" t="s">
        <v>746</v>
      </c>
      <c r="B22" s="523" t="s">
        <v>410</v>
      </c>
      <c r="C22" s="523" t="s">
        <v>766</v>
      </c>
      <c r="D22" s="523" t="s">
        <v>779</v>
      </c>
      <c r="E22" s="523" t="s">
        <v>780</v>
      </c>
      <c r="F22" s="535">
        <v>157</v>
      </c>
      <c r="G22" s="535">
        <v>10883</v>
      </c>
      <c r="H22" s="523">
        <v>1</v>
      </c>
      <c r="I22" s="523">
        <v>69.318471337579624</v>
      </c>
      <c r="J22" s="535">
        <v>106</v>
      </c>
      <c r="K22" s="535">
        <v>7420</v>
      </c>
      <c r="L22" s="523">
        <v>0.68179729853900584</v>
      </c>
      <c r="M22" s="523">
        <v>70</v>
      </c>
      <c r="N22" s="535">
        <v>54</v>
      </c>
      <c r="O22" s="535">
        <v>3996</v>
      </c>
      <c r="P22" s="528">
        <v>0.3671781677846182</v>
      </c>
      <c r="Q22" s="536">
        <v>74</v>
      </c>
    </row>
    <row r="23" spans="1:17" ht="14.4" customHeight="1" x14ac:dyDescent="0.3">
      <c r="A23" s="522" t="s">
        <v>746</v>
      </c>
      <c r="B23" s="523" t="s">
        <v>410</v>
      </c>
      <c r="C23" s="523" t="s">
        <v>766</v>
      </c>
      <c r="D23" s="523" t="s">
        <v>781</v>
      </c>
      <c r="E23" s="523" t="s">
        <v>782</v>
      </c>
      <c r="F23" s="535"/>
      <c r="G23" s="535"/>
      <c r="H23" s="523"/>
      <c r="I23" s="523"/>
      <c r="J23" s="535">
        <v>68</v>
      </c>
      <c r="K23" s="535">
        <v>2380</v>
      </c>
      <c r="L23" s="523"/>
      <c r="M23" s="523">
        <v>35</v>
      </c>
      <c r="N23" s="535"/>
      <c r="O23" s="535"/>
      <c r="P23" s="528"/>
      <c r="Q23" s="536"/>
    </row>
    <row r="24" spans="1:17" ht="14.4" customHeight="1" x14ac:dyDescent="0.3">
      <c r="A24" s="522" t="s">
        <v>746</v>
      </c>
      <c r="B24" s="523" t="s">
        <v>410</v>
      </c>
      <c r="C24" s="523" t="s">
        <v>766</v>
      </c>
      <c r="D24" s="523" t="s">
        <v>783</v>
      </c>
      <c r="E24" s="523"/>
      <c r="F24" s="535">
        <v>32</v>
      </c>
      <c r="G24" s="535">
        <v>3749</v>
      </c>
      <c r="H24" s="523">
        <v>1</v>
      </c>
      <c r="I24" s="523">
        <v>117.15625</v>
      </c>
      <c r="J24" s="535">
        <v>16</v>
      </c>
      <c r="K24" s="535">
        <v>1904</v>
      </c>
      <c r="L24" s="523">
        <v>0.50786876500400102</v>
      </c>
      <c r="M24" s="523">
        <v>119</v>
      </c>
      <c r="N24" s="535"/>
      <c r="O24" s="535"/>
      <c r="P24" s="528"/>
      <c r="Q24" s="536"/>
    </row>
    <row r="25" spans="1:17" ht="14.4" customHeight="1" x14ac:dyDescent="0.3">
      <c r="A25" s="522" t="s">
        <v>746</v>
      </c>
      <c r="B25" s="523" t="s">
        <v>410</v>
      </c>
      <c r="C25" s="523" t="s">
        <v>766</v>
      </c>
      <c r="D25" s="523" t="s">
        <v>784</v>
      </c>
      <c r="E25" s="523" t="s">
        <v>785</v>
      </c>
      <c r="F25" s="535">
        <v>93</v>
      </c>
      <c r="G25" s="535">
        <v>10881</v>
      </c>
      <c r="H25" s="523">
        <v>1</v>
      </c>
      <c r="I25" s="523">
        <v>117</v>
      </c>
      <c r="J25" s="535"/>
      <c r="K25" s="535"/>
      <c r="L25" s="523"/>
      <c r="M25" s="523"/>
      <c r="N25" s="535"/>
      <c r="O25" s="535"/>
      <c r="P25" s="528"/>
      <c r="Q25" s="536"/>
    </row>
    <row r="26" spans="1:17" ht="14.4" customHeight="1" x14ac:dyDescent="0.3">
      <c r="A26" s="522" t="s">
        <v>746</v>
      </c>
      <c r="B26" s="523" t="s">
        <v>410</v>
      </c>
      <c r="C26" s="523" t="s">
        <v>766</v>
      </c>
      <c r="D26" s="523" t="s">
        <v>786</v>
      </c>
      <c r="E26" s="523" t="s">
        <v>787</v>
      </c>
      <c r="F26" s="535">
        <v>172</v>
      </c>
      <c r="G26" s="535">
        <v>28117</v>
      </c>
      <c r="H26" s="523">
        <v>1</v>
      </c>
      <c r="I26" s="523">
        <v>163.47093023255815</v>
      </c>
      <c r="J26" s="535">
        <v>306</v>
      </c>
      <c r="K26" s="535">
        <v>50490</v>
      </c>
      <c r="L26" s="523">
        <v>1.7957107799551872</v>
      </c>
      <c r="M26" s="523">
        <v>165</v>
      </c>
      <c r="N26" s="535">
        <v>298</v>
      </c>
      <c r="O26" s="535">
        <v>52746</v>
      </c>
      <c r="P26" s="528">
        <v>1.875946936017356</v>
      </c>
      <c r="Q26" s="536">
        <v>177</v>
      </c>
    </row>
    <row r="27" spans="1:17" ht="14.4" customHeight="1" x14ac:dyDescent="0.3">
      <c r="A27" s="522" t="s">
        <v>746</v>
      </c>
      <c r="B27" s="523" t="s">
        <v>410</v>
      </c>
      <c r="C27" s="523" t="s">
        <v>766</v>
      </c>
      <c r="D27" s="523" t="s">
        <v>788</v>
      </c>
      <c r="E27" s="523" t="s">
        <v>789</v>
      </c>
      <c r="F27" s="535">
        <v>3</v>
      </c>
      <c r="G27" s="535">
        <v>0</v>
      </c>
      <c r="H27" s="523"/>
      <c r="I27" s="523">
        <v>0</v>
      </c>
      <c r="J27" s="535"/>
      <c r="K27" s="535"/>
      <c r="L27" s="523"/>
      <c r="M27" s="523"/>
      <c r="N27" s="535"/>
      <c r="O27" s="535"/>
      <c r="P27" s="528"/>
      <c r="Q27" s="536"/>
    </row>
    <row r="28" spans="1:17" ht="14.4" customHeight="1" x14ac:dyDescent="0.3">
      <c r="A28" s="522" t="s">
        <v>746</v>
      </c>
      <c r="B28" s="523" t="s">
        <v>410</v>
      </c>
      <c r="C28" s="523" t="s">
        <v>766</v>
      </c>
      <c r="D28" s="523" t="s">
        <v>790</v>
      </c>
      <c r="E28" s="523" t="s">
        <v>791</v>
      </c>
      <c r="F28" s="535">
        <v>303</v>
      </c>
      <c r="G28" s="535">
        <v>51136</v>
      </c>
      <c r="H28" s="523">
        <v>1</v>
      </c>
      <c r="I28" s="523">
        <v>168.76567656765675</v>
      </c>
      <c r="J28" s="535">
        <v>260</v>
      </c>
      <c r="K28" s="535">
        <v>44460</v>
      </c>
      <c r="L28" s="523">
        <v>0.86944618272841057</v>
      </c>
      <c r="M28" s="523">
        <v>171</v>
      </c>
      <c r="N28" s="535">
        <v>237</v>
      </c>
      <c r="O28" s="535">
        <v>42423</v>
      </c>
      <c r="P28" s="528">
        <v>0.8296112327909887</v>
      </c>
      <c r="Q28" s="536">
        <v>179</v>
      </c>
    </row>
    <row r="29" spans="1:17" ht="14.4" customHeight="1" x14ac:dyDescent="0.3">
      <c r="A29" s="522" t="s">
        <v>746</v>
      </c>
      <c r="B29" s="523" t="s">
        <v>410</v>
      </c>
      <c r="C29" s="523" t="s">
        <v>766</v>
      </c>
      <c r="D29" s="523" t="s">
        <v>792</v>
      </c>
      <c r="E29" s="523" t="s">
        <v>793</v>
      </c>
      <c r="F29" s="535">
        <v>859</v>
      </c>
      <c r="G29" s="535">
        <v>0</v>
      </c>
      <c r="H29" s="523"/>
      <c r="I29" s="523">
        <v>0</v>
      </c>
      <c r="J29" s="535">
        <v>1217</v>
      </c>
      <c r="K29" s="535">
        <v>21133.309999999998</v>
      </c>
      <c r="L29" s="523"/>
      <c r="M29" s="523">
        <v>17.365086277732125</v>
      </c>
      <c r="N29" s="535">
        <v>1143</v>
      </c>
      <c r="O29" s="535">
        <v>38100.000000000007</v>
      </c>
      <c r="P29" s="528"/>
      <c r="Q29" s="536">
        <v>33.333333333333343</v>
      </c>
    </row>
    <row r="30" spans="1:17" ht="14.4" customHeight="1" x14ac:dyDescent="0.3">
      <c r="A30" s="522" t="s">
        <v>746</v>
      </c>
      <c r="B30" s="523" t="s">
        <v>410</v>
      </c>
      <c r="C30" s="523" t="s">
        <v>766</v>
      </c>
      <c r="D30" s="523" t="s">
        <v>794</v>
      </c>
      <c r="E30" s="523" t="s">
        <v>795</v>
      </c>
      <c r="F30" s="535">
        <v>411</v>
      </c>
      <c r="G30" s="535">
        <v>14554</v>
      </c>
      <c r="H30" s="523">
        <v>1</v>
      </c>
      <c r="I30" s="523">
        <v>35.411192214111921</v>
      </c>
      <c r="J30" s="535">
        <v>381</v>
      </c>
      <c r="K30" s="535">
        <v>13716</v>
      </c>
      <c r="L30" s="523">
        <v>0.94242132747011131</v>
      </c>
      <c r="M30" s="523">
        <v>36</v>
      </c>
      <c r="N30" s="535">
        <v>389</v>
      </c>
      <c r="O30" s="535">
        <v>14393</v>
      </c>
      <c r="P30" s="528">
        <v>0.98893774907241994</v>
      </c>
      <c r="Q30" s="536">
        <v>37</v>
      </c>
    </row>
    <row r="31" spans="1:17" ht="14.4" customHeight="1" x14ac:dyDescent="0.3">
      <c r="A31" s="522" t="s">
        <v>746</v>
      </c>
      <c r="B31" s="523" t="s">
        <v>410</v>
      </c>
      <c r="C31" s="523" t="s">
        <v>766</v>
      </c>
      <c r="D31" s="523" t="s">
        <v>796</v>
      </c>
      <c r="E31" s="523" t="s">
        <v>797</v>
      </c>
      <c r="F31" s="535">
        <v>0</v>
      </c>
      <c r="G31" s="535">
        <v>0</v>
      </c>
      <c r="H31" s="523"/>
      <c r="I31" s="523"/>
      <c r="J31" s="535"/>
      <c r="K31" s="535"/>
      <c r="L31" s="523"/>
      <c r="M31" s="523"/>
      <c r="N31" s="535"/>
      <c r="O31" s="535"/>
      <c r="P31" s="528"/>
      <c r="Q31" s="536"/>
    </row>
    <row r="32" spans="1:17" ht="14.4" customHeight="1" x14ac:dyDescent="0.3">
      <c r="A32" s="522" t="s">
        <v>746</v>
      </c>
      <c r="B32" s="523" t="s">
        <v>410</v>
      </c>
      <c r="C32" s="523" t="s">
        <v>766</v>
      </c>
      <c r="D32" s="523" t="s">
        <v>798</v>
      </c>
      <c r="E32" s="523" t="s">
        <v>799</v>
      </c>
      <c r="F32" s="535">
        <v>1490</v>
      </c>
      <c r="G32" s="535">
        <v>199339</v>
      </c>
      <c r="H32" s="523">
        <v>1</v>
      </c>
      <c r="I32" s="523">
        <v>133.78456375838925</v>
      </c>
      <c r="J32" s="535">
        <v>1679</v>
      </c>
      <c r="K32" s="535">
        <v>216591</v>
      </c>
      <c r="L32" s="523">
        <v>1.0865460346445002</v>
      </c>
      <c r="M32" s="523">
        <v>129</v>
      </c>
      <c r="N32" s="535">
        <v>1738</v>
      </c>
      <c r="O32" s="535">
        <v>227678</v>
      </c>
      <c r="P32" s="528">
        <v>1.1421648548452636</v>
      </c>
      <c r="Q32" s="536">
        <v>131</v>
      </c>
    </row>
    <row r="33" spans="1:17" ht="14.4" customHeight="1" x14ac:dyDescent="0.3">
      <c r="A33" s="522" t="s">
        <v>746</v>
      </c>
      <c r="B33" s="523" t="s">
        <v>410</v>
      </c>
      <c r="C33" s="523" t="s">
        <v>766</v>
      </c>
      <c r="D33" s="523" t="s">
        <v>800</v>
      </c>
      <c r="E33" s="523" t="s">
        <v>801</v>
      </c>
      <c r="F33" s="535">
        <v>543</v>
      </c>
      <c r="G33" s="535">
        <v>37671</v>
      </c>
      <c r="H33" s="523">
        <v>1</v>
      </c>
      <c r="I33" s="523">
        <v>69.375690607734811</v>
      </c>
      <c r="J33" s="535">
        <v>874</v>
      </c>
      <c r="K33" s="535">
        <v>61180</v>
      </c>
      <c r="L33" s="523">
        <v>1.6240609487404103</v>
      </c>
      <c r="M33" s="523">
        <v>70</v>
      </c>
      <c r="N33" s="535">
        <v>746</v>
      </c>
      <c r="O33" s="535">
        <v>55204</v>
      </c>
      <c r="P33" s="528">
        <v>1.4654243317140505</v>
      </c>
      <c r="Q33" s="536">
        <v>74</v>
      </c>
    </row>
    <row r="34" spans="1:17" ht="14.4" customHeight="1" x14ac:dyDescent="0.3">
      <c r="A34" s="522" t="s">
        <v>746</v>
      </c>
      <c r="B34" s="523" t="s">
        <v>410</v>
      </c>
      <c r="C34" s="523" t="s">
        <v>766</v>
      </c>
      <c r="D34" s="523" t="s">
        <v>802</v>
      </c>
      <c r="E34" s="523" t="s">
        <v>803</v>
      </c>
      <c r="F34" s="535">
        <v>469</v>
      </c>
      <c r="G34" s="535">
        <v>154092</v>
      </c>
      <c r="H34" s="523">
        <v>1</v>
      </c>
      <c r="I34" s="523">
        <v>328.5543710021322</v>
      </c>
      <c r="J34" s="535">
        <v>606</v>
      </c>
      <c r="K34" s="535">
        <v>200586</v>
      </c>
      <c r="L34" s="523">
        <v>1.3017288373179658</v>
      </c>
      <c r="M34" s="523">
        <v>331</v>
      </c>
      <c r="N34" s="535">
        <v>586</v>
      </c>
      <c r="O34" s="535">
        <v>207444</v>
      </c>
      <c r="P34" s="528">
        <v>1.3462347169223581</v>
      </c>
      <c r="Q34" s="536">
        <v>354</v>
      </c>
    </row>
    <row r="35" spans="1:17" ht="14.4" customHeight="1" x14ac:dyDescent="0.3">
      <c r="A35" s="522" t="s">
        <v>746</v>
      </c>
      <c r="B35" s="523" t="s">
        <v>410</v>
      </c>
      <c r="C35" s="523" t="s">
        <v>766</v>
      </c>
      <c r="D35" s="523" t="s">
        <v>804</v>
      </c>
      <c r="E35" s="523" t="s">
        <v>805</v>
      </c>
      <c r="F35" s="535">
        <v>167</v>
      </c>
      <c r="G35" s="535">
        <v>34681</v>
      </c>
      <c r="H35" s="523">
        <v>1</v>
      </c>
      <c r="I35" s="523">
        <v>207.67065868263472</v>
      </c>
      <c r="J35" s="535">
        <v>173</v>
      </c>
      <c r="K35" s="535">
        <v>36330</v>
      </c>
      <c r="L35" s="523">
        <v>1.0475476485683803</v>
      </c>
      <c r="M35" s="523">
        <v>210</v>
      </c>
      <c r="N35" s="535">
        <v>156</v>
      </c>
      <c r="O35" s="535">
        <v>34632</v>
      </c>
      <c r="P35" s="528">
        <v>0.99858712263198868</v>
      </c>
      <c r="Q35" s="536">
        <v>222</v>
      </c>
    </row>
    <row r="36" spans="1:17" ht="14.4" customHeight="1" x14ac:dyDescent="0.3">
      <c r="A36" s="522" t="s">
        <v>746</v>
      </c>
      <c r="B36" s="523" t="s">
        <v>410</v>
      </c>
      <c r="C36" s="523" t="s">
        <v>766</v>
      </c>
      <c r="D36" s="523" t="s">
        <v>806</v>
      </c>
      <c r="E36" s="523" t="s">
        <v>807</v>
      </c>
      <c r="F36" s="535">
        <v>420</v>
      </c>
      <c r="G36" s="535">
        <v>32096</v>
      </c>
      <c r="H36" s="523">
        <v>1</v>
      </c>
      <c r="I36" s="523">
        <v>76.419047619047618</v>
      </c>
      <c r="J36" s="535">
        <v>368</v>
      </c>
      <c r="K36" s="535">
        <v>28336</v>
      </c>
      <c r="L36" s="523">
        <v>0.88285144566301099</v>
      </c>
      <c r="M36" s="523">
        <v>77</v>
      </c>
      <c r="N36" s="535">
        <v>342</v>
      </c>
      <c r="O36" s="535">
        <v>26334</v>
      </c>
      <c r="P36" s="528">
        <v>0.8204760717846461</v>
      </c>
      <c r="Q36" s="536">
        <v>77</v>
      </c>
    </row>
    <row r="37" spans="1:17" ht="14.4" customHeight="1" x14ac:dyDescent="0.3">
      <c r="A37" s="522" t="s">
        <v>746</v>
      </c>
      <c r="B37" s="523" t="s">
        <v>410</v>
      </c>
      <c r="C37" s="523" t="s">
        <v>766</v>
      </c>
      <c r="D37" s="523" t="s">
        <v>808</v>
      </c>
      <c r="E37" s="523" t="s">
        <v>809</v>
      </c>
      <c r="F37" s="535">
        <v>14</v>
      </c>
      <c r="G37" s="535">
        <v>369</v>
      </c>
      <c r="H37" s="523">
        <v>1</v>
      </c>
      <c r="I37" s="523">
        <v>26.357142857142858</v>
      </c>
      <c r="J37" s="535">
        <v>28</v>
      </c>
      <c r="K37" s="535">
        <v>756</v>
      </c>
      <c r="L37" s="523">
        <v>2.0487804878048781</v>
      </c>
      <c r="M37" s="523">
        <v>27</v>
      </c>
      <c r="N37" s="535">
        <v>73</v>
      </c>
      <c r="O37" s="535">
        <v>2044</v>
      </c>
      <c r="P37" s="528">
        <v>5.5392953929539299</v>
      </c>
      <c r="Q37" s="536">
        <v>28</v>
      </c>
    </row>
    <row r="38" spans="1:17" ht="14.4" customHeight="1" x14ac:dyDescent="0.3">
      <c r="A38" s="522" t="s">
        <v>746</v>
      </c>
      <c r="B38" s="523" t="s">
        <v>410</v>
      </c>
      <c r="C38" s="523" t="s">
        <v>766</v>
      </c>
      <c r="D38" s="523" t="s">
        <v>810</v>
      </c>
      <c r="E38" s="523" t="s">
        <v>811</v>
      </c>
      <c r="F38" s="535">
        <v>97</v>
      </c>
      <c r="G38" s="535">
        <v>5480</v>
      </c>
      <c r="H38" s="523">
        <v>1</v>
      </c>
      <c r="I38" s="523">
        <v>56.494845360824741</v>
      </c>
      <c r="J38" s="535">
        <v>99</v>
      </c>
      <c r="K38" s="535">
        <v>5643</v>
      </c>
      <c r="L38" s="523">
        <v>1.0297445255474453</v>
      </c>
      <c r="M38" s="523">
        <v>57</v>
      </c>
      <c r="N38" s="535">
        <v>134</v>
      </c>
      <c r="O38" s="535">
        <v>7906</v>
      </c>
      <c r="P38" s="528">
        <v>1.4427007299270074</v>
      </c>
      <c r="Q38" s="536">
        <v>59</v>
      </c>
    </row>
    <row r="39" spans="1:17" ht="14.4" customHeight="1" x14ac:dyDescent="0.3">
      <c r="A39" s="522" t="s">
        <v>746</v>
      </c>
      <c r="B39" s="523" t="s">
        <v>410</v>
      </c>
      <c r="C39" s="523" t="s">
        <v>766</v>
      </c>
      <c r="D39" s="523" t="s">
        <v>812</v>
      </c>
      <c r="E39" s="523"/>
      <c r="F39" s="535">
        <v>130</v>
      </c>
      <c r="G39" s="535">
        <v>31340</v>
      </c>
      <c r="H39" s="523">
        <v>1</v>
      </c>
      <c r="I39" s="523">
        <v>241.07692307692307</v>
      </c>
      <c r="J39" s="535">
        <v>166</v>
      </c>
      <c r="K39" s="535">
        <v>40338</v>
      </c>
      <c r="L39" s="523">
        <v>1.2871091257179323</v>
      </c>
      <c r="M39" s="523">
        <v>243</v>
      </c>
      <c r="N39" s="535"/>
      <c r="O39" s="535"/>
      <c r="P39" s="528"/>
      <c r="Q39" s="536"/>
    </row>
    <row r="40" spans="1:17" ht="14.4" customHeight="1" x14ac:dyDescent="0.3">
      <c r="A40" s="522" t="s">
        <v>746</v>
      </c>
      <c r="B40" s="523" t="s">
        <v>410</v>
      </c>
      <c r="C40" s="523" t="s">
        <v>766</v>
      </c>
      <c r="D40" s="523" t="s">
        <v>813</v>
      </c>
      <c r="E40" s="523" t="s">
        <v>814</v>
      </c>
      <c r="F40" s="535">
        <v>245</v>
      </c>
      <c r="G40" s="535">
        <v>158703</v>
      </c>
      <c r="H40" s="523">
        <v>1</v>
      </c>
      <c r="I40" s="523">
        <v>647.76734693877552</v>
      </c>
      <c r="J40" s="535">
        <v>330</v>
      </c>
      <c r="K40" s="535">
        <v>215490</v>
      </c>
      <c r="L40" s="523">
        <v>1.3578193228861459</v>
      </c>
      <c r="M40" s="523">
        <v>653</v>
      </c>
      <c r="N40" s="535">
        <v>267</v>
      </c>
      <c r="O40" s="535">
        <v>187167</v>
      </c>
      <c r="P40" s="528">
        <v>1.1793538874501428</v>
      </c>
      <c r="Q40" s="536">
        <v>701</v>
      </c>
    </row>
    <row r="41" spans="1:17" ht="14.4" customHeight="1" x14ac:dyDescent="0.3">
      <c r="A41" s="522" t="s">
        <v>746</v>
      </c>
      <c r="B41" s="523" t="s">
        <v>410</v>
      </c>
      <c r="C41" s="523" t="s">
        <v>766</v>
      </c>
      <c r="D41" s="523" t="s">
        <v>815</v>
      </c>
      <c r="E41" s="523" t="s">
        <v>816</v>
      </c>
      <c r="F41" s="535">
        <v>681</v>
      </c>
      <c r="G41" s="535">
        <v>145054</v>
      </c>
      <c r="H41" s="523">
        <v>1</v>
      </c>
      <c r="I41" s="523">
        <v>213.00146842878121</v>
      </c>
      <c r="J41" s="535">
        <v>804</v>
      </c>
      <c r="K41" s="535">
        <v>172860</v>
      </c>
      <c r="L41" s="523">
        <v>1.1916941277041653</v>
      </c>
      <c r="M41" s="523">
        <v>215</v>
      </c>
      <c r="N41" s="535">
        <v>758</v>
      </c>
      <c r="O41" s="535">
        <v>175098</v>
      </c>
      <c r="P41" s="528">
        <v>1.2071228645883603</v>
      </c>
      <c r="Q41" s="536">
        <v>231</v>
      </c>
    </row>
    <row r="42" spans="1:17" ht="14.4" customHeight="1" x14ac:dyDescent="0.3">
      <c r="A42" s="522" t="s">
        <v>746</v>
      </c>
      <c r="B42" s="523" t="s">
        <v>410</v>
      </c>
      <c r="C42" s="523" t="s">
        <v>766</v>
      </c>
      <c r="D42" s="523" t="s">
        <v>817</v>
      </c>
      <c r="E42" s="523" t="s">
        <v>818</v>
      </c>
      <c r="F42" s="535"/>
      <c r="G42" s="535"/>
      <c r="H42" s="523"/>
      <c r="I42" s="523"/>
      <c r="J42" s="535"/>
      <c r="K42" s="535"/>
      <c r="L42" s="523"/>
      <c r="M42" s="523"/>
      <c r="N42" s="535">
        <v>71</v>
      </c>
      <c r="O42" s="535">
        <v>33512</v>
      </c>
      <c r="P42" s="528"/>
      <c r="Q42" s="536">
        <v>472</v>
      </c>
    </row>
    <row r="43" spans="1:17" ht="14.4" customHeight="1" x14ac:dyDescent="0.3">
      <c r="A43" s="522" t="s">
        <v>819</v>
      </c>
      <c r="B43" s="523" t="s">
        <v>410</v>
      </c>
      <c r="C43" s="523" t="s">
        <v>766</v>
      </c>
      <c r="D43" s="523" t="s">
        <v>771</v>
      </c>
      <c r="E43" s="523" t="s">
        <v>772</v>
      </c>
      <c r="F43" s="535"/>
      <c r="G43" s="535"/>
      <c r="H43" s="523"/>
      <c r="I43" s="523"/>
      <c r="J43" s="535"/>
      <c r="K43" s="535"/>
      <c r="L43" s="523"/>
      <c r="M43" s="523"/>
      <c r="N43" s="535">
        <v>9</v>
      </c>
      <c r="O43" s="535">
        <v>333</v>
      </c>
      <c r="P43" s="528"/>
      <c r="Q43" s="536">
        <v>37</v>
      </c>
    </row>
    <row r="44" spans="1:17" ht="14.4" customHeight="1" x14ac:dyDescent="0.3">
      <c r="A44" s="522" t="s">
        <v>819</v>
      </c>
      <c r="B44" s="523" t="s">
        <v>410</v>
      </c>
      <c r="C44" s="523" t="s">
        <v>766</v>
      </c>
      <c r="D44" s="523" t="s">
        <v>775</v>
      </c>
      <c r="E44" s="523" t="s">
        <v>776</v>
      </c>
      <c r="F44" s="535">
        <v>1</v>
      </c>
      <c r="G44" s="535">
        <v>5</v>
      </c>
      <c r="H44" s="523">
        <v>1</v>
      </c>
      <c r="I44" s="523">
        <v>5</v>
      </c>
      <c r="J44" s="535"/>
      <c r="K44" s="535"/>
      <c r="L44" s="523"/>
      <c r="M44" s="523"/>
      <c r="N44" s="535"/>
      <c r="O44" s="535"/>
      <c r="P44" s="528"/>
      <c r="Q44" s="536"/>
    </row>
    <row r="45" spans="1:17" ht="14.4" customHeight="1" x14ac:dyDescent="0.3">
      <c r="A45" s="522" t="s">
        <v>819</v>
      </c>
      <c r="B45" s="523" t="s">
        <v>410</v>
      </c>
      <c r="C45" s="523" t="s">
        <v>766</v>
      </c>
      <c r="D45" s="523" t="s">
        <v>784</v>
      </c>
      <c r="E45" s="523" t="s">
        <v>785</v>
      </c>
      <c r="F45" s="535">
        <v>477</v>
      </c>
      <c r="G45" s="535">
        <v>56022</v>
      </c>
      <c r="H45" s="523">
        <v>1</v>
      </c>
      <c r="I45" s="523">
        <v>117.44654088050315</v>
      </c>
      <c r="J45" s="535">
        <v>502</v>
      </c>
      <c r="K45" s="535">
        <v>59738</v>
      </c>
      <c r="L45" s="523">
        <v>1.0663310842169147</v>
      </c>
      <c r="M45" s="523">
        <v>119</v>
      </c>
      <c r="N45" s="535">
        <v>361</v>
      </c>
      <c r="O45" s="535">
        <v>43681</v>
      </c>
      <c r="P45" s="528">
        <v>0.77971154189425584</v>
      </c>
      <c r="Q45" s="536">
        <v>121</v>
      </c>
    </row>
    <row r="46" spans="1:17" ht="14.4" customHeight="1" thickBot="1" x14ac:dyDescent="0.35">
      <c r="A46" s="514" t="s">
        <v>819</v>
      </c>
      <c r="B46" s="515" t="s">
        <v>410</v>
      </c>
      <c r="C46" s="515" t="s">
        <v>766</v>
      </c>
      <c r="D46" s="515" t="s">
        <v>798</v>
      </c>
      <c r="E46" s="515" t="s">
        <v>799</v>
      </c>
      <c r="F46" s="537"/>
      <c r="G46" s="537"/>
      <c r="H46" s="515"/>
      <c r="I46" s="515"/>
      <c r="J46" s="537"/>
      <c r="K46" s="537"/>
      <c r="L46" s="515"/>
      <c r="M46" s="515"/>
      <c r="N46" s="537">
        <v>9</v>
      </c>
      <c r="O46" s="537">
        <v>1179</v>
      </c>
      <c r="P46" s="520"/>
      <c r="Q46" s="538">
        <v>131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21" t="s">
        <v>127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</row>
    <row r="2" spans="1:19" ht="14.4" customHeight="1" thickBot="1" x14ac:dyDescent="0.35">
      <c r="A2" s="234" t="s">
        <v>246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7471</v>
      </c>
      <c r="C3" s="222">
        <f t="shared" ref="C3:R3" si="0">SUBTOTAL(9,C6:C1048576)</f>
        <v>5</v>
      </c>
      <c r="D3" s="222">
        <f t="shared" si="0"/>
        <v>1709</v>
      </c>
      <c r="E3" s="222">
        <f t="shared" si="0"/>
        <v>0.56826264871989896</v>
      </c>
      <c r="F3" s="222">
        <f t="shared" si="0"/>
        <v>1348.33</v>
      </c>
      <c r="G3" s="225">
        <f>IF(B3&lt;&gt;0,F3/B3,"")</f>
        <v>0.18047517065988489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85" t="s">
        <v>105</v>
      </c>
      <c r="B4" s="386" t="s">
        <v>99</v>
      </c>
      <c r="C4" s="387"/>
      <c r="D4" s="387"/>
      <c r="E4" s="387"/>
      <c r="F4" s="387"/>
      <c r="G4" s="388"/>
      <c r="H4" s="386" t="s">
        <v>100</v>
      </c>
      <c r="I4" s="387"/>
      <c r="J4" s="387"/>
      <c r="K4" s="387"/>
      <c r="L4" s="387"/>
      <c r="M4" s="388"/>
      <c r="N4" s="386" t="s">
        <v>101</v>
      </c>
      <c r="O4" s="387"/>
      <c r="P4" s="387"/>
      <c r="Q4" s="387"/>
      <c r="R4" s="387"/>
      <c r="S4" s="388"/>
    </row>
    <row r="5" spans="1:19" ht="14.4" customHeight="1" thickBot="1" x14ac:dyDescent="0.35">
      <c r="A5" s="589"/>
      <c r="B5" s="590">
        <v>2014</v>
      </c>
      <c r="C5" s="591"/>
      <c r="D5" s="591">
        <v>2015</v>
      </c>
      <c r="E5" s="591"/>
      <c r="F5" s="591">
        <v>2016</v>
      </c>
      <c r="G5" s="592" t="s">
        <v>2</v>
      </c>
      <c r="H5" s="590">
        <v>2014</v>
      </c>
      <c r="I5" s="591"/>
      <c r="J5" s="591">
        <v>2015</v>
      </c>
      <c r="K5" s="591"/>
      <c r="L5" s="591">
        <v>2016</v>
      </c>
      <c r="M5" s="592" t="s">
        <v>2</v>
      </c>
      <c r="N5" s="590">
        <v>2014</v>
      </c>
      <c r="O5" s="591"/>
      <c r="P5" s="591">
        <v>2015</v>
      </c>
      <c r="Q5" s="591"/>
      <c r="R5" s="591">
        <v>2016</v>
      </c>
      <c r="S5" s="592" t="s">
        <v>2</v>
      </c>
    </row>
    <row r="6" spans="1:19" ht="14.4" customHeight="1" x14ac:dyDescent="0.3">
      <c r="A6" s="546" t="s">
        <v>821</v>
      </c>
      <c r="B6" s="593">
        <v>214</v>
      </c>
      <c r="C6" s="445">
        <v>1</v>
      </c>
      <c r="D6" s="593"/>
      <c r="E6" s="445"/>
      <c r="F6" s="593"/>
      <c r="G6" s="468"/>
      <c r="H6" s="593"/>
      <c r="I6" s="445"/>
      <c r="J6" s="593"/>
      <c r="K6" s="445"/>
      <c r="L6" s="593"/>
      <c r="M6" s="468"/>
      <c r="N6" s="593"/>
      <c r="O6" s="445"/>
      <c r="P6" s="593"/>
      <c r="Q6" s="445"/>
      <c r="R6" s="593"/>
      <c r="S6" s="122"/>
    </row>
    <row r="7" spans="1:19" ht="14.4" customHeight="1" x14ac:dyDescent="0.3">
      <c r="A7" s="547" t="s">
        <v>822</v>
      </c>
      <c r="B7" s="600">
        <v>3255</v>
      </c>
      <c r="C7" s="523">
        <v>1</v>
      </c>
      <c r="D7" s="600">
        <v>1056</v>
      </c>
      <c r="E7" s="523">
        <v>0.32442396313364058</v>
      </c>
      <c r="F7" s="600">
        <v>1311.33</v>
      </c>
      <c r="G7" s="528">
        <v>0.40286635944700461</v>
      </c>
      <c r="H7" s="600"/>
      <c r="I7" s="523"/>
      <c r="J7" s="600"/>
      <c r="K7" s="523"/>
      <c r="L7" s="600"/>
      <c r="M7" s="528"/>
      <c r="N7" s="600"/>
      <c r="O7" s="523"/>
      <c r="P7" s="600"/>
      <c r="Q7" s="523"/>
      <c r="R7" s="600"/>
      <c r="S7" s="529"/>
    </row>
    <row r="8" spans="1:19" ht="14.4" customHeight="1" x14ac:dyDescent="0.3">
      <c r="A8" s="547" t="s">
        <v>823</v>
      </c>
      <c r="B8" s="600">
        <v>34</v>
      </c>
      <c r="C8" s="523">
        <v>1</v>
      </c>
      <c r="D8" s="600"/>
      <c r="E8" s="523"/>
      <c r="F8" s="600"/>
      <c r="G8" s="528"/>
      <c r="H8" s="600"/>
      <c r="I8" s="523"/>
      <c r="J8" s="600"/>
      <c r="K8" s="523"/>
      <c r="L8" s="600"/>
      <c r="M8" s="528"/>
      <c r="N8" s="600"/>
      <c r="O8" s="523"/>
      <c r="P8" s="600"/>
      <c r="Q8" s="523"/>
      <c r="R8" s="600"/>
      <c r="S8" s="529"/>
    </row>
    <row r="9" spans="1:19" ht="14.4" customHeight="1" x14ac:dyDescent="0.3">
      <c r="A9" s="547" t="s">
        <v>824</v>
      </c>
      <c r="B9" s="600"/>
      <c r="C9" s="523"/>
      <c r="D9" s="600"/>
      <c r="E9" s="523"/>
      <c r="F9" s="600">
        <v>37</v>
      </c>
      <c r="G9" s="528"/>
      <c r="H9" s="600"/>
      <c r="I9" s="523"/>
      <c r="J9" s="600"/>
      <c r="K9" s="523"/>
      <c r="L9" s="600"/>
      <c r="M9" s="528"/>
      <c r="N9" s="600"/>
      <c r="O9" s="523"/>
      <c r="P9" s="600"/>
      <c r="Q9" s="523"/>
      <c r="R9" s="600"/>
      <c r="S9" s="529"/>
    </row>
    <row r="10" spans="1:19" ht="14.4" customHeight="1" x14ac:dyDescent="0.3">
      <c r="A10" s="547" t="s">
        <v>825</v>
      </c>
      <c r="B10" s="600">
        <v>2678</v>
      </c>
      <c r="C10" s="523">
        <v>1</v>
      </c>
      <c r="D10" s="600">
        <v>653</v>
      </c>
      <c r="E10" s="523">
        <v>0.2438386855862584</v>
      </c>
      <c r="F10" s="600"/>
      <c r="G10" s="528"/>
      <c r="H10" s="600"/>
      <c r="I10" s="523"/>
      <c r="J10" s="600"/>
      <c r="K10" s="523"/>
      <c r="L10" s="600"/>
      <c r="M10" s="528"/>
      <c r="N10" s="600"/>
      <c r="O10" s="523"/>
      <c r="P10" s="600"/>
      <c r="Q10" s="523"/>
      <c r="R10" s="600"/>
      <c r="S10" s="529"/>
    </row>
    <row r="11" spans="1:19" ht="14.4" customHeight="1" thickBot="1" x14ac:dyDescent="0.35">
      <c r="A11" s="595" t="s">
        <v>826</v>
      </c>
      <c r="B11" s="594">
        <v>1290</v>
      </c>
      <c r="C11" s="515">
        <v>1</v>
      </c>
      <c r="D11" s="594"/>
      <c r="E11" s="515"/>
      <c r="F11" s="594"/>
      <c r="G11" s="520"/>
      <c r="H11" s="594"/>
      <c r="I11" s="515"/>
      <c r="J11" s="594"/>
      <c r="K11" s="515"/>
      <c r="L11" s="594"/>
      <c r="M11" s="520"/>
      <c r="N11" s="594"/>
      <c r="O11" s="515"/>
      <c r="P11" s="594"/>
      <c r="Q11" s="515"/>
      <c r="R11" s="594"/>
      <c r="S11" s="52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12" t="s">
        <v>833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ht="14.4" customHeight="1" thickBot="1" x14ac:dyDescent="0.35">
      <c r="A2" s="234" t="s">
        <v>246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41</v>
      </c>
      <c r="G3" s="103">
        <f t="shared" si="0"/>
        <v>7471</v>
      </c>
      <c r="H3" s="103"/>
      <c r="I3" s="103"/>
      <c r="J3" s="103">
        <f t="shared" si="0"/>
        <v>9</v>
      </c>
      <c r="K3" s="103">
        <f t="shared" si="0"/>
        <v>1709</v>
      </c>
      <c r="L3" s="103"/>
      <c r="M3" s="103"/>
      <c r="N3" s="103">
        <f t="shared" si="0"/>
        <v>7</v>
      </c>
      <c r="O3" s="103">
        <f t="shared" si="0"/>
        <v>1348.33</v>
      </c>
      <c r="P3" s="75">
        <f>IF(G3=0,0,O3/G3)</f>
        <v>0.18047517065988489</v>
      </c>
      <c r="Q3" s="104">
        <f>IF(N3=0,0,O3/N3)</f>
        <v>192.61857142857141</v>
      </c>
    </row>
    <row r="4" spans="1:17" ht="14.4" customHeight="1" x14ac:dyDescent="0.3">
      <c r="A4" s="394" t="s">
        <v>69</v>
      </c>
      <c r="B4" s="393" t="s">
        <v>95</v>
      </c>
      <c r="C4" s="394" t="s">
        <v>96</v>
      </c>
      <c r="D4" s="403" t="s">
        <v>97</v>
      </c>
      <c r="E4" s="395" t="s">
        <v>70</v>
      </c>
      <c r="F4" s="401">
        <v>2014</v>
      </c>
      <c r="G4" s="402"/>
      <c r="H4" s="105"/>
      <c r="I4" s="105"/>
      <c r="J4" s="401">
        <v>2015</v>
      </c>
      <c r="K4" s="402"/>
      <c r="L4" s="105"/>
      <c r="M4" s="105"/>
      <c r="N4" s="401">
        <v>2016</v>
      </c>
      <c r="O4" s="402"/>
      <c r="P4" s="404" t="s">
        <v>2</v>
      </c>
      <c r="Q4" s="392" t="s">
        <v>98</v>
      </c>
    </row>
    <row r="5" spans="1:17" ht="14.4" customHeight="1" thickBot="1" x14ac:dyDescent="0.35">
      <c r="A5" s="605"/>
      <c r="B5" s="603"/>
      <c r="C5" s="605"/>
      <c r="D5" s="613"/>
      <c r="E5" s="607"/>
      <c r="F5" s="614" t="s">
        <v>72</v>
      </c>
      <c r="G5" s="615" t="s">
        <v>14</v>
      </c>
      <c r="H5" s="616"/>
      <c r="I5" s="616"/>
      <c r="J5" s="614" t="s">
        <v>72</v>
      </c>
      <c r="K5" s="615" t="s">
        <v>14</v>
      </c>
      <c r="L5" s="616"/>
      <c r="M5" s="616"/>
      <c r="N5" s="614" t="s">
        <v>72</v>
      </c>
      <c r="O5" s="615" t="s">
        <v>14</v>
      </c>
      <c r="P5" s="617"/>
      <c r="Q5" s="612"/>
    </row>
    <row r="6" spans="1:17" ht="14.4" customHeight="1" x14ac:dyDescent="0.3">
      <c r="A6" s="507" t="s">
        <v>827</v>
      </c>
      <c r="B6" s="445" t="s">
        <v>746</v>
      </c>
      <c r="C6" s="445" t="s">
        <v>766</v>
      </c>
      <c r="D6" s="445" t="s">
        <v>815</v>
      </c>
      <c r="E6" s="445" t="s">
        <v>816</v>
      </c>
      <c r="F6" s="448">
        <v>1</v>
      </c>
      <c r="G6" s="448">
        <v>214</v>
      </c>
      <c r="H6" s="448">
        <v>1</v>
      </c>
      <c r="I6" s="448">
        <v>214</v>
      </c>
      <c r="J6" s="448"/>
      <c r="K6" s="448"/>
      <c r="L6" s="448"/>
      <c r="M6" s="448"/>
      <c r="N6" s="448"/>
      <c r="O6" s="448"/>
      <c r="P6" s="468"/>
      <c r="Q6" s="534"/>
    </row>
    <row r="7" spans="1:17" ht="14.4" customHeight="1" x14ac:dyDescent="0.3">
      <c r="A7" s="522" t="s">
        <v>828</v>
      </c>
      <c r="B7" s="523" t="s">
        <v>746</v>
      </c>
      <c r="C7" s="523" t="s">
        <v>766</v>
      </c>
      <c r="D7" s="523" t="s">
        <v>771</v>
      </c>
      <c r="E7" s="523" t="s">
        <v>772</v>
      </c>
      <c r="F7" s="535">
        <v>12</v>
      </c>
      <c r="G7" s="535">
        <v>419</v>
      </c>
      <c r="H7" s="535">
        <v>1</v>
      </c>
      <c r="I7" s="535">
        <v>34.916666666666664</v>
      </c>
      <c r="J7" s="535">
        <v>3</v>
      </c>
      <c r="K7" s="535">
        <v>105</v>
      </c>
      <c r="L7" s="535">
        <v>0.25059665871121717</v>
      </c>
      <c r="M7" s="535">
        <v>35</v>
      </c>
      <c r="N7" s="535"/>
      <c r="O7" s="535"/>
      <c r="P7" s="528"/>
      <c r="Q7" s="536"/>
    </row>
    <row r="8" spans="1:17" ht="14.4" customHeight="1" x14ac:dyDescent="0.3">
      <c r="A8" s="522" t="s">
        <v>828</v>
      </c>
      <c r="B8" s="523" t="s">
        <v>746</v>
      </c>
      <c r="C8" s="523" t="s">
        <v>766</v>
      </c>
      <c r="D8" s="523" t="s">
        <v>781</v>
      </c>
      <c r="E8" s="523" t="s">
        <v>782</v>
      </c>
      <c r="F8" s="535"/>
      <c r="G8" s="535"/>
      <c r="H8" s="535"/>
      <c r="I8" s="535"/>
      <c r="J8" s="535">
        <v>1</v>
      </c>
      <c r="K8" s="535">
        <v>35</v>
      </c>
      <c r="L8" s="535"/>
      <c r="M8" s="535">
        <v>35</v>
      </c>
      <c r="N8" s="535"/>
      <c r="O8" s="535"/>
      <c r="P8" s="528"/>
      <c r="Q8" s="536"/>
    </row>
    <row r="9" spans="1:17" ht="14.4" customHeight="1" x14ac:dyDescent="0.3">
      <c r="A9" s="522" t="s">
        <v>828</v>
      </c>
      <c r="B9" s="523" t="s">
        <v>746</v>
      </c>
      <c r="C9" s="523" t="s">
        <v>766</v>
      </c>
      <c r="D9" s="523" t="s">
        <v>784</v>
      </c>
      <c r="E9" s="523" t="s">
        <v>785</v>
      </c>
      <c r="F9" s="535">
        <v>14</v>
      </c>
      <c r="G9" s="535">
        <v>1652</v>
      </c>
      <c r="H9" s="535">
        <v>1</v>
      </c>
      <c r="I9" s="535">
        <v>118</v>
      </c>
      <c r="J9" s="535"/>
      <c r="K9" s="535"/>
      <c r="L9" s="535"/>
      <c r="M9" s="535"/>
      <c r="N9" s="535"/>
      <c r="O9" s="535"/>
      <c r="P9" s="528"/>
      <c r="Q9" s="536"/>
    </row>
    <row r="10" spans="1:17" ht="14.4" customHeight="1" x14ac:dyDescent="0.3">
      <c r="A10" s="522" t="s">
        <v>828</v>
      </c>
      <c r="B10" s="523" t="s">
        <v>746</v>
      </c>
      <c r="C10" s="523" t="s">
        <v>766</v>
      </c>
      <c r="D10" s="523" t="s">
        <v>792</v>
      </c>
      <c r="E10" s="523" t="s">
        <v>793</v>
      </c>
      <c r="F10" s="535"/>
      <c r="G10" s="535"/>
      <c r="H10" s="535"/>
      <c r="I10" s="535"/>
      <c r="J10" s="535"/>
      <c r="K10" s="535"/>
      <c r="L10" s="535"/>
      <c r="M10" s="535"/>
      <c r="N10" s="535">
        <v>1</v>
      </c>
      <c r="O10" s="535">
        <v>33.33</v>
      </c>
      <c r="P10" s="528"/>
      <c r="Q10" s="536">
        <v>33.33</v>
      </c>
    </row>
    <row r="11" spans="1:17" ht="14.4" customHeight="1" x14ac:dyDescent="0.3">
      <c r="A11" s="522" t="s">
        <v>828</v>
      </c>
      <c r="B11" s="523" t="s">
        <v>746</v>
      </c>
      <c r="C11" s="523" t="s">
        <v>766</v>
      </c>
      <c r="D11" s="523" t="s">
        <v>802</v>
      </c>
      <c r="E11" s="523" t="s">
        <v>803</v>
      </c>
      <c r="F11" s="535">
        <v>1</v>
      </c>
      <c r="G11" s="535">
        <v>327</v>
      </c>
      <c r="H11" s="535">
        <v>1</v>
      </c>
      <c r="I11" s="535">
        <v>327</v>
      </c>
      <c r="J11" s="535"/>
      <c r="K11" s="535"/>
      <c r="L11" s="535"/>
      <c r="M11" s="535"/>
      <c r="N11" s="535">
        <v>1</v>
      </c>
      <c r="O11" s="535">
        <v>354</v>
      </c>
      <c r="P11" s="528">
        <v>1.0825688073394495</v>
      </c>
      <c r="Q11" s="536">
        <v>354</v>
      </c>
    </row>
    <row r="12" spans="1:17" ht="14.4" customHeight="1" x14ac:dyDescent="0.3">
      <c r="A12" s="522" t="s">
        <v>828</v>
      </c>
      <c r="B12" s="523" t="s">
        <v>746</v>
      </c>
      <c r="C12" s="523" t="s">
        <v>766</v>
      </c>
      <c r="D12" s="523" t="s">
        <v>812</v>
      </c>
      <c r="E12" s="523"/>
      <c r="F12" s="535"/>
      <c r="G12" s="535"/>
      <c r="H12" s="535"/>
      <c r="I12" s="535"/>
      <c r="J12" s="535">
        <v>2</v>
      </c>
      <c r="K12" s="535">
        <v>486</v>
      </c>
      <c r="L12" s="535"/>
      <c r="M12" s="535">
        <v>243</v>
      </c>
      <c r="N12" s="535"/>
      <c r="O12" s="535"/>
      <c r="P12" s="528"/>
      <c r="Q12" s="536"/>
    </row>
    <row r="13" spans="1:17" ht="14.4" customHeight="1" x14ac:dyDescent="0.3">
      <c r="A13" s="522" t="s">
        <v>828</v>
      </c>
      <c r="B13" s="523" t="s">
        <v>746</v>
      </c>
      <c r="C13" s="523" t="s">
        <v>766</v>
      </c>
      <c r="D13" s="523" t="s">
        <v>813</v>
      </c>
      <c r="E13" s="523" t="s">
        <v>814</v>
      </c>
      <c r="F13" s="535">
        <v>1</v>
      </c>
      <c r="G13" s="535">
        <v>645</v>
      </c>
      <c r="H13" s="535">
        <v>1</v>
      </c>
      <c r="I13" s="535">
        <v>645</v>
      </c>
      <c r="J13" s="535"/>
      <c r="K13" s="535"/>
      <c r="L13" s="535"/>
      <c r="M13" s="535"/>
      <c r="N13" s="535"/>
      <c r="O13" s="535"/>
      <c r="P13" s="528"/>
      <c r="Q13" s="536"/>
    </row>
    <row r="14" spans="1:17" ht="14.4" customHeight="1" x14ac:dyDescent="0.3">
      <c r="A14" s="522" t="s">
        <v>828</v>
      </c>
      <c r="B14" s="523" t="s">
        <v>746</v>
      </c>
      <c r="C14" s="523" t="s">
        <v>766</v>
      </c>
      <c r="D14" s="523" t="s">
        <v>815</v>
      </c>
      <c r="E14" s="523" t="s">
        <v>816</v>
      </c>
      <c r="F14" s="535">
        <v>1</v>
      </c>
      <c r="G14" s="535">
        <v>212</v>
      </c>
      <c r="H14" s="535">
        <v>1</v>
      </c>
      <c r="I14" s="535">
        <v>212</v>
      </c>
      <c r="J14" s="535">
        <v>2</v>
      </c>
      <c r="K14" s="535">
        <v>430</v>
      </c>
      <c r="L14" s="535">
        <v>2.0283018867924527</v>
      </c>
      <c r="M14" s="535">
        <v>215</v>
      </c>
      <c r="N14" s="535">
        <v>4</v>
      </c>
      <c r="O14" s="535">
        <v>924</v>
      </c>
      <c r="P14" s="528">
        <v>4.3584905660377355</v>
      </c>
      <c r="Q14" s="536">
        <v>231</v>
      </c>
    </row>
    <row r="15" spans="1:17" ht="14.4" customHeight="1" x14ac:dyDescent="0.3">
      <c r="A15" s="522" t="s">
        <v>829</v>
      </c>
      <c r="B15" s="523" t="s">
        <v>746</v>
      </c>
      <c r="C15" s="523" t="s">
        <v>766</v>
      </c>
      <c r="D15" s="523" t="s">
        <v>771</v>
      </c>
      <c r="E15" s="523" t="s">
        <v>772</v>
      </c>
      <c r="F15" s="535">
        <v>1</v>
      </c>
      <c r="G15" s="535">
        <v>34</v>
      </c>
      <c r="H15" s="535">
        <v>1</v>
      </c>
      <c r="I15" s="535">
        <v>34</v>
      </c>
      <c r="J15" s="535"/>
      <c r="K15" s="535"/>
      <c r="L15" s="535"/>
      <c r="M15" s="535"/>
      <c r="N15" s="535"/>
      <c r="O15" s="535"/>
      <c r="P15" s="528"/>
      <c r="Q15" s="536"/>
    </row>
    <row r="16" spans="1:17" ht="14.4" customHeight="1" x14ac:dyDescent="0.3">
      <c r="A16" s="522" t="s">
        <v>830</v>
      </c>
      <c r="B16" s="523" t="s">
        <v>746</v>
      </c>
      <c r="C16" s="523" t="s">
        <v>766</v>
      </c>
      <c r="D16" s="523" t="s">
        <v>771</v>
      </c>
      <c r="E16" s="523" t="s">
        <v>772</v>
      </c>
      <c r="F16" s="535"/>
      <c r="G16" s="535"/>
      <c r="H16" s="535"/>
      <c r="I16" s="535"/>
      <c r="J16" s="535"/>
      <c r="K16" s="535"/>
      <c r="L16" s="535"/>
      <c r="M16" s="535"/>
      <c r="N16" s="535">
        <v>1</v>
      </c>
      <c r="O16" s="535">
        <v>37</v>
      </c>
      <c r="P16" s="528"/>
      <c r="Q16" s="536">
        <v>37</v>
      </c>
    </row>
    <row r="17" spans="1:17" ht="14.4" customHeight="1" x14ac:dyDescent="0.3">
      <c r="A17" s="522" t="s">
        <v>831</v>
      </c>
      <c r="B17" s="523" t="s">
        <v>746</v>
      </c>
      <c r="C17" s="523" t="s">
        <v>766</v>
      </c>
      <c r="D17" s="523" t="s">
        <v>771</v>
      </c>
      <c r="E17" s="523" t="s">
        <v>772</v>
      </c>
      <c r="F17" s="535">
        <v>2</v>
      </c>
      <c r="G17" s="535">
        <v>69</v>
      </c>
      <c r="H17" s="535">
        <v>1</v>
      </c>
      <c r="I17" s="535">
        <v>34.5</v>
      </c>
      <c r="J17" s="535"/>
      <c r="K17" s="535"/>
      <c r="L17" s="535"/>
      <c r="M17" s="535"/>
      <c r="N17" s="535"/>
      <c r="O17" s="535"/>
      <c r="P17" s="528"/>
      <c r="Q17" s="536"/>
    </row>
    <row r="18" spans="1:17" ht="14.4" customHeight="1" x14ac:dyDescent="0.3">
      <c r="A18" s="522" t="s">
        <v>831</v>
      </c>
      <c r="B18" s="523" t="s">
        <v>746</v>
      </c>
      <c r="C18" s="523" t="s">
        <v>766</v>
      </c>
      <c r="D18" s="523" t="s">
        <v>790</v>
      </c>
      <c r="E18" s="523" t="s">
        <v>791</v>
      </c>
      <c r="F18" s="535">
        <v>2</v>
      </c>
      <c r="G18" s="535">
        <v>338</v>
      </c>
      <c r="H18" s="535">
        <v>1</v>
      </c>
      <c r="I18" s="535">
        <v>169</v>
      </c>
      <c r="J18" s="535"/>
      <c r="K18" s="535"/>
      <c r="L18" s="535"/>
      <c r="M18" s="535"/>
      <c r="N18" s="535"/>
      <c r="O18" s="535"/>
      <c r="P18" s="528"/>
      <c r="Q18" s="536"/>
    </row>
    <row r="19" spans="1:17" ht="14.4" customHeight="1" x14ac:dyDescent="0.3">
      <c r="A19" s="522" t="s">
        <v>831</v>
      </c>
      <c r="B19" s="523" t="s">
        <v>746</v>
      </c>
      <c r="C19" s="523" t="s">
        <v>766</v>
      </c>
      <c r="D19" s="523" t="s">
        <v>802</v>
      </c>
      <c r="E19" s="523" t="s">
        <v>803</v>
      </c>
      <c r="F19" s="535">
        <v>1</v>
      </c>
      <c r="G19" s="535">
        <v>330</v>
      </c>
      <c r="H19" s="535">
        <v>1</v>
      </c>
      <c r="I19" s="535">
        <v>330</v>
      </c>
      <c r="J19" s="535"/>
      <c r="K19" s="535"/>
      <c r="L19" s="535"/>
      <c r="M19" s="535"/>
      <c r="N19" s="535"/>
      <c r="O19" s="535"/>
      <c r="P19" s="528"/>
      <c r="Q19" s="536"/>
    </row>
    <row r="20" spans="1:17" ht="14.4" customHeight="1" x14ac:dyDescent="0.3">
      <c r="A20" s="522" t="s">
        <v>831</v>
      </c>
      <c r="B20" s="523" t="s">
        <v>746</v>
      </c>
      <c r="C20" s="523" t="s">
        <v>766</v>
      </c>
      <c r="D20" s="523" t="s">
        <v>813</v>
      </c>
      <c r="E20" s="523" t="s">
        <v>814</v>
      </c>
      <c r="F20" s="535">
        <v>3</v>
      </c>
      <c r="G20" s="535">
        <v>1941</v>
      </c>
      <c r="H20" s="535">
        <v>1</v>
      </c>
      <c r="I20" s="535">
        <v>647</v>
      </c>
      <c r="J20" s="535">
        <v>1</v>
      </c>
      <c r="K20" s="535">
        <v>653</v>
      </c>
      <c r="L20" s="535">
        <v>0.33642452344152501</v>
      </c>
      <c r="M20" s="535">
        <v>653</v>
      </c>
      <c r="N20" s="535"/>
      <c r="O20" s="535"/>
      <c r="P20" s="528"/>
      <c r="Q20" s="536"/>
    </row>
    <row r="21" spans="1:17" ht="14.4" customHeight="1" thickBot="1" x14ac:dyDescent="0.35">
      <c r="A21" s="514" t="s">
        <v>832</v>
      </c>
      <c r="B21" s="515" t="s">
        <v>746</v>
      </c>
      <c r="C21" s="515" t="s">
        <v>766</v>
      </c>
      <c r="D21" s="515" t="s">
        <v>813</v>
      </c>
      <c r="E21" s="515" t="s">
        <v>814</v>
      </c>
      <c r="F21" s="537">
        <v>2</v>
      </c>
      <c r="G21" s="537">
        <v>1290</v>
      </c>
      <c r="H21" s="537">
        <v>1</v>
      </c>
      <c r="I21" s="537">
        <v>645</v>
      </c>
      <c r="J21" s="537"/>
      <c r="K21" s="537"/>
      <c r="L21" s="537"/>
      <c r="M21" s="537"/>
      <c r="N21" s="537"/>
      <c r="O21" s="537"/>
      <c r="P21" s="520"/>
      <c r="Q21" s="538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12" t="s">
        <v>136</v>
      </c>
      <c r="B1" s="312"/>
      <c r="C1" s="312"/>
      <c r="D1" s="312"/>
      <c r="E1" s="312"/>
      <c r="F1" s="312"/>
      <c r="G1" s="313"/>
      <c r="H1" s="313"/>
    </row>
    <row r="2" spans="1:8" ht="14.4" customHeight="1" thickBot="1" x14ac:dyDescent="0.35">
      <c r="A2" s="234" t="s">
        <v>246</v>
      </c>
      <c r="B2" s="111"/>
      <c r="C2" s="111"/>
      <c r="D2" s="111"/>
      <c r="E2" s="111"/>
      <c r="F2" s="111"/>
    </row>
    <row r="3" spans="1:8" ht="14.4" customHeight="1" x14ac:dyDescent="0.3">
      <c r="A3" s="314"/>
      <c r="B3" s="107">
        <v>2014</v>
      </c>
      <c r="C3" s="40">
        <v>2015</v>
      </c>
      <c r="D3" s="7"/>
      <c r="E3" s="318">
        <v>2016</v>
      </c>
      <c r="F3" s="319"/>
      <c r="G3" s="319"/>
      <c r="H3" s="320"/>
    </row>
    <row r="4" spans="1:8" ht="14.4" customHeight="1" thickBot="1" x14ac:dyDescent="0.35">
      <c r="A4" s="315"/>
      <c r="B4" s="316" t="s">
        <v>73</v>
      </c>
      <c r="C4" s="317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295.27905999999996</v>
      </c>
      <c r="C5" s="29">
        <v>247.66003000000001</v>
      </c>
      <c r="D5" s="8"/>
      <c r="E5" s="117">
        <v>298.49718000000001</v>
      </c>
      <c r="F5" s="28">
        <v>346.01953714096101</v>
      </c>
      <c r="G5" s="116">
        <f>E5-F5</f>
        <v>-47.522357140960992</v>
      </c>
      <c r="H5" s="122">
        <f>IF(F5&lt;0.00000001,"",E5/F5)</f>
        <v>0.86265990199969145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27.16404</v>
      </c>
      <c r="C6" s="31">
        <v>30.483409999999999</v>
      </c>
      <c r="D6" s="8"/>
      <c r="E6" s="118">
        <v>24.035119999999999</v>
      </c>
      <c r="F6" s="30">
        <v>41.271428725961997</v>
      </c>
      <c r="G6" s="119">
        <f>E6-F6</f>
        <v>-17.236308725961997</v>
      </c>
      <c r="H6" s="123">
        <f>IF(F6&lt;0.00000001,"",E6/F6)</f>
        <v>0.58236704524068461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3164.6211800000028</v>
      </c>
      <c r="C7" s="31">
        <v>3598.2950000000019</v>
      </c>
      <c r="D7" s="8"/>
      <c r="E7" s="118">
        <v>3747.8697099999999</v>
      </c>
      <c r="F7" s="30">
        <v>3734.00033710363</v>
      </c>
      <c r="G7" s="119">
        <f>E7-F7</f>
        <v>13.869372896369896</v>
      </c>
      <c r="H7" s="123">
        <f>IF(F7&lt;0.00000001,"",E7/F7)</f>
        <v>1.0037143469856054</v>
      </c>
    </row>
    <row r="8" spans="1:8" ht="14.4" customHeight="1" thickBot="1" x14ac:dyDescent="0.35">
      <c r="A8" s="1" t="s">
        <v>76</v>
      </c>
      <c r="B8" s="11">
        <v>931.80055999999922</v>
      </c>
      <c r="C8" s="33">
        <v>989.65704999999957</v>
      </c>
      <c r="D8" s="8"/>
      <c r="E8" s="120">
        <v>993.84583999999882</v>
      </c>
      <c r="F8" s="32">
        <v>910.96880885986434</v>
      </c>
      <c r="G8" s="121">
        <f>E8-F8</f>
        <v>82.877031140134477</v>
      </c>
      <c r="H8" s="124">
        <f>IF(F8&lt;0.00000001,"",E8/F8)</f>
        <v>1.0909768044021841</v>
      </c>
    </row>
    <row r="9" spans="1:8" ht="14.4" customHeight="1" thickBot="1" x14ac:dyDescent="0.35">
      <c r="A9" s="2" t="s">
        <v>77</v>
      </c>
      <c r="B9" s="3">
        <v>4418.864840000002</v>
      </c>
      <c r="C9" s="35">
        <v>4866.0954900000015</v>
      </c>
      <c r="D9" s="8"/>
      <c r="E9" s="3">
        <v>5064.2478499999988</v>
      </c>
      <c r="F9" s="34">
        <v>5032.2601118304174</v>
      </c>
      <c r="G9" s="34">
        <f>E9-F9</f>
        <v>31.987738169581462</v>
      </c>
      <c r="H9" s="125">
        <f>IF(F9&lt;0.00000001,"",E9/F9)</f>
        <v>1.0063565351271053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1064.8510000000001</v>
      </c>
      <c r="C11" s="29">
        <f>IF(ISERROR(VLOOKUP("Celkem:",'ZV Vykáz.-A'!A:F,4,0)),0,VLOOKUP("Celkem:",'ZV Vykáz.-A'!A:F,4,0)/1000)</f>
        <v>1267.3433099999995</v>
      </c>
      <c r="D11" s="8"/>
      <c r="E11" s="117">
        <f>IF(ISERROR(VLOOKUP("Celkem:",'ZV Vykáz.-A'!A:F,6,0)),0,VLOOKUP("Celkem:",'ZV Vykáz.-A'!A:F,6,0)/1000)</f>
        <v>1255.3009999999999</v>
      </c>
      <c r="F11" s="28">
        <f>B11</f>
        <v>1064.8510000000001</v>
      </c>
      <c r="G11" s="116">
        <f>E11-F11</f>
        <v>190.44999999999982</v>
      </c>
      <c r="H11" s="122">
        <f>IF(F11&lt;0.00000001,"",E11/F11)</f>
        <v>1.1788513134701473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1064.8510000000001</v>
      </c>
      <c r="C13" s="37">
        <f>SUM(C11:C12)</f>
        <v>1267.3433099999995</v>
      </c>
      <c r="D13" s="8"/>
      <c r="E13" s="5">
        <f>SUM(E11:E12)</f>
        <v>1255.3009999999999</v>
      </c>
      <c r="F13" s="36">
        <f>SUM(F11:F12)</f>
        <v>1064.8510000000001</v>
      </c>
      <c r="G13" s="36">
        <f>E13-F13</f>
        <v>190.44999999999982</v>
      </c>
      <c r="H13" s="126">
        <f>IF(F13&lt;0.00000001,"",E13/F13)</f>
        <v>1.1788513134701473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0.24097840476152685</v>
      </c>
      <c r="C15" s="39">
        <f>IF(C9=0,"",C13/C9)</f>
        <v>0.26044357588223144</v>
      </c>
      <c r="D15" s="8"/>
      <c r="E15" s="6">
        <f>IF(E9=0,"",E13/E9)</f>
        <v>0.24787511140474694</v>
      </c>
      <c r="F15" s="38">
        <f>IF(F9=0,"",F13/F9)</f>
        <v>0.21160492032131359</v>
      </c>
      <c r="G15" s="38">
        <f>IF(ISERROR(F15-E15),"",E15-F15)</f>
        <v>3.6270191083433351E-2</v>
      </c>
      <c r="H15" s="127">
        <f>IF(ISERROR(F15-E15),"",IF(F15&lt;0.00000001,"",E15/F15))</f>
        <v>1.171405234946137</v>
      </c>
    </row>
    <row r="17" spans="1:8" ht="14.4" customHeight="1" x14ac:dyDescent="0.3">
      <c r="A17" s="113" t="s">
        <v>157</v>
      </c>
    </row>
    <row r="18" spans="1:8" ht="14.4" customHeight="1" x14ac:dyDescent="0.3">
      <c r="A18" s="275" t="s">
        <v>190</v>
      </c>
      <c r="B18" s="276"/>
      <c r="C18" s="276"/>
      <c r="D18" s="276"/>
      <c r="E18" s="276"/>
      <c r="F18" s="276"/>
      <c r="G18" s="276"/>
      <c r="H18" s="276"/>
    </row>
    <row r="19" spans="1:8" x14ac:dyDescent="0.3">
      <c r="A19" s="274" t="s">
        <v>189</v>
      </c>
      <c r="B19" s="276"/>
      <c r="C19" s="276"/>
      <c r="D19" s="276"/>
      <c r="E19" s="276"/>
      <c r="F19" s="276"/>
      <c r="G19" s="276"/>
      <c r="H19" s="276"/>
    </row>
    <row r="20" spans="1:8" ht="14.4" customHeight="1" x14ac:dyDescent="0.3">
      <c r="A20" s="114" t="s">
        <v>213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245</v>
      </c>
    </row>
    <row r="23" spans="1:8" ht="14.4" customHeight="1" x14ac:dyDescent="0.3">
      <c r="A23" s="115" t="s">
        <v>159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4" operator="greaterThan">
      <formula>0</formula>
    </cfRule>
  </conditionalFormatting>
  <conditionalFormatting sqref="G11:G13 G15">
    <cfRule type="cellIs" dxfId="57" priority="3" operator="lessThan">
      <formula>0</formula>
    </cfRule>
  </conditionalFormatting>
  <conditionalFormatting sqref="H5:H9">
    <cfRule type="cellIs" dxfId="56" priority="2" operator="greaterThan">
      <formula>1</formula>
    </cfRule>
  </conditionalFormatting>
  <conditionalFormatting sqref="H11:H13 H15">
    <cfRule type="cellIs" dxfId="5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12" t="s">
        <v>104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pans="1:13" ht="14.4" customHeight="1" x14ac:dyDescent="0.3">
      <c r="A2" s="234" t="s">
        <v>246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0.27364282331245343</v>
      </c>
      <c r="C4" s="201">
        <f t="shared" ref="C4:M4" si="0">(C10+C8)/C6</f>
        <v>0.26779401414919063</v>
      </c>
      <c r="D4" s="201">
        <f t="shared" si="0"/>
        <v>0.25999828456738355</v>
      </c>
      <c r="E4" s="201">
        <f t="shared" si="0"/>
        <v>0.2463156743905702</v>
      </c>
      <c r="F4" s="201">
        <f t="shared" si="0"/>
        <v>0.25159424078178427</v>
      </c>
      <c r="G4" s="201">
        <f t="shared" si="0"/>
        <v>0.2478750956077318</v>
      </c>
      <c r="H4" s="201">
        <f t="shared" si="0"/>
        <v>0.2478750956077318</v>
      </c>
      <c r="I4" s="201">
        <f t="shared" si="0"/>
        <v>0.2478750956077318</v>
      </c>
      <c r="J4" s="201">
        <f t="shared" si="0"/>
        <v>0.2478750956077318</v>
      </c>
      <c r="K4" s="201">
        <f t="shared" si="0"/>
        <v>0.2478750956077318</v>
      </c>
      <c r="L4" s="201">
        <f t="shared" si="0"/>
        <v>0.2478750956077318</v>
      </c>
      <c r="M4" s="201">
        <f t="shared" si="0"/>
        <v>0.2478750956077318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841.99409000000003</v>
      </c>
      <c r="C5" s="201">
        <f>IF(ISERROR(VLOOKUP($A5,'Man Tab'!$A:$Q,COLUMN()+2,0)),0,VLOOKUP($A5,'Man Tab'!$A:$Q,COLUMN()+2,0))</f>
        <v>794.35675000000003</v>
      </c>
      <c r="D5" s="201">
        <f>IF(ISERROR(VLOOKUP($A5,'Man Tab'!$A:$Q,COLUMN()+2,0)),0,VLOOKUP($A5,'Man Tab'!$A:$Q,COLUMN()+2,0))</f>
        <v>838.36018000000001</v>
      </c>
      <c r="E5" s="201">
        <f>IF(ISERROR(VLOOKUP($A5,'Man Tab'!$A:$Q,COLUMN()+2,0)),0,VLOOKUP($A5,'Man Tab'!$A:$Q,COLUMN()+2,0))</f>
        <v>1016.95309</v>
      </c>
      <c r="F5" s="201">
        <f>IF(ISERROR(VLOOKUP($A5,'Man Tab'!$A:$Q,COLUMN()+2,0)),0,VLOOKUP($A5,'Man Tab'!$A:$Q,COLUMN()+2,0))</f>
        <v>772.69800999999995</v>
      </c>
      <c r="G5" s="201">
        <f>IF(ISERROR(VLOOKUP($A5,'Man Tab'!$A:$Q,COLUMN()+2,0)),0,VLOOKUP($A5,'Man Tab'!$A:$Q,COLUMN()+2,0))</f>
        <v>799.88572999999997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841.99409000000003</v>
      </c>
      <c r="C6" s="203">
        <f t="shared" ref="C6:M6" si="1">C5+B6</f>
        <v>1636.3508400000001</v>
      </c>
      <c r="D6" s="203">
        <f t="shared" si="1"/>
        <v>2474.7110200000002</v>
      </c>
      <c r="E6" s="203">
        <f t="shared" si="1"/>
        <v>3491.6641100000002</v>
      </c>
      <c r="F6" s="203">
        <f t="shared" si="1"/>
        <v>4264.3621199999998</v>
      </c>
      <c r="G6" s="203">
        <f t="shared" si="1"/>
        <v>5064.2478499999997</v>
      </c>
      <c r="H6" s="203">
        <f t="shared" si="1"/>
        <v>5064.2478499999997</v>
      </c>
      <c r="I6" s="203">
        <f t="shared" si="1"/>
        <v>5064.2478499999997</v>
      </c>
      <c r="J6" s="203">
        <f t="shared" si="1"/>
        <v>5064.2478499999997</v>
      </c>
      <c r="K6" s="203">
        <f t="shared" si="1"/>
        <v>5064.2478499999997</v>
      </c>
      <c r="L6" s="203">
        <f t="shared" si="1"/>
        <v>5064.2478499999997</v>
      </c>
      <c r="M6" s="203">
        <f t="shared" si="1"/>
        <v>5064.2478499999997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230405.64</v>
      </c>
      <c r="C9" s="202">
        <v>207799.32</v>
      </c>
      <c r="D9" s="202">
        <v>205215.66</v>
      </c>
      <c r="E9" s="202">
        <v>216630.97999999998</v>
      </c>
      <c r="F9" s="202">
        <v>212837.35</v>
      </c>
      <c r="G9" s="202">
        <v>182411.97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230.40564000000001</v>
      </c>
      <c r="C10" s="203">
        <f t="shared" ref="C10:M10" si="3">C9/1000+B10</f>
        <v>438.20496000000003</v>
      </c>
      <c r="D10" s="203">
        <f t="shared" si="3"/>
        <v>643.4206200000001</v>
      </c>
      <c r="E10" s="203">
        <f t="shared" si="3"/>
        <v>860.05160000000012</v>
      </c>
      <c r="F10" s="203">
        <f t="shared" si="3"/>
        <v>1072.88895</v>
      </c>
      <c r="G10" s="203">
        <f t="shared" si="3"/>
        <v>1255.3009200000001</v>
      </c>
      <c r="H10" s="203">
        <f t="shared" si="3"/>
        <v>1255.3009200000001</v>
      </c>
      <c r="I10" s="203">
        <f t="shared" si="3"/>
        <v>1255.3009200000001</v>
      </c>
      <c r="J10" s="203">
        <f t="shared" si="3"/>
        <v>1255.3009200000001</v>
      </c>
      <c r="K10" s="203">
        <f t="shared" si="3"/>
        <v>1255.3009200000001</v>
      </c>
      <c r="L10" s="203">
        <f t="shared" si="3"/>
        <v>1255.3009200000001</v>
      </c>
      <c r="M10" s="203">
        <f t="shared" si="3"/>
        <v>1255.3009200000001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6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0.21160492032131359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0.21160492032131359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21" t="s">
        <v>248</v>
      </c>
      <c r="B1" s="321"/>
      <c r="C1" s="321"/>
      <c r="D1" s="321"/>
      <c r="E1" s="321"/>
      <c r="F1" s="321"/>
      <c r="G1" s="321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s="204" customFormat="1" ht="14.4" customHeight="1" thickBot="1" x14ac:dyDescent="0.3">
      <c r="A2" s="234" t="s">
        <v>246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22" t="s">
        <v>29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38"/>
      <c r="Q3" s="140"/>
    </row>
    <row r="4" spans="1:17" ht="14.4" customHeight="1" x14ac:dyDescent="0.3">
      <c r="A4" s="77"/>
      <c r="B4" s="20">
        <v>2016</v>
      </c>
      <c r="C4" s="139" t="s">
        <v>30</v>
      </c>
      <c r="D4" s="129" t="s">
        <v>225</v>
      </c>
      <c r="E4" s="129" t="s">
        <v>226</v>
      </c>
      <c r="F4" s="129" t="s">
        <v>227</v>
      </c>
      <c r="G4" s="129" t="s">
        <v>228</v>
      </c>
      <c r="H4" s="129" t="s">
        <v>229</v>
      </c>
      <c r="I4" s="129" t="s">
        <v>230</v>
      </c>
      <c r="J4" s="129" t="s">
        <v>231</v>
      </c>
      <c r="K4" s="129" t="s">
        <v>232</v>
      </c>
      <c r="L4" s="129" t="s">
        <v>233</v>
      </c>
      <c r="M4" s="129" t="s">
        <v>234</v>
      </c>
      <c r="N4" s="129" t="s">
        <v>235</v>
      </c>
      <c r="O4" s="129" t="s">
        <v>236</v>
      </c>
      <c r="P4" s="324" t="s">
        <v>3</v>
      </c>
      <c r="Q4" s="32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247</v>
      </c>
    </row>
    <row r="7" spans="1:17" ht="14.4" customHeight="1" x14ac:dyDescent="0.3">
      <c r="A7" s="15" t="s">
        <v>35</v>
      </c>
      <c r="B7" s="51">
        <v>692.03920256947504</v>
      </c>
      <c r="C7" s="52">
        <v>57.669933547455997</v>
      </c>
      <c r="D7" s="52">
        <v>56.781179999999999</v>
      </c>
      <c r="E7" s="52">
        <v>29.183209999999999</v>
      </c>
      <c r="F7" s="52">
        <v>41.014139999999998</v>
      </c>
      <c r="G7" s="52">
        <v>43.511200000000002</v>
      </c>
      <c r="H7" s="52">
        <v>50.737789999999997</v>
      </c>
      <c r="I7" s="52">
        <v>77.269660000000002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298.49718000000001</v>
      </c>
      <c r="Q7" s="95">
        <v>0.862659742083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247</v>
      </c>
    </row>
    <row r="9" spans="1:17" ht="14.4" customHeight="1" x14ac:dyDescent="0.3">
      <c r="A9" s="15" t="s">
        <v>37</v>
      </c>
      <c r="B9" s="51">
        <v>82.542872753403998</v>
      </c>
      <c r="C9" s="52">
        <v>6.8785727294500001</v>
      </c>
      <c r="D9" s="52">
        <v>2.3738199999999998</v>
      </c>
      <c r="E9" s="52">
        <v>2.7307399999999999</v>
      </c>
      <c r="F9" s="52">
        <v>4.8525200000000002</v>
      </c>
      <c r="G9" s="52">
        <v>4.1885199999999996</v>
      </c>
      <c r="H9" s="52">
        <v>4.4275000000000002</v>
      </c>
      <c r="I9" s="52">
        <v>5.4620199999999999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24.035119999999999</v>
      </c>
      <c r="Q9" s="95">
        <v>0.58236693728300004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247</v>
      </c>
    </row>
    <row r="11" spans="1:17" ht="14.4" customHeight="1" x14ac:dyDescent="0.3">
      <c r="A11" s="15" t="s">
        <v>39</v>
      </c>
      <c r="B11" s="51">
        <v>83.707602594278001</v>
      </c>
      <c r="C11" s="52">
        <v>6.9756335495229997</v>
      </c>
      <c r="D11" s="52">
        <v>4.6226799999999999</v>
      </c>
      <c r="E11" s="52">
        <v>2.6044</v>
      </c>
      <c r="F11" s="52">
        <v>4.9825699999999999</v>
      </c>
      <c r="G11" s="52">
        <v>5.4173299999999998</v>
      </c>
      <c r="H11" s="52">
        <v>5.2109699999999997</v>
      </c>
      <c r="I11" s="52">
        <v>5.1351800000000001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27.973130000000001</v>
      </c>
      <c r="Q11" s="95">
        <v>0.66835339044599995</v>
      </c>
    </row>
    <row r="12" spans="1:17" ht="14.4" customHeight="1" x14ac:dyDescent="0.3">
      <c r="A12" s="15" t="s">
        <v>40</v>
      </c>
      <c r="B12" s="51">
        <v>1.198534382122</v>
      </c>
      <c r="C12" s="52">
        <v>9.9877865176000002E-2</v>
      </c>
      <c r="D12" s="52">
        <v>0</v>
      </c>
      <c r="E12" s="52">
        <v>0</v>
      </c>
      <c r="F12" s="52">
        <v>0</v>
      </c>
      <c r="G12" s="52">
        <v>0.38200000000000001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0.38200000000000001</v>
      </c>
      <c r="Q12" s="95">
        <v>0.63744520924500003</v>
      </c>
    </row>
    <row r="13" spans="1:17" ht="14.4" customHeight="1" x14ac:dyDescent="0.3">
      <c r="A13" s="15" t="s">
        <v>41</v>
      </c>
      <c r="B13" s="51">
        <v>3.8554157980000001</v>
      </c>
      <c r="C13" s="52">
        <v>0.32128464983299998</v>
      </c>
      <c r="D13" s="52">
        <v>0.37268000000000001</v>
      </c>
      <c r="E13" s="52">
        <v>0.37268000000000001</v>
      </c>
      <c r="F13" s="52">
        <v>0.90207999999999999</v>
      </c>
      <c r="G13" s="52">
        <v>0.193</v>
      </c>
      <c r="H13" s="52">
        <v>0.77017000000000002</v>
      </c>
      <c r="I13" s="52">
        <v>0.43017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3.0407799999999998</v>
      </c>
      <c r="Q13" s="95">
        <v>1.577407034321</v>
      </c>
    </row>
    <row r="14" spans="1:17" ht="14.4" customHeight="1" x14ac:dyDescent="0.3">
      <c r="A14" s="15" t="s">
        <v>42</v>
      </c>
      <c r="B14" s="51">
        <v>1163.47350828806</v>
      </c>
      <c r="C14" s="52">
        <v>96.956125690671001</v>
      </c>
      <c r="D14" s="52">
        <v>156.16399999999999</v>
      </c>
      <c r="E14" s="52">
        <v>118.379</v>
      </c>
      <c r="F14" s="52">
        <v>124.91800000000001</v>
      </c>
      <c r="G14" s="52">
        <v>95.051000000000002</v>
      </c>
      <c r="H14" s="52">
        <v>71.233999999999995</v>
      </c>
      <c r="I14" s="52">
        <v>60.399000000000001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626.14499999999998</v>
      </c>
      <c r="Q14" s="95">
        <v>1.076337356269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247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247</v>
      </c>
    </row>
    <row r="17" spans="1:17" ht="14.4" customHeight="1" x14ac:dyDescent="0.3">
      <c r="A17" s="15" t="s">
        <v>45</v>
      </c>
      <c r="B17" s="51">
        <v>52.728345657689999</v>
      </c>
      <c r="C17" s="52">
        <v>4.3940288048070002</v>
      </c>
      <c r="D17" s="52">
        <v>0.45495999999999998</v>
      </c>
      <c r="E17" s="52">
        <v>1.0102500000000001</v>
      </c>
      <c r="F17" s="52">
        <v>3.9962200000000001</v>
      </c>
      <c r="G17" s="52">
        <v>2.3254700000000001</v>
      </c>
      <c r="H17" s="52">
        <v>15.696999999999999</v>
      </c>
      <c r="I17" s="52">
        <v>1.03528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24.519179999999999</v>
      </c>
      <c r="Q17" s="95">
        <v>0.93001893740999997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0.90800000000000003</v>
      </c>
      <c r="F18" s="52">
        <v>0</v>
      </c>
      <c r="G18" s="52">
        <v>0.24199999999999999</v>
      </c>
      <c r="H18" s="52">
        <v>0.66400000000000003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1.8140000000000001</v>
      </c>
      <c r="Q18" s="95" t="s">
        <v>247</v>
      </c>
    </row>
    <row r="19" spans="1:17" ht="14.4" customHeight="1" x14ac:dyDescent="0.3">
      <c r="A19" s="15" t="s">
        <v>47</v>
      </c>
      <c r="B19" s="51">
        <v>209.84358889128799</v>
      </c>
      <c r="C19" s="52">
        <v>17.486965740940001</v>
      </c>
      <c r="D19" s="52">
        <v>21.01069</v>
      </c>
      <c r="E19" s="52">
        <v>35.77919</v>
      </c>
      <c r="F19" s="52">
        <v>28.5718</v>
      </c>
      <c r="G19" s="52">
        <v>17.02984</v>
      </c>
      <c r="H19" s="52">
        <v>16.753810000000001</v>
      </c>
      <c r="I19" s="52">
        <v>29.206669999999999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148.352</v>
      </c>
      <c r="Q19" s="95">
        <v>1.4139293059539999</v>
      </c>
    </row>
    <row r="20" spans="1:17" ht="14.4" customHeight="1" x14ac:dyDescent="0.3">
      <c r="A20" s="15" t="s">
        <v>48</v>
      </c>
      <c r="B20" s="51">
        <v>7468.0020585966204</v>
      </c>
      <c r="C20" s="52">
        <v>622.333504883052</v>
      </c>
      <c r="D20" s="52">
        <v>574.78008</v>
      </c>
      <c r="E20" s="52">
        <v>578.34402999999998</v>
      </c>
      <c r="F20" s="52">
        <v>603.95285000000001</v>
      </c>
      <c r="G20" s="52">
        <v>823.17872999999997</v>
      </c>
      <c r="H20" s="52">
        <v>581.76877000000002</v>
      </c>
      <c r="I20" s="52">
        <v>585.84524999999996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3747.8697099999999</v>
      </c>
      <c r="Q20" s="95">
        <v>1.00371416092</v>
      </c>
    </row>
    <row r="21" spans="1:17" ht="14.4" customHeight="1" x14ac:dyDescent="0.3">
      <c r="A21" s="16" t="s">
        <v>49</v>
      </c>
      <c r="B21" s="51">
        <v>306.00076335869301</v>
      </c>
      <c r="C21" s="52">
        <v>25.500063613224</v>
      </c>
      <c r="D21" s="52">
        <v>25.434000000000001</v>
      </c>
      <c r="E21" s="52">
        <v>25.434000000000001</v>
      </c>
      <c r="F21" s="52">
        <v>25.434000000000001</v>
      </c>
      <c r="G21" s="52">
        <v>25.434000000000001</v>
      </c>
      <c r="H21" s="52">
        <v>25.434000000000001</v>
      </c>
      <c r="I21" s="52">
        <v>25.434000000000001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152.60400000000001</v>
      </c>
      <c r="Q21" s="95">
        <v>0.99740927653199996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9.6684999999999999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9.6684999999999999</v>
      </c>
      <c r="Q22" s="95" t="s">
        <v>247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247</v>
      </c>
    </row>
    <row r="24" spans="1:17" ht="14.4" customHeight="1" x14ac:dyDescent="0.3">
      <c r="A24" s="16" t="s">
        <v>52</v>
      </c>
      <c r="B24" s="51">
        <v>0</v>
      </c>
      <c r="C24" s="52">
        <v>1.13686837721616E-13</v>
      </c>
      <c r="D24" s="52">
        <v>1.13686837721616E-13</v>
      </c>
      <c r="E24" s="52">
        <v>-0.38874999999900001</v>
      </c>
      <c r="F24" s="52">
        <v>-0.26400000000000001</v>
      </c>
      <c r="G24" s="52">
        <v>0</v>
      </c>
      <c r="H24" s="52">
        <v>0</v>
      </c>
      <c r="I24" s="52">
        <v>-1.13686837721616E-13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-0.65274999999899996</v>
      </c>
      <c r="Q24" s="95"/>
    </row>
    <row r="25" spans="1:17" ht="14.4" customHeight="1" x14ac:dyDescent="0.3">
      <c r="A25" s="17" t="s">
        <v>53</v>
      </c>
      <c r="B25" s="54">
        <v>10063.3918928896</v>
      </c>
      <c r="C25" s="55">
        <v>838.61599107413599</v>
      </c>
      <c r="D25" s="55">
        <v>841.99409000000003</v>
      </c>
      <c r="E25" s="55">
        <v>794.35675000000003</v>
      </c>
      <c r="F25" s="55">
        <v>838.36018000000001</v>
      </c>
      <c r="G25" s="55">
        <v>1016.95309</v>
      </c>
      <c r="H25" s="55">
        <v>772.69800999999995</v>
      </c>
      <c r="I25" s="55">
        <v>799.88572999999997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5064.2478499999997</v>
      </c>
      <c r="Q25" s="96">
        <v>1.006469370149</v>
      </c>
    </row>
    <row r="26" spans="1:17" ht="14.4" customHeight="1" x14ac:dyDescent="0.3">
      <c r="A26" s="15" t="s">
        <v>54</v>
      </c>
      <c r="B26" s="51">
        <v>1408.3825807082101</v>
      </c>
      <c r="C26" s="52">
        <v>117.365215059017</v>
      </c>
      <c r="D26" s="52">
        <v>99.854489999999998</v>
      </c>
      <c r="E26" s="52">
        <v>95.495699999999999</v>
      </c>
      <c r="F26" s="52">
        <v>101.0776</v>
      </c>
      <c r="G26" s="52">
        <v>125.02151000000001</v>
      </c>
      <c r="H26" s="52">
        <v>90.815299999999993</v>
      </c>
      <c r="I26" s="52">
        <v>155.28951000000001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667.55411000000004</v>
      </c>
      <c r="Q26" s="95">
        <v>0.94797268745499996</v>
      </c>
    </row>
    <row r="27" spans="1:17" ht="14.4" customHeight="1" x14ac:dyDescent="0.3">
      <c r="A27" s="18" t="s">
        <v>55</v>
      </c>
      <c r="B27" s="54">
        <v>11471.774473597799</v>
      </c>
      <c r="C27" s="55">
        <v>955.98120613315302</v>
      </c>
      <c r="D27" s="55">
        <v>941.84857999999997</v>
      </c>
      <c r="E27" s="55">
        <v>889.85244999999998</v>
      </c>
      <c r="F27" s="55">
        <v>939.43777999999998</v>
      </c>
      <c r="G27" s="55">
        <v>1141.9746</v>
      </c>
      <c r="H27" s="55">
        <v>863.51331000000005</v>
      </c>
      <c r="I27" s="55">
        <v>955.17524000000003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5731.8019599999998</v>
      </c>
      <c r="Q27" s="96">
        <v>0.99928776898299998</v>
      </c>
    </row>
    <row r="28" spans="1:17" ht="14.4" customHeight="1" x14ac:dyDescent="0.3">
      <c r="A28" s="16" t="s">
        <v>56</v>
      </c>
      <c r="B28" s="51">
        <v>4453.7341744157702</v>
      </c>
      <c r="C28" s="52">
        <v>371.14451453464801</v>
      </c>
      <c r="D28" s="52">
        <v>318.11239999999998</v>
      </c>
      <c r="E28" s="52">
        <v>384.26693</v>
      </c>
      <c r="F28" s="52">
        <v>357.46535</v>
      </c>
      <c r="G28" s="52">
        <v>406.54829000000001</v>
      </c>
      <c r="H28" s="52">
        <v>463.22386999999998</v>
      </c>
      <c r="I28" s="52">
        <v>458.70021000000003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2388.3170500000001</v>
      </c>
      <c r="Q28" s="95">
        <v>1.0725009425659999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247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247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157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237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21" t="s">
        <v>61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" customHeight="1" thickBot="1" x14ac:dyDescent="0.35">
      <c r="A2" s="234" t="s">
        <v>246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22" t="s">
        <v>62</v>
      </c>
      <c r="C3" s="323"/>
      <c r="D3" s="323"/>
      <c r="E3" s="323"/>
      <c r="F3" s="329" t="s">
        <v>63</v>
      </c>
      <c r="G3" s="323"/>
      <c r="H3" s="323"/>
      <c r="I3" s="323"/>
      <c r="J3" s="323"/>
      <c r="K3" s="330"/>
    </row>
    <row r="4" spans="1:11" ht="14.4" customHeight="1" x14ac:dyDescent="0.3">
      <c r="A4" s="77"/>
      <c r="B4" s="327"/>
      <c r="C4" s="328"/>
      <c r="D4" s="328"/>
      <c r="E4" s="328"/>
      <c r="F4" s="331" t="s">
        <v>242</v>
      </c>
      <c r="G4" s="333" t="s">
        <v>64</v>
      </c>
      <c r="H4" s="141" t="s">
        <v>141</v>
      </c>
      <c r="I4" s="331" t="s">
        <v>65</v>
      </c>
      <c r="J4" s="333" t="s">
        <v>216</v>
      </c>
      <c r="K4" s="334" t="s">
        <v>244</v>
      </c>
    </row>
    <row r="5" spans="1:11" ht="42" thickBot="1" x14ac:dyDescent="0.35">
      <c r="A5" s="78"/>
      <c r="B5" s="24" t="s">
        <v>238</v>
      </c>
      <c r="C5" s="25" t="s">
        <v>239</v>
      </c>
      <c r="D5" s="26" t="s">
        <v>240</v>
      </c>
      <c r="E5" s="26" t="s">
        <v>241</v>
      </c>
      <c r="F5" s="332"/>
      <c r="G5" s="332"/>
      <c r="H5" s="25" t="s">
        <v>243</v>
      </c>
      <c r="I5" s="332"/>
      <c r="J5" s="332"/>
      <c r="K5" s="335"/>
    </row>
    <row r="6" spans="1:11" ht="14.4" customHeight="1" thickBot="1" x14ac:dyDescent="0.35">
      <c r="A6" s="423" t="s">
        <v>249</v>
      </c>
      <c r="B6" s="405">
        <v>9684.4946683273993</v>
      </c>
      <c r="C6" s="405">
        <v>10207.66468</v>
      </c>
      <c r="D6" s="406">
        <v>523.17001167259696</v>
      </c>
      <c r="E6" s="407">
        <v>1.0540214053070001</v>
      </c>
      <c r="F6" s="405">
        <v>10063.3918928896</v>
      </c>
      <c r="G6" s="406">
        <v>5031.69594644481</v>
      </c>
      <c r="H6" s="408">
        <v>799.88572999999997</v>
      </c>
      <c r="I6" s="405">
        <v>5064.2478499999997</v>
      </c>
      <c r="J6" s="406">
        <v>32.551903555185</v>
      </c>
      <c r="K6" s="409">
        <v>0.50323468507400004</v>
      </c>
    </row>
    <row r="7" spans="1:11" ht="14.4" customHeight="1" thickBot="1" x14ac:dyDescent="0.35">
      <c r="A7" s="424" t="s">
        <v>250</v>
      </c>
      <c r="B7" s="405">
        <v>1993.1919051438199</v>
      </c>
      <c r="C7" s="405">
        <v>1848.72838</v>
      </c>
      <c r="D7" s="406">
        <v>-144.463525143818</v>
      </c>
      <c r="E7" s="407">
        <v>0.92752151723499998</v>
      </c>
      <c r="F7" s="405">
        <v>2026.8171363853401</v>
      </c>
      <c r="G7" s="406">
        <v>1013.40856819267</v>
      </c>
      <c r="H7" s="408">
        <v>148.69603000000001</v>
      </c>
      <c r="I7" s="405">
        <v>980.07321000000002</v>
      </c>
      <c r="J7" s="406">
        <v>-33.335358192668998</v>
      </c>
      <c r="K7" s="409">
        <v>0.48355285358700001</v>
      </c>
    </row>
    <row r="8" spans="1:11" ht="14.4" customHeight="1" thickBot="1" x14ac:dyDescent="0.35">
      <c r="A8" s="425" t="s">
        <v>251</v>
      </c>
      <c r="B8" s="405">
        <v>845.92085623929302</v>
      </c>
      <c r="C8" s="405">
        <v>669.96537999999998</v>
      </c>
      <c r="D8" s="406">
        <v>-175.95547623929201</v>
      </c>
      <c r="E8" s="407">
        <v>0.79199534454999998</v>
      </c>
      <c r="F8" s="405">
        <v>863.343628097281</v>
      </c>
      <c r="G8" s="406">
        <v>431.67181404863999</v>
      </c>
      <c r="H8" s="408">
        <v>88.297030000000007</v>
      </c>
      <c r="I8" s="405">
        <v>353.92820999999998</v>
      </c>
      <c r="J8" s="406">
        <v>-77.743604048639995</v>
      </c>
      <c r="K8" s="409">
        <v>0.40995056716799999</v>
      </c>
    </row>
    <row r="9" spans="1:11" ht="14.4" customHeight="1" thickBot="1" x14ac:dyDescent="0.35">
      <c r="A9" s="426" t="s">
        <v>252</v>
      </c>
      <c r="B9" s="410">
        <v>0</v>
      </c>
      <c r="C9" s="410">
        <v>-4.0000000000000003E-5</v>
      </c>
      <c r="D9" s="411">
        <v>-4.0000000000000003E-5</v>
      </c>
      <c r="E9" s="412" t="s">
        <v>247</v>
      </c>
      <c r="F9" s="410">
        <v>0</v>
      </c>
      <c r="G9" s="411">
        <v>0</v>
      </c>
      <c r="H9" s="413">
        <v>0</v>
      </c>
      <c r="I9" s="410">
        <v>0</v>
      </c>
      <c r="J9" s="411">
        <v>0</v>
      </c>
      <c r="K9" s="414" t="s">
        <v>247</v>
      </c>
    </row>
    <row r="10" spans="1:11" ht="14.4" customHeight="1" thickBot="1" x14ac:dyDescent="0.35">
      <c r="A10" s="427" t="s">
        <v>253</v>
      </c>
      <c r="B10" s="405">
        <v>0</v>
      </c>
      <c r="C10" s="405">
        <v>-4.0000000000000003E-5</v>
      </c>
      <c r="D10" s="406">
        <v>-4.0000000000000003E-5</v>
      </c>
      <c r="E10" s="415" t="s">
        <v>247</v>
      </c>
      <c r="F10" s="405">
        <v>0</v>
      </c>
      <c r="G10" s="406">
        <v>0</v>
      </c>
      <c r="H10" s="408">
        <v>0</v>
      </c>
      <c r="I10" s="405">
        <v>0</v>
      </c>
      <c r="J10" s="406">
        <v>0</v>
      </c>
      <c r="K10" s="416" t="s">
        <v>247</v>
      </c>
    </row>
    <row r="11" spans="1:11" ht="14.4" customHeight="1" thickBot="1" x14ac:dyDescent="0.35">
      <c r="A11" s="426" t="s">
        <v>254</v>
      </c>
      <c r="B11" s="410">
        <v>668.61019232655701</v>
      </c>
      <c r="C11" s="410">
        <v>498.95972</v>
      </c>
      <c r="D11" s="411">
        <v>-169.65047232655701</v>
      </c>
      <c r="E11" s="417">
        <v>0.74626400513500002</v>
      </c>
      <c r="F11" s="410">
        <v>692.03920256947504</v>
      </c>
      <c r="G11" s="411">
        <v>346.01960128473797</v>
      </c>
      <c r="H11" s="413">
        <v>77.269660000000002</v>
      </c>
      <c r="I11" s="410">
        <v>298.49718000000001</v>
      </c>
      <c r="J11" s="411">
        <v>-47.522421284737</v>
      </c>
      <c r="K11" s="418">
        <v>0.43132987104100001</v>
      </c>
    </row>
    <row r="12" spans="1:11" ht="14.4" customHeight="1" thickBot="1" x14ac:dyDescent="0.35">
      <c r="A12" s="427" t="s">
        <v>255</v>
      </c>
      <c r="B12" s="405">
        <v>668.61019232655701</v>
      </c>
      <c r="C12" s="405">
        <v>498.95972</v>
      </c>
      <c r="D12" s="406">
        <v>-169.65047232655701</v>
      </c>
      <c r="E12" s="407">
        <v>0.74626400513500002</v>
      </c>
      <c r="F12" s="405">
        <v>692.03920256947504</v>
      </c>
      <c r="G12" s="406">
        <v>346.01960128473797</v>
      </c>
      <c r="H12" s="408">
        <v>77.269660000000002</v>
      </c>
      <c r="I12" s="405">
        <v>298.49718000000001</v>
      </c>
      <c r="J12" s="406">
        <v>-47.522421284737</v>
      </c>
      <c r="K12" s="409">
        <v>0.43132987104100001</v>
      </c>
    </row>
    <row r="13" spans="1:11" ht="14.4" customHeight="1" thickBot="1" x14ac:dyDescent="0.35">
      <c r="A13" s="426" t="s">
        <v>256</v>
      </c>
      <c r="B13" s="410">
        <v>83.347137374767001</v>
      </c>
      <c r="C13" s="410">
        <v>82.187719999999999</v>
      </c>
      <c r="D13" s="411">
        <v>-1.159417374767</v>
      </c>
      <c r="E13" s="417">
        <v>0.98608929579000004</v>
      </c>
      <c r="F13" s="410">
        <v>82.542872753403998</v>
      </c>
      <c r="G13" s="411">
        <v>41.271436376701999</v>
      </c>
      <c r="H13" s="413">
        <v>5.4620199999999999</v>
      </c>
      <c r="I13" s="410">
        <v>24.035119999999999</v>
      </c>
      <c r="J13" s="411">
        <v>-17.236316376702</v>
      </c>
      <c r="K13" s="418">
        <v>0.29118346864099998</v>
      </c>
    </row>
    <row r="14" spans="1:11" ht="14.4" customHeight="1" thickBot="1" x14ac:dyDescent="0.35">
      <c r="A14" s="427" t="s">
        <v>257</v>
      </c>
      <c r="B14" s="405">
        <v>17.903139436094001</v>
      </c>
      <c r="C14" s="405">
        <v>17.927630000000001</v>
      </c>
      <c r="D14" s="406">
        <v>2.4490563904999998E-2</v>
      </c>
      <c r="E14" s="407">
        <v>1.001367948006</v>
      </c>
      <c r="F14" s="405">
        <v>17.542854835785</v>
      </c>
      <c r="G14" s="406">
        <v>8.7714274178919993</v>
      </c>
      <c r="H14" s="408">
        <v>1.7641800000000001</v>
      </c>
      <c r="I14" s="405">
        <v>7.4728000000000003</v>
      </c>
      <c r="J14" s="406">
        <v>-1.2986274178920001</v>
      </c>
      <c r="K14" s="409">
        <v>0.42597399738800001</v>
      </c>
    </row>
    <row r="15" spans="1:11" ht="14.4" customHeight="1" thickBot="1" x14ac:dyDescent="0.35">
      <c r="A15" s="427" t="s">
        <v>258</v>
      </c>
      <c r="B15" s="405">
        <v>1.999999937004</v>
      </c>
      <c r="C15" s="405">
        <v>2.2505199999999999</v>
      </c>
      <c r="D15" s="406">
        <v>0.25052006299500001</v>
      </c>
      <c r="E15" s="407">
        <v>1.1252600354419999</v>
      </c>
      <c r="F15" s="405">
        <v>2.000000551311</v>
      </c>
      <c r="G15" s="406">
        <v>1.0000002756549999</v>
      </c>
      <c r="H15" s="408">
        <v>0.18484</v>
      </c>
      <c r="I15" s="405">
        <v>0.94842000000000004</v>
      </c>
      <c r="J15" s="406">
        <v>-5.1580275655000001E-2</v>
      </c>
      <c r="K15" s="409">
        <v>0.47420986928100001</v>
      </c>
    </row>
    <row r="16" spans="1:11" ht="14.4" customHeight="1" thickBot="1" x14ac:dyDescent="0.35">
      <c r="A16" s="427" t="s">
        <v>259</v>
      </c>
      <c r="B16" s="405">
        <v>24.999999212559999</v>
      </c>
      <c r="C16" s="405">
        <v>24.45121</v>
      </c>
      <c r="D16" s="406">
        <v>-0.54878921256000002</v>
      </c>
      <c r="E16" s="407">
        <v>0.97804843080600001</v>
      </c>
      <c r="F16" s="405">
        <v>25.000006891390999</v>
      </c>
      <c r="G16" s="406">
        <v>12.500003445695</v>
      </c>
      <c r="H16" s="408">
        <v>2.2160000000000002</v>
      </c>
      <c r="I16" s="405">
        <v>9.4078999999999997</v>
      </c>
      <c r="J16" s="406">
        <v>-3.0921034456949998</v>
      </c>
      <c r="K16" s="409">
        <v>0.37631589626599998</v>
      </c>
    </row>
    <row r="17" spans="1:11" ht="14.4" customHeight="1" thickBot="1" x14ac:dyDescent="0.35">
      <c r="A17" s="427" t="s">
        <v>260</v>
      </c>
      <c r="B17" s="405">
        <v>31.999998992077</v>
      </c>
      <c r="C17" s="405">
        <v>29.390999999999998</v>
      </c>
      <c r="D17" s="406">
        <v>-2.6089989920769998</v>
      </c>
      <c r="E17" s="407">
        <v>0.91846877892900003</v>
      </c>
      <c r="F17" s="405">
        <v>30.000008269670001</v>
      </c>
      <c r="G17" s="406">
        <v>15.000004134835001</v>
      </c>
      <c r="H17" s="408">
        <v>0.81699999999999995</v>
      </c>
      <c r="I17" s="405">
        <v>2.4510000000000001</v>
      </c>
      <c r="J17" s="406">
        <v>-12.549004134835</v>
      </c>
      <c r="K17" s="409">
        <v>8.1699977477999994E-2</v>
      </c>
    </row>
    <row r="18" spans="1:11" ht="14.4" customHeight="1" thickBot="1" x14ac:dyDescent="0.35">
      <c r="A18" s="427" t="s">
        <v>261</v>
      </c>
      <c r="B18" s="405">
        <v>3.443999891522</v>
      </c>
      <c r="C18" s="405">
        <v>5.3273599999999997</v>
      </c>
      <c r="D18" s="406">
        <v>1.883360108477</v>
      </c>
      <c r="E18" s="407">
        <v>1.546852545818</v>
      </c>
      <c r="F18" s="405">
        <v>5.0000013782780002</v>
      </c>
      <c r="G18" s="406">
        <v>2.5000006891390001</v>
      </c>
      <c r="H18" s="408">
        <v>0.48</v>
      </c>
      <c r="I18" s="405">
        <v>2.7610000000000001</v>
      </c>
      <c r="J18" s="406">
        <v>0.26099931086</v>
      </c>
      <c r="K18" s="409">
        <v>0.55219984778200004</v>
      </c>
    </row>
    <row r="19" spans="1:11" ht="14.4" customHeight="1" thickBot="1" x14ac:dyDescent="0.35">
      <c r="A19" s="427" t="s">
        <v>262</v>
      </c>
      <c r="B19" s="405">
        <v>2.9999999055069999</v>
      </c>
      <c r="C19" s="405">
        <v>2.84</v>
      </c>
      <c r="D19" s="406">
        <v>-0.159999905507</v>
      </c>
      <c r="E19" s="407">
        <v>0.94666669648400004</v>
      </c>
      <c r="F19" s="405">
        <v>3.0000008269670002</v>
      </c>
      <c r="G19" s="406">
        <v>1.5000004134830001</v>
      </c>
      <c r="H19" s="408">
        <v>0</v>
      </c>
      <c r="I19" s="405">
        <v>0.99399999999999999</v>
      </c>
      <c r="J19" s="406">
        <v>-0.50600041348299996</v>
      </c>
      <c r="K19" s="409">
        <v>0.33133324199899999</v>
      </c>
    </row>
    <row r="20" spans="1:11" ht="14.4" customHeight="1" thickBot="1" x14ac:dyDescent="0.35">
      <c r="A20" s="426" t="s">
        <v>263</v>
      </c>
      <c r="B20" s="410">
        <v>81.668284616121994</v>
      </c>
      <c r="C20" s="410">
        <v>78.870570000000001</v>
      </c>
      <c r="D20" s="411">
        <v>-2.7977146161220001</v>
      </c>
      <c r="E20" s="417">
        <v>0.96574294869400001</v>
      </c>
      <c r="F20" s="410">
        <v>83.707602594278001</v>
      </c>
      <c r="G20" s="411">
        <v>41.853801297139</v>
      </c>
      <c r="H20" s="413">
        <v>5.1351800000000001</v>
      </c>
      <c r="I20" s="410">
        <v>27.973130000000001</v>
      </c>
      <c r="J20" s="411">
        <v>-13.880671297138999</v>
      </c>
      <c r="K20" s="418">
        <v>0.33417669522299998</v>
      </c>
    </row>
    <row r="21" spans="1:11" ht="14.4" customHeight="1" thickBot="1" x14ac:dyDescent="0.35">
      <c r="A21" s="427" t="s">
        <v>264</v>
      </c>
      <c r="B21" s="405">
        <v>0</v>
      </c>
      <c r="C21" s="405">
        <v>10.0738</v>
      </c>
      <c r="D21" s="406">
        <v>10.0738</v>
      </c>
      <c r="E21" s="415" t="s">
        <v>265</v>
      </c>
      <c r="F21" s="405">
        <v>9.3666165666920005</v>
      </c>
      <c r="G21" s="406">
        <v>4.6833082833460002</v>
      </c>
      <c r="H21" s="408">
        <v>0</v>
      </c>
      <c r="I21" s="405">
        <v>0</v>
      </c>
      <c r="J21" s="406">
        <v>-4.6833082833460002</v>
      </c>
      <c r="K21" s="409">
        <v>0</v>
      </c>
    </row>
    <row r="22" spans="1:11" ht="14.4" customHeight="1" thickBot="1" x14ac:dyDescent="0.35">
      <c r="A22" s="427" t="s">
        <v>266</v>
      </c>
      <c r="B22" s="405">
        <v>0</v>
      </c>
      <c r="C22" s="405">
        <v>0.75944999999999996</v>
      </c>
      <c r="D22" s="406">
        <v>0.75944999999999996</v>
      </c>
      <c r="E22" s="415" t="s">
        <v>247</v>
      </c>
      <c r="F22" s="405">
        <v>0.81644467868000004</v>
      </c>
      <c r="G22" s="406">
        <v>0.40822233934000002</v>
      </c>
      <c r="H22" s="408">
        <v>5.4210000000000001E-2</v>
      </c>
      <c r="I22" s="405">
        <v>0.16264000000000001</v>
      </c>
      <c r="J22" s="406">
        <v>-0.24558233934000001</v>
      </c>
      <c r="K22" s="409">
        <v>0.19920516876</v>
      </c>
    </row>
    <row r="23" spans="1:11" ht="14.4" customHeight="1" thickBot="1" x14ac:dyDescent="0.35">
      <c r="A23" s="427" t="s">
        <v>267</v>
      </c>
      <c r="B23" s="405">
        <v>11.73926516497</v>
      </c>
      <c r="C23" s="405">
        <v>11.69215</v>
      </c>
      <c r="D23" s="406">
        <v>-4.7115164969999998E-2</v>
      </c>
      <c r="E23" s="407">
        <v>0.995986532009</v>
      </c>
      <c r="F23" s="405">
        <v>11.539130529221</v>
      </c>
      <c r="G23" s="406">
        <v>5.7695652646099997</v>
      </c>
      <c r="H23" s="408">
        <v>0.74028000000000005</v>
      </c>
      <c r="I23" s="405">
        <v>4.8548400000000003</v>
      </c>
      <c r="J23" s="406">
        <v>-0.91472526461000003</v>
      </c>
      <c r="K23" s="409">
        <v>0.42072840650299997</v>
      </c>
    </row>
    <row r="24" spans="1:11" ht="14.4" customHeight="1" thickBot="1" x14ac:dyDescent="0.35">
      <c r="A24" s="427" t="s">
        <v>268</v>
      </c>
      <c r="B24" s="405">
        <v>29.999999685024001</v>
      </c>
      <c r="C24" s="405">
        <v>27.106839999999998</v>
      </c>
      <c r="D24" s="406">
        <v>-2.893159685024</v>
      </c>
      <c r="E24" s="407">
        <v>0.90356134281900002</v>
      </c>
      <c r="F24" s="405">
        <v>30.880350957488002</v>
      </c>
      <c r="G24" s="406">
        <v>15.440175478744001</v>
      </c>
      <c r="H24" s="408">
        <v>2.4645999999999999</v>
      </c>
      <c r="I24" s="405">
        <v>10.718260000000001</v>
      </c>
      <c r="J24" s="406">
        <v>-4.7219154787440001</v>
      </c>
      <c r="K24" s="409">
        <v>0.347089967168</v>
      </c>
    </row>
    <row r="25" spans="1:11" ht="14.4" customHeight="1" thickBot="1" x14ac:dyDescent="0.35">
      <c r="A25" s="427" t="s">
        <v>269</v>
      </c>
      <c r="B25" s="405">
        <v>5.9999998110139998</v>
      </c>
      <c r="C25" s="405">
        <v>1.08694</v>
      </c>
      <c r="D25" s="406">
        <v>-4.9130598110139996</v>
      </c>
      <c r="E25" s="407">
        <v>0.181156672372</v>
      </c>
      <c r="F25" s="405">
        <v>1.6195936339300001</v>
      </c>
      <c r="G25" s="406">
        <v>0.80979681696500005</v>
      </c>
      <c r="H25" s="408">
        <v>0</v>
      </c>
      <c r="I25" s="405">
        <v>0.55623</v>
      </c>
      <c r="J25" s="406">
        <v>-0.253566816965</v>
      </c>
      <c r="K25" s="409">
        <v>0.343438000957</v>
      </c>
    </row>
    <row r="26" spans="1:11" ht="14.4" customHeight="1" thickBot="1" x14ac:dyDescent="0.35">
      <c r="A26" s="427" t="s">
        <v>270</v>
      </c>
      <c r="B26" s="405">
        <v>0</v>
      </c>
      <c r="C26" s="405">
        <v>5.3359999999999998E-2</v>
      </c>
      <c r="D26" s="406">
        <v>5.3359999999999998E-2</v>
      </c>
      <c r="E26" s="415" t="s">
        <v>265</v>
      </c>
      <c r="F26" s="405">
        <v>5.0093437668E-2</v>
      </c>
      <c r="G26" s="406">
        <v>2.5046718834E-2</v>
      </c>
      <c r="H26" s="408">
        <v>0</v>
      </c>
      <c r="I26" s="405">
        <v>3.159E-2</v>
      </c>
      <c r="J26" s="406">
        <v>6.5432811650000004E-3</v>
      </c>
      <c r="K26" s="409">
        <v>0.63062152390100001</v>
      </c>
    </row>
    <row r="27" spans="1:11" ht="14.4" customHeight="1" thickBot="1" x14ac:dyDescent="0.35">
      <c r="A27" s="427" t="s">
        <v>271</v>
      </c>
      <c r="B27" s="405">
        <v>30.929020049605001</v>
      </c>
      <c r="C27" s="405">
        <v>22.07751</v>
      </c>
      <c r="D27" s="406">
        <v>-8.8515100496050003</v>
      </c>
      <c r="E27" s="407">
        <v>0.71381214033200002</v>
      </c>
      <c r="F27" s="405">
        <v>24.916954111247001</v>
      </c>
      <c r="G27" s="406">
        <v>12.458477055623</v>
      </c>
      <c r="H27" s="408">
        <v>1.5513999999999999</v>
      </c>
      <c r="I27" s="405">
        <v>9.6056000000000008</v>
      </c>
      <c r="J27" s="406">
        <v>-2.8528770556229999</v>
      </c>
      <c r="K27" s="409">
        <v>0.38550458282700001</v>
      </c>
    </row>
    <row r="28" spans="1:11" ht="14.4" customHeight="1" thickBot="1" x14ac:dyDescent="0.35">
      <c r="A28" s="427" t="s">
        <v>272</v>
      </c>
      <c r="B28" s="405">
        <v>2.9999999055069999</v>
      </c>
      <c r="C28" s="405">
        <v>6.0205200000000003</v>
      </c>
      <c r="D28" s="406">
        <v>3.0205200944919999</v>
      </c>
      <c r="E28" s="407">
        <v>2.0068400632099999</v>
      </c>
      <c r="F28" s="405">
        <v>4.5184186793479997</v>
      </c>
      <c r="G28" s="406">
        <v>2.2592093396739998</v>
      </c>
      <c r="H28" s="408">
        <v>0.32468999999999998</v>
      </c>
      <c r="I28" s="405">
        <v>2.0439699999999998</v>
      </c>
      <c r="J28" s="406">
        <v>-0.215239339674</v>
      </c>
      <c r="K28" s="409">
        <v>0.45236401162599998</v>
      </c>
    </row>
    <row r="29" spans="1:11" ht="14.4" customHeight="1" thickBot="1" x14ac:dyDescent="0.35">
      <c r="A29" s="426" t="s">
        <v>273</v>
      </c>
      <c r="B29" s="410">
        <v>4.2952421738269999</v>
      </c>
      <c r="C29" s="410">
        <v>0.71338999999999997</v>
      </c>
      <c r="D29" s="411">
        <v>-3.5818521738269999</v>
      </c>
      <c r="E29" s="417">
        <v>0.16608842322</v>
      </c>
      <c r="F29" s="410">
        <v>1.198534382122</v>
      </c>
      <c r="G29" s="411">
        <v>0.59926719106100002</v>
      </c>
      <c r="H29" s="413">
        <v>0</v>
      </c>
      <c r="I29" s="410">
        <v>0.38200000000000001</v>
      </c>
      <c r="J29" s="411">
        <v>-0.21726719106100001</v>
      </c>
      <c r="K29" s="418">
        <v>0.31872260462200003</v>
      </c>
    </row>
    <row r="30" spans="1:11" ht="14.4" customHeight="1" thickBot="1" x14ac:dyDescent="0.35">
      <c r="A30" s="427" t="s">
        <v>274</v>
      </c>
      <c r="B30" s="405">
        <v>0.29524229981700001</v>
      </c>
      <c r="C30" s="405">
        <v>0.41624</v>
      </c>
      <c r="D30" s="406">
        <v>0.120997700182</v>
      </c>
      <c r="E30" s="407">
        <v>1.409825083523</v>
      </c>
      <c r="F30" s="405">
        <v>0.85346706382699999</v>
      </c>
      <c r="G30" s="406">
        <v>0.42673353191300001</v>
      </c>
      <c r="H30" s="408">
        <v>0</v>
      </c>
      <c r="I30" s="405">
        <v>0</v>
      </c>
      <c r="J30" s="406">
        <v>-0.42673353191300001</v>
      </c>
      <c r="K30" s="409">
        <v>0</v>
      </c>
    </row>
    <row r="31" spans="1:11" ht="14.4" customHeight="1" thickBot="1" x14ac:dyDescent="0.35">
      <c r="A31" s="427" t="s">
        <v>275</v>
      </c>
      <c r="B31" s="405">
        <v>3.9999998740090001</v>
      </c>
      <c r="C31" s="405">
        <v>0.29715000000000003</v>
      </c>
      <c r="D31" s="406">
        <v>-3.7028498740089999</v>
      </c>
      <c r="E31" s="407">
        <v>7.4287502339E-2</v>
      </c>
      <c r="F31" s="405">
        <v>0.345067318294</v>
      </c>
      <c r="G31" s="406">
        <v>0.172533659147</v>
      </c>
      <c r="H31" s="408">
        <v>0</v>
      </c>
      <c r="I31" s="405">
        <v>0.38200000000000001</v>
      </c>
      <c r="J31" s="406">
        <v>0.209466340852</v>
      </c>
      <c r="K31" s="409">
        <v>1.107030366966</v>
      </c>
    </row>
    <row r="32" spans="1:11" ht="14.4" customHeight="1" thickBot="1" x14ac:dyDescent="0.35">
      <c r="A32" s="426" t="s">
        <v>276</v>
      </c>
      <c r="B32" s="410">
        <v>7.9999997480190004</v>
      </c>
      <c r="C32" s="410">
        <v>9.2340199999999992</v>
      </c>
      <c r="D32" s="411">
        <v>1.2340202519800001</v>
      </c>
      <c r="E32" s="417">
        <v>1.1542525363559999</v>
      </c>
      <c r="F32" s="410">
        <v>3.8554157980000001</v>
      </c>
      <c r="G32" s="411">
        <v>1.9277078990000001</v>
      </c>
      <c r="H32" s="413">
        <v>0.43017</v>
      </c>
      <c r="I32" s="410">
        <v>3.0407799999999998</v>
      </c>
      <c r="J32" s="411">
        <v>1.1130721009989999</v>
      </c>
      <c r="K32" s="418">
        <v>0.78870351715999998</v>
      </c>
    </row>
    <row r="33" spans="1:11" ht="14.4" customHeight="1" thickBot="1" x14ac:dyDescent="0.35">
      <c r="A33" s="427" t="s">
        <v>277</v>
      </c>
      <c r="B33" s="405">
        <v>3.9999998740090001</v>
      </c>
      <c r="C33" s="405">
        <v>6.0338200000000004</v>
      </c>
      <c r="D33" s="406">
        <v>2.0338201259900002</v>
      </c>
      <c r="E33" s="407">
        <v>1.508455047512</v>
      </c>
      <c r="F33" s="405">
        <v>0</v>
      </c>
      <c r="G33" s="406">
        <v>0</v>
      </c>
      <c r="H33" s="408">
        <v>0</v>
      </c>
      <c r="I33" s="405">
        <v>1.3394900000000001</v>
      </c>
      <c r="J33" s="406">
        <v>1.3394900000000001</v>
      </c>
      <c r="K33" s="416" t="s">
        <v>247</v>
      </c>
    </row>
    <row r="34" spans="1:11" ht="14.4" customHeight="1" thickBot="1" x14ac:dyDescent="0.35">
      <c r="A34" s="427" t="s">
        <v>278</v>
      </c>
      <c r="B34" s="405">
        <v>3.9999998740090001</v>
      </c>
      <c r="C34" s="405">
        <v>3.2002000000000002</v>
      </c>
      <c r="D34" s="406">
        <v>-0.79979987400899999</v>
      </c>
      <c r="E34" s="407">
        <v>0.80005002519900004</v>
      </c>
      <c r="F34" s="405">
        <v>3.8554157980000001</v>
      </c>
      <c r="G34" s="406">
        <v>1.9277078990000001</v>
      </c>
      <c r="H34" s="408">
        <v>0.43017</v>
      </c>
      <c r="I34" s="405">
        <v>1.70129</v>
      </c>
      <c r="J34" s="406">
        <v>-0.22641789900000001</v>
      </c>
      <c r="K34" s="409">
        <v>0.44127276774700003</v>
      </c>
    </row>
    <row r="35" spans="1:11" ht="14.4" customHeight="1" thickBot="1" x14ac:dyDescent="0.35">
      <c r="A35" s="425" t="s">
        <v>42</v>
      </c>
      <c r="B35" s="405">
        <v>1147.2710489045301</v>
      </c>
      <c r="C35" s="405">
        <v>1178.7629999999999</v>
      </c>
      <c r="D35" s="406">
        <v>31.491951095474001</v>
      </c>
      <c r="E35" s="407">
        <v>1.027449442854</v>
      </c>
      <c r="F35" s="405">
        <v>1163.47350828806</v>
      </c>
      <c r="G35" s="406">
        <v>581.73675414402896</v>
      </c>
      <c r="H35" s="408">
        <v>60.399000000000001</v>
      </c>
      <c r="I35" s="405">
        <v>626.14499999999998</v>
      </c>
      <c r="J35" s="406">
        <v>44.408245855971003</v>
      </c>
      <c r="K35" s="409">
        <v>0.53816867813400004</v>
      </c>
    </row>
    <row r="36" spans="1:11" ht="14.4" customHeight="1" thickBot="1" x14ac:dyDescent="0.35">
      <c r="A36" s="426" t="s">
        <v>279</v>
      </c>
      <c r="B36" s="410">
        <v>1147.2710489045301</v>
      </c>
      <c r="C36" s="410">
        <v>1178.7629999999999</v>
      </c>
      <c r="D36" s="411">
        <v>31.491951095474001</v>
      </c>
      <c r="E36" s="417">
        <v>1.027449442854</v>
      </c>
      <c r="F36" s="410">
        <v>1163.47350828806</v>
      </c>
      <c r="G36" s="411">
        <v>581.73675414402896</v>
      </c>
      <c r="H36" s="413">
        <v>60.399000000000001</v>
      </c>
      <c r="I36" s="410">
        <v>626.14499999999998</v>
      </c>
      <c r="J36" s="411">
        <v>44.408245855971003</v>
      </c>
      <c r="K36" s="418">
        <v>0.53816867813400004</v>
      </c>
    </row>
    <row r="37" spans="1:11" ht="14.4" customHeight="1" thickBot="1" x14ac:dyDescent="0.35">
      <c r="A37" s="427" t="s">
        <v>280</v>
      </c>
      <c r="B37" s="405">
        <v>359.99998866087401</v>
      </c>
      <c r="C37" s="405">
        <v>363.28500000000003</v>
      </c>
      <c r="D37" s="406">
        <v>3.285011339125</v>
      </c>
      <c r="E37" s="407">
        <v>1.0091250317839999</v>
      </c>
      <c r="F37" s="405">
        <v>358.42377791363498</v>
      </c>
      <c r="G37" s="406">
        <v>179.21188895681701</v>
      </c>
      <c r="H37" s="408">
        <v>28.285</v>
      </c>
      <c r="I37" s="405">
        <v>161.31</v>
      </c>
      <c r="J37" s="406">
        <v>-17.901888956817</v>
      </c>
      <c r="K37" s="409">
        <v>0.45005384670300003</v>
      </c>
    </row>
    <row r="38" spans="1:11" ht="14.4" customHeight="1" thickBot="1" x14ac:dyDescent="0.35">
      <c r="A38" s="427" t="s">
        <v>281</v>
      </c>
      <c r="B38" s="405">
        <v>105.27108172499599</v>
      </c>
      <c r="C38" s="405">
        <v>93.748999999999995</v>
      </c>
      <c r="D38" s="406">
        <v>-11.522081724994999</v>
      </c>
      <c r="E38" s="407">
        <v>0.89054846272800003</v>
      </c>
      <c r="F38" s="405">
        <v>92.787638396231003</v>
      </c>
      <c r="G38" s="406">
        <v>46.393819198114997</v>
      </c>
      <c r="H38" s="408">
        <v>8.8439999999999994</v>
      </c>
      <c r="I38" s="405">
        <v>51.585000000000001</v>
      </c>
      <c r="J38" s="406">
        <v>5.1911808018840002</v>
      </c>
      <c r="K38" s="409">
        <v>0.55594690081099996</v>
      </c>
    </row>
    <row r="39" spans="1:11" ht="14.4" customHeight="1" thickBot="1" x14ac:dyDescent="0.35">
      <c r="A39" s="427" t="s">
        <v>282</v>
      </c>
      <c r="B39" s="405">
        <v>681.99997851865601</v>
      </c>
      <c r="C39" s="405">
        <v>721.72900000000004</v>
      </c>
      <c r="D39" s="406">
        <v>39.729021481343999</v>
      </c>
      <c r="E39" s="407">
        <v>1.0582536990210001</v>
      </c>
      <c r="F39" s="405">
        <v>712.26209197819196</v>
      </c>
      <c r="G39" s="406">
        <v>356.13104598909598</v>
      </c>
      <c r="H39" s="408">
        <v>23.27</v>
      </c>
      <c r="I39" s="405">
        <v>413.25</v>
      </c>
      <c r="J39" s="406">
        <v>57.118954010903998</v>
      </c>
      <c r="K39" s="409">
        <v>0.58019373016499998</v>
      </c>
    </row>
    <row r="40" spans="1:11" ht="14.4" customHeight="1" thickBot="1" x14ac:dyDescent="0.35">
      <c r="A40" s="428" t="s">
        <v>283</v>
      </c>
      <c r="B40" s="410">
        <v>305.85727724537901</v>
      </c>
      <c r="C40" s="410">
        <v>280.56497000000002</v>
      </c>
      <c r="D40" s="411">
        <v>-25.292307245379</v>
      </c>
      <c r="E40" s="417">
        <v>0.917306831888</v>
      </c>
      <c r="F40" s="410">
        <v>262.57193454897799</v>
      </c>
      <c r="G40" s="411">
        <v>131.285967274489</v>
      </c>
      <c r="H40" s="413">
        <v>30.241949999999999</v>
      </c>
      <c r="I40" s="410">
        <v>174.68518</v>
      </c>
      <c r="J40" s="411">
        <v>43.399212725509997</v>
      </c>
      <c r="K40" s="418">
        <v>0.66528504007800005</v>
      </c>
    </row>
    <row r="41" spans="1:11" ht="14.4" customHeight="1" thickBot="1" x14ac:dyDescent="0.35">
      <c r="A41" s="425" t="s">
        <v>45</v>
      </c>
      <c r="B41" s="405">
        <v>92.915825219316005</v>
      </c>
      <c r="C41" s="405">
        <v>26.378540000000001</v>
      </c>
      <c r="D41" s="406">
        <v>-66.537285219316004</v>
      </c>
      <c r="E41" s="407">
        <v>0.283897171851</v>
      </c>
      <c r="F41" s="405">
        <v>52.728345657689999</v>
      </c>
      <c r="G41" s="406">
        <v>26.364172828845</v>
      </c>
      <c r="H41" s="408">
        <v>1.03528</v>
      </c>
      <c r="I41" s="405">
        <v>24.519179999999999</v>
      </c>
      <c r="J41" s="406">
        <v>-1.8449928288449999</v>
      </c>
      <c r="K41" s="409">
        <v>0.46500946870499998</v>
      </c>
    </row>
    <row r="42" spans="1:11" ht="14.4" customHeight="1" thickBot="1" x14ac:dyDescent="0.35">
      <c r="A42" s="429" t="s">
        <v>284</v>
      </c>
      <c r="B42" s="405">
        <v>92.915825219316005</v>
      </c>
      <c r="C42" s="405">
        <v>26.378540000000001</v>
      </c>
      <c r="D42" s="406">
        <v>-66.537285219316004</v>
      </c>
      <c r="E42" s="407">
        <v>0.283897171851</v>
      </c>
      <c r="F42" s="405">
        <v>52.728345657689999</v>
      </c>
      <c r="G42" s="406">
        <v>26.364172828845</v>
      </c>
      <c r="H42" s="408">
        <v>1.03528</v>
      </c>
      <c r="I42" s="405">
        <v>24.519179999999999</v>
      </c>
      <c r="J42" s="406">
        <v>-1.8449928288449999</v>
      </c>
      <c r="K42" s="409">
        <v>0.46500946870499998</v>
      </c>
    </row>
    <row r="43" spans="1:11" ht="14.4" customHeight="1" thickBot="1" x14ac:dyDescent="0.35">
      <c r="A43" s="427" t="s">
        <v>285</v>
      </c>
      <c r="B43" s="405">
        <v>0</v>
      </c>
      <c r="C43" s="405">
        <v>0</v>
      </c>
      <c r="D43" s="406">
        <v>0</v>
      </c>
      <c r="E43" s="407">
        <v>1</v>
      </c>
      <c r="F43" s="405">
        <v>0</v>
      </c>
      <c r="G43" s="406">
        <v>0</v>
      </c>
      <c r="H43" s="408">
        <v>0</v>
      </c>
      <c r="I43" s="405">
        <v>10.156700000000001</v>
      </c>
      <c r="J43" s="406">
        <v>10.156700000000001</v>
      </c>
      <c r="K43" s="416" t="s">
        <v>265</v>
      </c>
    </row>
    <row r="44" spans="1:11" ht="14.4" customHeight="1" thickBot="1" x14ac:dyDescent="0.35">
      <c r="A44" s="427" t="s">
        <v>286</v>
      </c>
      <c r="B44" s="405">
        <v>1.471836690445</v>
      </c>
      <c r="C44" s="405">
        <v>0</v>
      </c>
      <c r="D44" s="406">
        <v>-1.471836690445</v>
      </c>
      <c r="E44" s="407">
        <v>0</v>
      </c>
      <c r="F44" s="405">
        <v>0</v>
      </c>
      <c r="G44" s="406">
        <v>0</v>
      </c>
      <c r="H44" s="408">
        <v>0</v>
      </c>
      <c r="I44" s="405">
        <v>0</v>
      </c>
      <c r="J44" s="406">
        <v>0</v>
      </c>
      <c r="K44" s="409">
        <v>6</v>
      </c>
    </row>
    <row r="45" spans="1:11" ht="14.4" customHeight="1" thickBot="1" x14ac:dyDescent="0.35">
      <c r="A45" s="427" t="s">
        <v>287</v>
      </c>
      <c r="B45" s="405">
        <v>0.72318584568599997</v>
      </c>
      <c r="C45" s="405">
        <v>0.65410000000000001</v>
      </c>
      <c r="D45" s="406">
        <v>-6.9085845686E-2</v>
      </c>
      <c r="E45" s="407">
        <v>0.90447013572099999</v>
      </c>
      <c r="F45" s="405">
        <v>0.43308447286700003</v>
      </c>
      <c r="G45" s="406">
        <v>0.216542236433</v>
      </c>
      <c r="H45" s="408">
        <v>0</v>
      </c>
      <c r="I45" s="405">
        <v>0</v>
      </c>
      <c r="J45" s="406">
        <v>-0.216542236433</v>
      </c>
      <c r="K45" s="409">
        <v>0</v>
      </c>
    </row>
    <row r="46" spans="1:11" ht="14.4" customHeight="1" thickBot="1" x14ac:dyDescent="0.35">
      <c r="A46" s="427" t="s">
        <v>288</v>
      </c>
      <c r="B46" s="405">
        <v>71.999997732173995</v>
      </c>
      <c r="C46" s="405">
        <v>12.19828</v>
      </c>
      <c r="D46" s="406">
        <v>-59.801717732173998</v>
      </c>
      <c r="E46" s="407">
        <v>0.16942056089099999</v>
      </c>
      <c r="F46" s="405">
        <v>12.536648032244999</v>
      </c>
      <c r="G46" s="406">
        <v>6.2683240161220004</v>
      </c>
      <c r="H46" s="408">
        <v>0</v>
      </c>
      <c r="I46" s="405">
        <v>4.6268000000000002</v>
      </c>
      <c r="J46" s="406">
        <v>-1.6415240161219999</v>
      </c>
      <c r="K46" s="409">
        <v>0.36906196840599997</v>
      </c>
    </row>
    <row r="47" spans="1:11" ht="14.4" customHeight="1" thickBot="1" x14ac:dyDescent="0.35">
      <c r="A47" s="427" t="s">
        <v>289</v>
      </c>
      <c r="B47" s="405">
        <v>18.720804951009999</v>
      </c>
      <c r="C47" s="405">
        <v>13.526160000000001</v>
      </c>
      <c r="D47" s="406">
        <v>-5.1946449510099999</v>
      </c>
      <c r="E47" s="407">
        <v>0.72252021402900002</v>
      </c>
      <c r="F47" s="405">
        <v>39.758613152576999</v>
      </c>
      <c r="G47" s="406">
        <v>19.879306576287998</v>
      </c>
      <c r="H47" s="408">
        <v>1.03528</v>
      </c>
      <c r="I47" s="405">
        <v>9.7356800000000003</v>
      </c>
      <c r="J47" s="406">
        <v>-10.143626576288</v>
      </c>
      <c r="K47" s="409">
        <v>0.24486970817199999</v>
      </c>
    </row>
    <row r="48" spans="1:11" ht="14.4" customHeight="1" thickBot="1" x14ac:dyDescent="0.35">
      <c r="A48" s="430" t="s">
        <v>46</v>
      </c>
      <c r="B48" s="410">
        <v>0</v>
      </c>
      <c r="C48" s="410">
        <v>20.07</v>
      </c>
      <c r="D48" s="411">
        <v>20.07</v>
      </c>
      <c r="E48" s="412" t="s">
        <v>247</v>
      </c>
      <c r="F48" s="410">
        <v>0</v>
      </c>
      <c r="G48" s="411">
        <v>0</v>
      </c>
      <c r="H48" s="413">
        <v>0</v>
      </c>
      <c r="I48" s="410">
        <v>1.8140000000000001</v>
      </c>
      <c r="J48" s="411">
        <v>1.8140000000000001</v>
      </c>
      <c r="K48" s="414" t="s">
        <v>247</v>
      </c>
    </row>
    <row r="49" spans="1:11" ht="14.4" customHeight="1" thickBot="1" x14ac:dyDescent="0.35">
      <c r="A49" s="426" t="s">
        <v>290</v>
      </c>
      <c r="B49" s="410">
        <v>0</v>
      </c>
      <c r="C49" s="410">
        <v>20.07</v>
      </c>
      <c r="D49" s="411">
        <v>20.07</v>
      </c>
      <c r="E49" s="412" t="s">
        <v>247</v>
      </c>
      <c r="F49" s="410">
        <v>0</v>
      </c>
      <c r="G49" s="411">
        <v>0</v>
      </c>
      <c r="H49" s="413">
        <v>0</v>
      </c>
      <c r="I49" s="410">
        <v>1.8140000000000001</v>
      </c>
      <c r="J49" s="411">
        <v>1.8140000000000001</v>
      </c>
      <c r="K49" s="414" t="s">
        <v>247</v>
      </c>
    </row>
    <row r="50" spans="1:11" ht="14.4" customHeight="1" thickBot="1" x14ac:dyDescent="0.35">
      <c r="A50" s="427" t="s">
        <v>291</v>
      </c>
      <c r="B50" s="405">
        <v>0</v>
      </c>
      <c r="C50" s="405">
        <v>20.07</v>
      </c>
      <c r="D50" s="406">
        <v>20.07</v>
      </c>
      <c r="E50" s="415" t="s">
        <v>247</v>
      </c>
      <c r="F50" s="405">
        <v>0</v>
      </c>
      <c r="G50" s="406">
        <v>0</v>
      </c>
      <c r="H50" s="408">
        <v>0</v>
      </c>
      <c r="I50" s="405">
        <v>1.8140000000000001</v>
      </c>
      <c r="J50" s="406">
        <v>1.8140000000000001</v>
      </c>
      <c r="K50" s="416" t="s">
        <v>247</v>
      </c>
    </row>
    <row r="51" spans="1:11" ht="14.4" customHeight="1" thickBot="1" x14ac:dyDescent="0.35">
      <c r="A51" s="425" t="s">
        <v>47</v>
      </c>
      <c r="B51" s="405">
        <v>212.941452026062</v>
      </c>
      <c r="C51" s="405">
        <v>234.11643000000001</v>
      </c>
      <c r="D51" s="406">
        <v>21.174977973937001</v>
      </c>
      <c r="E51" s="407">
        <v>1.0994403756169999</v>
      </c>
      <c r="F51" s="405">
        <v>209.84358889128799</v>
      </c>
      <c r="G51" s="406">
        <v>104.921794445644</v>
      </c>
      <c r="H51" s="408">
        <v>29.206669999999999</v>
      </c>
      <c r="I51" s="405">
        <v>148.352</v>
      </c>
      <c r="J51" s="406">
        <v>43.430205554356</v>
      </c>
      <c r="K51" s="409">
        <v>0.70696465297699995</v>
      </c>
    </row>
    <row r="52" spans="1:11" ht="14.4" customHeight="1" thickBot="1" x14ac:dyDescent="0.35">
      <c r="A52" s="426" t="s">
        <v>292</v>
      </c>
      <c r="B52" s="410">
        <v>0.106905161646</v>
      </c>
      <c r="C52" s="410">
        <v>0</v>
      </c>
      <c r="D52" s="411">
        <v>-0.106905161646</v>
      </c>
      <c r="E52" s="417">
        <v>0</v>
      </c>
      <c r="F52" s="410">
        <v>0</v>
      </c>
      <c r="G52" s="411">
        <v>0</v>
      </c>
      <c r="H52" s="413">
        <v>0</v>
      </c>
      <c r="I52" s="410">
        <v>0</v>
      </c>
      <c r="J52" s="411">
        <v>0</v>
      </c>
      <c r="K52" s="418">
        <v>0</v>
      </c>
    </row>
    <row r="53" spans="1:11" ht="14.4" customHeight="1" thickBot="1" x14ac:dyDescent="0.35">
      <c r="A53" s="427" t="s">
        <v>293</v>
      </c>
      <c r="B53" s="405">
        <v>0.106905161646</v>
      </c>
      <c r="C53" s="405">
        <v>0</v>
      </c>
      <c r="D53" s="406">
        <v>-0.106905161646</v>
      </c>
      <c r="E53" s="407">
        <v>0</v>
      </c>
      <c r="F53" s="405">
        <v>0</v>
      </c>
      <c r="G53" s="406">
        <v>0</v>
      </c>
      <c r="H53" s="408">
        <v>0</v>
      </c>
      <c r="I53" s="405">
        <v>0</v>
      </c>
      <c r="J53" s="406">
        <v>0</v>
      </c>
      <c r="K53" s="409">
        <v>0</v>
      </c>
    </row>
    <row r="54" spans="1:11" ht="14.4" customHeight="1" thickBot="1" x14ac:dyDescent="0.35">
      <c r="A54" s="426" t="s">
        <v>294</v>
      </c>
      <c r="B54" s="410">
        <v>67.213177318033999</v>
      </c>
      <c r="C54" s="410">
        <v>67.380809999999997</v>
      </c>
      <c r="D54" s="411">
        <v>0.167632681965</v>
      </c>
      <c r="E54" s="417">
        <v>1.0024940448969999</v>
      </c>
      <c r="F54" s="410">
        <v>50.264374707592999</v>
      </c>
      <c r="G54" s="411">
        <v>25.132187353795999</v>
      </c>
      <c r="H54" s="413">
        <v>5.7856399999999999</v>
      </c>
      <c r="I54" s="410">
        <v>32.238520000000001</v>
      </c>
      <c r="J54" s="411">
        <v>7.1063326462029996</v>
      </c>
      <c r="K54" s="418">
        <v>0.64137911169700002</v>
      </c>
    </row>
    <row r="55" spans="1:11" ht="14.4" customHeight="1" thickBot="1" x14ac:dyDescent="0.35">
      <c r="A55" s="427" t="s">
        <v>295</v>
      </c>
      <c r="B55" s="405">
        <v>58.804281319527</v>
      </c>
      <c r="C55" s="405">
        <v>56.882300000000001</v>
      </c>
      <c r="D55" s="406">
        <v>-1.9219813195269999</v>
      </c>
      <c r="E55" s="407">
        <v>0.96731562266500004</v>
      </c>
      <c r="F55" s="405">
        <v>38.691038476655002</v>
      </c>
      <c r="G55" s="406">
        <v>19.345519238327999</v>
      </c>
      <c r="H55" s="408">
        <v>4.9146999999999998</v>
      </c>
      <c r="I55" s="405">
        <v>27.863700000000001</v>
      </c>
      <c r="J55" s="406">
        <v>8.5181807616719993</v>
      </c>
      <c r="K55" s="409">
        <v>0.72015901089800005</v>
      </c>
    </row>
    <row r="56" spans="1:11" ht="14.4" customHeight="1" thickBot="1" x14ac:dyDescent="0.35">
      <c r="A56" s="427" t="s">
        <v>296</v>
      </c>
      <c r="B56" s="405">
        <v>8.4088959985060008</v>
      </c>
      <c r="C56" s="405">
        <v>10.49851</v>
      </c>
      <c r="D56" s="406">
        <v>2.089614001493</v>
      </c>
      <c r="E56" s="407">
        <v>1.248500397895</v>
      </c>
      <c r="F56" s="405">
        <v>11.573336230937</v>
      </c>
      <c r="G56" s="406">
        <v>5.7866681154680002</v>
      </c>
      <c r="H56" s="408">
        <v>0.87094000000000005</v>
      </c>
      <c r="I56" s="405">
        <v>4.3748199999999997</v>
      </c>
      <c r="J56" s="406">
        <v>-1.411848115468</v>
      </c>
      <c r="K56" s="409">
        <v>0.37800854591100003</v>
      </c>
    </row>
    <row r="57" spans="1:11" ht="14.4" customHeight="1" thickBot="1" x14ac:dyDescent="0.35">
      <c r="A57" s="426" t="s">
        <v>297</v>
      </c>
      <c r="B57" s="410">
        <v>5.6780128977870001</v>
      </c>
      <c r="C57" s="410">
        <v>5.2015799999999999</v>
      </c>
      <c r="D57" s="411">
        <v>-0.47643289778699999</v>
      </c>
      <c r="E57" s="417">
        <v>0.91609161402700001</v>
      </c>
      <c r="F57" s="410">
        <v>6.3311708829429998</v>
      </c>
      <c r="G57" s="411">
        <v>3.1655854414709999</v>
      </c>
      <c r="H57" s="413">
        <v>0</v>
      </c>
      <c r="I57" s="410">
        <v>3.79467</v>
      </c>
      <c r="J57" s="411">
        <v>0.62908455852800005</v>
      </c>
      <c r="K57" s="418">
        <v>0.59936306729900002</v>
      </c>
    </row>
    <row r="58" spans="1:11" ht="14.4" customHeight="1" thickBot="1" x14ac:dyDescent="0.35">
      <c r="A58" s="427" t="s">
        <v>298</v>
      </c>
      <c r="B58" s="405">
        <v>1.6780130237769999</v>
      </c>
      <c r="C58" s="405">
        <v>1.62</v>
      </c>
      <c r="D58" s="406">
        <v>-5.8013023777000003E-2</v>
      </c>
      <c r="E58" s="407">
        <v>0.96542754856099999</v>
      </c>
      <c r="F58" s="405">
        <v>2.000000551311</v>
      </c>
      <c r="G58" s="406">
        <v>1.0000002756549999</v>
      </c>
      <c r="H58" s="408">
        <v>0</v>
      </c>
      <c r="I58" s="405">
        <v>0.81</v>
      </c>
      <c r="J58" s="406">
        <v>-0.19000027565499999</v>
      </c>
      <c r="K58" s="409">
        <v>0.40499988835900003</v>
      </c>
    </row>
    <row r="59" spans="1:11" ht="14.4" customHeight="1" thickBot="1" x14ac:dyDescent="0.35">
      <c r="A59" s="427" t="s">
        <v>299</v>
      </c>
      <c r="B59" s="405">
        <v>3.9999998740090001</v>
      </c>
      <c r="C59" s="405">
        <v>3.5815800000000002</v>
      </c>
      <c r="D59" s="406">
        <v>-0.41841987400899999</v>
      </c>
      <c r="E59" s="407">
        <v>0.89539502820200001</v>
      </c>
      <c r="F59" s="405">
        <v>4.3311703316310002</v>
      </c>
      <c r="G59" s="406">
        <v>2.165585165815</v>
      </c>
      <c r="H59" s="408">
        <v>0</v>
      </c>
      <c r="I59" s="405">
        <v>2.9846699999999999</v>
      </c>
      <c r="J59" s="406">
        <v>0.81908483418400002</v>
      </c>
      <c r="K59" s="409">
        <v>0.68911397416099995</v>
      </c>
    </row>
    <row r="60" spans="1:11" ht="14.4" customHeight="1" thickBot="1" x14ac:dyDescent="0.35">
      <c r="A60" s="426" t="s">
        <v>300</v>
      </c>
      <c r="B60" s="410">
        <v>0</v>
      </c>
      <c r="C60" s="410">
        <v>0</v>
      </c>
      <c r="D60" s="411">
        <v>0</v>
      </c>
      <c r="E60" s="417">
        <v>1</v>
      </c>
      <c r="F60" s="410">
        <v>0</v>
      </c>
      <c r="G60" s="411">
        <v>0</v>
      </c>
      <c r="H60" s="413">
        <v>0</v>
      </c>
      <c r="I60" s="410">
        <v>19.8</v>
      </c>
      <c r="J60" s="411">
        <v>19.8</v>
      </c>
      <c r="K60" s="414" t="s">
        <v>265</v>
      </c>
    </row>
    <row r="61" spans="1:11" ht="14.4" customHeight="1" thickBot="1" x14ac:dyDescent="0.35">
      <c r="A61" s="427" t="s">
        <v>301</v>
      </c>
      <c r="B61" s="405">
        <v>0</v>
      </c>
      <c r="C61" s="405">
        <v>0</v>
      </c>
      <c r="D61" s="406">
        <v>0</v>
      </c>
      <c r="E61" s="407">
        <v>1</v>
      </c>
      <c r="F61" s="405">
        <v>0</v>
      </c>
      <c r="G61" s="406">
        <v>0</v>
      </c>
      <c r="H61" s="408">
        <v>0</v>
      </c>
      <c r="I61" s="405">
        <v>19.8</v>
      </c>
      <c r="J61" s="406">
        <v>19.8</v>
      </c>
      <c r="K61" s="416" t="s">
        <v>265</v>
      </c>
    </row>
    <row r="62" spans="1:11" ht="14.4" customHeight="1" thickBot="1" x14ac:dyDescent="0.35">
      <c r="A62" s="426" t="s">
        <v>302</v>
      </c>
      <c r="B62" s="410">
        <v>128.73763545437299</v>
      </c>
      <c r="C62" s="410">
        <v>119.48847000000001</v>
      </c>
      <c r="D62" s="411">
        <v>-9.2491654543719992</v>
      </c>
      <c r="E62" s="417">
        <v>0.92815492204899996</v>
      </c>
      <c r="F62" s="410">
        <v>119.683949225552</v>
      </c>
      <c r="G62" s="411">
        <v>59.841974612774997</v>
      </c>
      <c r="H62" s="413">
        <v>14.71457</v>
      </c>
      <c r="I62" s="410">
        <v>64.406700000000001</v>
      </c>
      <c r="J62" s="411">
        <v>4.5647253872239997</v>
      </c>
      <c r="K62" s="418">
        <v>0.53813982924799997</v>
      </c>
    </row>
    <row r="63" spans="1:11" ht="14.4" customHeight="1" thickBot="1" x14ac:dyDescent="0.35">
      <c r="A63" s="427" t="s">
        <v>303</v>
      </c>
      <c r="B63" s="405">
        <v>110.034476577294</v>
      </c>
      <c r="C63" s="405">
        <v>102.38137</v>
      </c>
      <c r="D63" s="406">
        <v>-7.6531065772940003</v>
      </c>
      <c r="E63" s="407">
        <v>0.93044810303600001</v>
      </c>
      <c r="F63" s="405">
        <v>104.81450053840901</v>
      </c>
      <c r="G63" s="406">
        <v>52.407250269203999</v>
      </c>
      <c r="H63" s="408">
        <v>8.7893500000000007</v>
      </c>
      <c r="I63" s="405">
        <v>52.46978</v>
      </c>
      <c r="J63" s="406">
        <v>6.2529730795000002E-2</v>
      </c>
      <c r="K63" s="409">
        <v>0.50059657519199996</v>
      </c>
    </row>
    <row r="64" spans="1:11" ht="14.4" customHeight="1" thickBot="1" x14ac:dyDescent="0.35">
      <c r="A64" s="427" t="s">
        <v>304</v>
      </c>
      <c r="B64" s="405">
        <v>0</v>
      </c>
      <c r="C64" s="405">
        <v>0</v>
      </c>
      <c r="D64" s="406">
        <v>0</v>
      </c>
      <c r="E64" s="407">
        <v>1</v>
      </c>
      <c r="F64" s="405">
        <v>0</v>
      </c>
      <c r="G64" s="406">
        <v>0</v>
      </c>
      <c r="H64" s="408">
        <v>4.8097500000000002</v>
      </c>
      <c r="I64" s="405">
        <v>4.8097500000000002</v>
      </c>
      <c r="J64" s="406">
        <v>4.8097500000000002</v>
      </c>
      <c r="K64" s="416" t="s">
        <v>265</v>
      </c>
    </row>
    <row r="65" spans="1:11" ht="14.4" customHeight="1" thickBot="1" x14ac:dyDescent="0.35">
      <c r="A65" s="427" t="s">
        <v>305</v>
      </c>
      <c r="B65" s="405">
        <v>18.703158877078</v>
      </c>
      <c r="C65" s="405">
        <v>17.107099999999999</v>
      </c>
      <c r="D65" s="406">
        <v>-1.596058877078</v>
      </c>
      <c r="E65" s="407">
        <v>0.91466367325599995</v>
      </c>
      <c r="F65" s="405">
        <v>14.869448687142</v>
      </c>
      <c r="G65" s="406">
        <v>7.4347243435710002</v>
      </c>
      <c r="H65" s="408">
        <v>1.11547</v>
      </c>
      <c r="I65" s="405">
        <v>7.1271699999999996</v>
      </c>
      <c r="J65" s="406">
        <v>-0.30755434357099998</v>
      </c>
      <c r="K65" s="409">
        <v>0.47931635865900002</v>
      </c>
    </row>
    <row r="66" spans="1:11" ht="14.4" customHeight="1" thickBot="1" x14ac:dyDescent="0.35">
      <c r="A66" s="426" t="s">
        <v>306</v>
      </c>
      <c r="B66" s="410">
        <v>0</v>
      </c>
      <c r="C66" s="410">
        <v>14.64738</v>
      </c>
      <c r="D66" s="411">
        <v>14.64738</v>
      </c>
      <c r="E66" s="412" t="s">
        <v>265</v>
      </c>
      <c r="F66" s="410">
        <v>0</v>
      </c>
      <c r="G66" s="411">
        <v>0</v>
      </c>
      <c r="H66" s="413">
        <v>0</v>
      </c>
      <c r="I66" s="410">
        <v>0</v>
      </c>
      <c r="J66" s="411">
        <v>0</v>
      </c>
      <c r="K66" s="414" t="s">
        <v>247</v>
      </c>
    </row>
    <row r="67" spans="1:11" ht="14.4" customHeight="1" thickBot="1" x14ac:dyDescent="0.35">
      <c r="A67" s="427" t="s">
        <v>307</v>
      </c>
      <c r="B67" s="405">
        <v>0</v>
      </c>
      <c r="C67" s="405">
        <v>14.64738</v>
      </c>
      <c r="D67" s="406">
        <v>14.64738</v>
      </c>
      <c r="E67" s="415" t="s">
        <v>265</v>
      </c>
      <c r="F67" s="405">
        <v>0</v>
      </c>
      <c r="G67" s="406">
        <v>0</v>
      </c>
      <c r="H67" s="408">
        <v>0</v>
      </c>
      <c r="I67" s="405">
        <v>0</v>
      </c>
      <c r="J67" s="406">
        <v>0</v>
      </c>
      <c r="K67" s="416" t="s">
        <v>247</v>
      </c>
    </row>
    <row r="68" spans="1:11" ht="14.4" customHeight="1" thickBot="1" x14ac:dyDescent="0.35">
      <c r="A68" s="426" t="s">
        <v>308</v>
      </c>
      <c r="B68" s="410">
        <v>11.205721194221001</v>
      </c>
      <c r="C68" s="410">
        <v>26.580469999999998</v>
      </c>
      <c r="D68" s="411">
        <v>15.374748805777999</v>
      </c>
      <c r="E68" s="417">
        <v>2.3720445600329998</v>
      </c>
      <c r="F68" s="410">
        <v>33.134971299996998</v>
      </c>
      <c r="G68" s="411">
        <v>16.567485649998002</v>
      </c>
      <c r="H68" s="413">
        <v>7.2424600000000003</v>
      </c>
      <c r="I68" s="410">
        <v>16.50611</v>
      </c>
      <c r="J68" s="411">
        <v>-6.1375649997999999E-2</v>
      </c>
      <c r="K68" s="418">
        <v>0.49814770776599998</v>
      </c>
    </row>
    <row r="69" spans="1:11" ht="14.4" customHeight="1" thickBot="1" x14ac:dyDescent="0.35">
      <c r="A69" s="427" t="s">
        <v>309</v>
      </c>
      <c r="B69" s="405">
        <v>4.3088658392359998</v>
      </c>
      <c r="C69" s="405">
        <v>18.068850000000001</v>
      </c>
      <c r="D69" s="406">
        <v>13.759984160763</v>
      </c>
      <c r="E69" s="407">
        <v>4.1934120657599996</v>
      </c>
      <c r="F69" s="405">
        <v>16.500062741640001</v>
      </c>
      <c r="G69" s="406">
        <v>8.2500313708200004</v>
      </c>
      <c r="H69" s="408">
        <v>2.492</v>
      </c>
      <c r="I69" s="405">
        <v>9.6810399999999994</v>
      </c>
      <c r="J69" s="406">
        <v>1.4310086291790001</v>
      </c>
      <c r="K69" s="409">
        <v>0.58672746592400005</v>
      </c>
    </row>
    <row r="70" spans="1:11" ht="14.4" customHeight="1" thickBot="1" x14ac:dyDescent="0.35">
      <c r="A70" s="427" t="s">
        <v>310</v>
      </c>
      <c r="B70" s="405">
        <v>1.129546625353</v>
      </c>
      <c r="C70" s="405">
        <v>0.91</v>
      </c>
      <c r="D70" s="406">
        <v>-0.21954662535300001</v>
      </c>
      <c r="E70" s="407">
        <v>0.80563296775299997</v>
      </c>
      <c r="F70" s="405">
        <v>1.0000002756549999</v>
      </c>
      <c r="G70" s="406">
        <v>0.50000013782700004</v>
      </c>
      <c r="H70" s="408">
        <v>0</v>
      </c>
      <c r="I70" s="405">
        <v>1.2989999999999999</v>
      </c>
      <c r="J70" s="406">
        <v>0.79899986217200003</v>
      </c>
      <c r="K70" s="409">
        <v>1.2989996419230001</v>
      </c>
    </row>
    <row r="71" spans="1:11" ht="14.4" customHeight="1" thickBot="1" x14ac:dyDescent="0.35">
      <c r="A71" s="427" t="s">
        <v>311</v>
      </c>
      <c r="B71" s="405">
        <v>1.6519580822390001</v>
      </c>
      <c r="C71" s="405">
        <v>3.1463999999999999</v>
      </c>
      <c r="D71" s="406">
        <v>1.4944419177599999</v>
      </c>
      <c r="E71" s="407">
        <v>1.904648812719</v>
      </c>
      <c r="F71" s="405">
        <v>5.1388074784100004</v>
      </c>
      <c r="G71" s="406">
        <v>2.5694037392050002</v>
      </c>
      <c r="H71" s="408">
        <v>1.1616</v>
      </c>
      <c r="I71" s="405">
        <v>1.3552</v>
      </c>
      <c r="J71" s="406">
        <v>-1.214203739205</v>
      </c>
      <c r="K71" s="409">
        <v>0.26371877243699998</v>
      </c>
    </row>
    <row r="72" spans="1:11" ht="14.4" customHeight="1" thickBot="1" x14ac:dyDescent="0.35">
      <c r="A72" s="427" t="s">
        <v>312</v>
      </c>
      <c r="B72" s="405">
        <v>4.1153506473909998</v>
      </c>
      <c r="C72" s="405">
        <v>4.4552199999999997</v>
      </c>
      <c r="D72" s="406">
        <v>0.339869352608</v>
      </c>
      <c r="E72" s="407">
        <v>1.0825857579889999</v>
      </c>
      <c r="F72" s="405">
        <v>10.49610080429</v>
      </c>
      <c r="G72" s="406">
        <v>5.2480504021450001</v>
      </c>
      <c r="H72" s="408">
        <v>3.5888599999999999</v>
      </c>
      <c r="I72" s="405">
        <v>4.1708699999999999</v>
      </c>
      <c r="J72" s="406">
        <v>-1.077180402145</v>
      </c>
      <c r="K72" s="409">
        <v>0.397373279636</v>
      </c>
    </row>
    <row r="73" spans="1:11" ht="14.4" customHeight="1" thickBot="1" x14ac:dyDescent="0.35">
      <c r="A73" s="426" t="s">
        <v>313</v>
      </c>
      <c r="B73" s="410">
        <v>0</v>
      </c>
      <c r="C73" s="410">
        <v>0.81772</v>
      </c>
      <c r="D73" s="411">
        <v>0.81772</v>
      </c>
      <c r="E73" s="412" t="s">
        <v>247</v>
      </c>
      <c r="F73" s="410">
        <v>0.42912277520199998</v>
      </c>
      <c r="G73" s="411">
        <v>0.21456138760099999</v>
      </c>
      <c r="H73" s="413">
        <v>1.464</v>
      </c>
      <c r="I73" s="410">
        <v>11.606</v>
      </c>
      <c r="J73" s="411">
        <v>11.391438612398</v>
      </c>
      <c r="K73" s="418">
        <v>0</v>
      </c>
    </row>
    <row r="74" spans="1:11" ht="14.4" customHeight="1" thickBot="1" x14ac:dyDescent="0.35">
      <c r="A74" s="427" t="s">
        <v>314</v>
      </c>
      <c r="B74" s="405">
        <v>0</v>
      </c>
      <c r="C74" s="405">
        <v>0</v>
      </c>
      <c r="D74" s="406">
        <v>0</v>
      </c>
      <c r="E74" s="407">
        <v>1</v>
      </c>
      <c r="F74" s="405">
        <v>0</v>
      </c>
      <c r="G74" s="406">
        <v>0</v>
      </c>
      <c r="H74" s="408">
        <v>0.26400000000000001</v>
      </c>
      <c r="I74" s="405">
        <v>9.7390000000000008</v>
      </c>
      <c r="J74" s="406">
        <v>9.7390000000000008</v>
      </c>
      <c r="K74" s="416" t="s">
        <v>265</v>
      </c>
    </row>
    <row r="75" spans="1:11" ht="14.4" customHeight="1" thickBot="1" x14ac:dyDescent="0.35">
      <c r="A75" s="427" t="s">
        <v>315</v>
      </c>
      <c r="B75" s="405">
        <v>0</v>
      </c>
      <c r="C75" s="405">
        <v>0.81772</v>
      </c>
      <c r="D75" s="406">
        <v>0.81772</v>
      </c>
      <c r="E75" s="415" t="s">
        <v>247</v>
      </c>
      <c r="F75" s="405">
        <v>0.42912277520199998</v>
      </c>
      <c r="G75" s="406">
        <v>0.21456138760099999</v>
      </c>
      <c r="H75" s="408">
        <v>1.2</v>
      </c>
      <c r="I75" s="405">
        <v>1.41</v>
      </c>
      <c r="J75" s="406">
        <v>1.1954386123980001</v>
      </c>
      <c r="K75" s="409">
        <v>0</v>
      </c>
    </row>
    <row r="76" spans="1:11" ht="14.4" customHeight="1" thickBot="1" x14ac:dyDescent="0.35">
      <c r="A76" s="427" t="s">
        <v>316</v>
      </c>
      <c r="B76" s="405">
        <v>0</v>
      </c>
      <c r="C76" s="405">
        <v>0</v>
      </c>
      <c r="D76" s="406">
        <v>0</v>
      </c>
      <c r="E76" s="407">
        <v>1</v>
      </c>
      <c r="F76" s="405">
        <v>0</v>
      </c>
      <c r="G76" s="406">
        <v>0</v>
      </c>
      <c r="H76" s="408">
        <v>0</v>
      </c>
      <c r="I76" s="405">
        <v>0.45700000000000002</v>
      </c>
      <c r="J76" s="406">
        <v>0.45700000000000002</v>
      </c>
      <c r="K76" s="416" t="s">
        <v>265</v>
      </c>
    </row>
    <row r="77" spans="1:11" ht="14.4" customHeight="1" thickBot="1" x14ac:dyDescent="0.35">
      <c r="A77" s="424" t="s">
        <v>48</v>
      </c>
      <c r="B77" s="405">
        <v>7036.99977835155</v>
      </c>
      <c r="C77" s="405">
        <v>7699.9281300000002</v>
      </c>
      <c r="D77" s="406">
        <v>662.92835164844701</v>
      </c>
      <c r="E77" s="407">
        <v>1.0942061066540001</v>
      </c>
      <c r="F77" s="405">
        <v>7468.0020585966204</v>
      </c>
      <c r="G77" s="406">
        <v>3734.0010292983102</v>
      </c>
      <c r="H77" s="408">
        <v>585.84524999999996</v>
      </c>
      <c r="I77" s="405">
        <v>3747.8697099999999</v>
      </c>
      <c r="J77" s="406">
        <v>13.86868070169</v>
      </c>
      <c r="K77" s="409">
        <v>0.50185708045999999</v>
      </c>
    </row>
    <row r="78" spans="1:11" ht="14.4" customHeight="1" thickBot="1" x14ac:dyDescent="0.35">
      <c r="A78" s="430" t="s">
        <v>317</v>
      </c>
      <c r="B78" s="410">
        <v>5216.9998356771403</v>
      </c>
      <c r="C78" s="410">
        <v>5705.491</v>
      </c>
      <c r="D78" s="411">
        <v>488.491164322857</v>
      </c>
      <c r="E78" s="417">
        <v>1.093634498698</v>
      </c>
      <c r="F78" s="410">
        <v>5515.0015202410796</v>
      </c>
      <c r="G78" s="411">
        <v>2757.5007601205398</v>
      </c>
      <c r="H78" s="413">
        <v>432.358</v>
      </c>
      <c r="I78" s="410">
        <v>2766.9349999999999</v>
      </c>
      <c r="J78" s="411">
        <v>9.4342398794609998</v>
      </c>
      <c r="K78" s="418">
        <v>0.50171065045800001</v>
      </c>
    </row>
    <row r="79" spans="1:11" ht="14.4" customHeight="1" thickBot="1" x14ac:dyDescent="0.35">
      <c r="A79" s="426" t="s">
        <v>318</v>
      </c>
      <c r="B79" s="410">
        <v>5199.9998362125998</v>
      </c>
      <c r="C79" s="410">
        <v>5698.6840000000002</v>
      </c>
      <c r="D79" s="411">
        <v>498.68416378739897</v>
      </c>
      <c r="E79" s="417">
        <v>1.095900803748</v>
      </c>
      <c r="F79" s="410">
        <v>5500.0015161062402</v>
      </c>
      <c r="G79" s="411">
        <v>2750.0007580531201</v>
      </c>
      <c r="H79" s="413">
        <v>432.358</v>
      </c>
      <c r="I79" s="410">
        <v>2763.0309999999999</v>
      </c>
      <c r="J79" s="411">
        <v>13.030241946879</v>
      </c>
      <c r="K79" s="418">
        <v>0.50236913424600005</v>
      </c>
    </row>
    <row r="80" spans="1:11" ht="14.4" customHeight="1" thickBot="1" x14ac:dyDescent="0.35">
      <c r="A80" s="427" t="s">
        <v>319</v>
      </c>
      <c r="B80" s="405">
        <v>5199.9998362125998</v>
      </c>
      <c r="C80" s="405">
        <v>5698.6840000000002</v>
      </c>
      <c r="D80" s="406">
        <v>498.68416378739897</v>
      </c>
      <c r="E80" s="407">
        <v>1.095900803748</v>
      </c>
      <c r="F80" s="405">
        <v>5500.0015161062402</v>
      </c>
      <c r="G80" s="406">
        <v>2750.0007580531201</v>
      </c>
      <c r="H80" s="408">
        <v>432.358</v>
      </c>
      <c r="I80" s="405">
        <v>2763.0309999999999</v>
      </c>
      <c r="J80" s="406">
        <v>13.030241946879</v>
      </c>
      <c r="K80" s="409">
        <v>0.50236913424600005</v>
      </c>
    </row>
    <row r="81" spans="1:11" ht="14.4" customHeight="1" thickBot="1" x14ac:dyDescent="0.35">
      <c r="A81" s="426" t="s">
        <v>320</v>
      </c>
      <c r="B81" s="410">
        <v>16.999999464540998</v>
      </c>
      <c r="C81" s="410">
        <v>6.8070000000000004</v>
      </c>
      <c r="D81" s="411">
        <v>-10.192999464541</v>
      </c>
      <c r="E81" s="417">
        <v>0.40041177731700001</v>
      </c>
      <c r="F81" s="410">
        <v>15.000004134835001</v>
      </c>
      <c r="G81" s="411">
        <v>7.5000020674170003</v>
      </c>
      <c r="H81" s="413">
        <v>0</v>
      </c>
      <c r="I81" s="410">
        <v>3.9039999999999999</v>
      </c>
      <c r="J81" s="411">
        <v>-3.5960020674169999</v>
      </c>
      <c r="K81" s="418">
        <v>0.26026659492199999</v>
      </c>
    </row>
    <row r="82" spans="1:11" ht="14.4" customHeight="1" thickBot="1" x14ac:dyDescent="0.35">
      <c r="A82" s="427" t="s">
        <v>321</v>
      </c>
      <c r="B82" s="405">
        <v>16.999999464540998</v>
      </c>
      <c r="C82" s="405">
        <v>6.8070000000000004</v>
      </c>
      <c r="D82" s="406">
        <v>-10.192999464541</v>
      </c>
      <c r="E82" s="407">
        <v>0.40041177731700001</v>
      </c>
      <c r="F82" s="405">
        <v>15.000004134835001</v>
      </c>
      <c r="G82" s="406">
        <v>7.5000020674170003</v>
      </c>
      <c r="H82" s="408">
        <v>0</v>
      </c>
      <c r="I82" s="405">
        <v>3.9039999999999999</v>
      </c>
      <c r="J82" s="406">
        <v>-3.5960020674169999</v>
      </c>
      <c r="K82" s="409">
        <v>0.26026659492199999</v>
      </c>
    </row>
    <row r="83" spans="1:11" ht="14.4" customHeight="1" thickBot="1" x14ac:dyDescent="0.35">
      <c r="A83" s="425" t="s">
        <v>322</v>
      </c>
      <c r="B83" s="405">
        <v>1767.9999443122799</v>
      </c>
      <c r="C83" s="405">
        <v>1937.3815500000001</v>
      </c>
      <c r="D83" s="406">
        <v>169.38160568771599</v>
      </c>
      <c r="E83" s="407">
        <v>1.095804078632</v>
      </c>
      <c r="F83" s="405">
        <v>1870.00051547612</v>
      </c>
      <c r="G83" s="406">
        <v>935.00025773806101</v>
      </c>
      <c r="H83" s="408">
        <v>147.00149999999999</v>
      </c>
      <c r="I83" s="405">
        <v>939.43204000000003</v>
      </c>
      <c r="J83" s="406">
        <v>4.4317822619380003</v>
      </c>
      <c r="K83" s="409">
        <v>0.50236993638500005</v>
      </c>
    </row>
    <row r="84" spans="1:11" ht="14.4" customHeight="1" thickBot="1" x14ac:dyDescent="0.35">
      <c r="A84" s="426" t="s">
        <v>323</v>
      </c>
      <c r="B84" s="410">
        <v>467.99998525913401</v>
      </c>
      <c r="C84" s="410">
        <v>512.88554999999997</v>
      </c>
      <c r="D84" s="411">
        <v>44.885564740865</v>
      </c>
      <c r="E84" s="417">
        <v>1.09590932939</v>
      </c>
      <c r="F84" s="410">
        <v>495.00013644956198</v>
      </c>
      <c r="G84" s="411">
        <v>247.50006822478099</v>
      </c>
      <c r="H84" s="413">
        <v>38.911999999999999</v>
      </c>
      <c r="I84" s="410">
        <v>248.67429000000001</v>
      </c>
      <c r="J84" s="411">
        <v>1.1742217752190001</v>
      </c>
      <c r="K84" s="418">
        <v>0.50237216454800004</v>
      </c>
    </row>
    <row r="85" spans="1:11" ht="14.4" customHeight="1" thickBot="1" x14ac:dyDescent="0.35">
      <c r="A85" s="427" t="s">
        <v>324</v>
      </c>
      <c r="B85" s="405">
        <v>467.99998525913401</v>
      </c>
      <c r="C85" s="405">
        <v>512.88554999999997</v>
      </c>
      <c r="D85" s="406">
        <v>44.885564740865</v>
      </c>
      <c r="E85" s="407">
        <v>1.09590932939</v>
      </c>
      <c r="F85" s="405">
        <v>495.00013644956198</v>
      </c>
      <c r="G85" s="406">
        <v>247.50006822478099</v>
      </c>
      <c r="H85" s="408">
        <v>38.911999999999999</v>
      </c>
      <c r="I85" s="405">
        <v>248.67429000000001</v>
      </c>
      <c r="J85" s="406">
        <v>1.1742217752190001</v>
      </c>
      <c r="K85" s="409">
        <v>0.50237216454800004</v>
      </c>
    </row>
    <row r="86" spans="1:11" ht="14.4" customHeight="1" thickBot="1" x14ac:dyDescent="0.35">
      <c r="A86" s="426" t="s">
        <v>325</v>
      </c>
      <c r="B86" s="410">
        <v>1299.99995905315</v>
      </c>
      <c r="C86" s="410">
        <v>1424.4960000000001</v>
      </c>
      <c r="D86" s="411">
        <v>124.49604094685</v>
      </c>
      <c r="E86" s="417">
        <v>1.0957661883600001</v>
      </c>
      <c r="F86" s="410">
        <v>1375.00037902656</v>
      </c>
      <c r="G86" s="411">
        <v>687.50018951328002</v>
      </c>
      <c r="H86" s="413">
        <v>108.0895</v>
      </c>
      <c r="I86" s="410">
        <v>690.75774999999999</v>
      </c>
      <c r="J86" s="411">
        <v>3.257560486719</v>
      </c>
      <c r="K86" s="418">
        <v>0.50236913424600005</v>
      </c>
    </row>
    <row r="87" spans="1:11" ht="14.4" customHeight="1" thickBot="1" x14ac:dyDescent="0.35">
      <c r="A87" s="427" t="s">
        <v>326</v>
      </c>
      <c r="B87" s="405">
        <v>1299.99995905315</v>
      </c>
      <c r="C87" s="405">
        <v>1424.4960000000001</v>
      </c>
      <c r="D87" s="406">
        <v>124.49604094685</v>
      </c>
      <c r="E87" s="407">
        <v>1.0957661883600001</v>
      </c>
      <c r="F87" s="405">
        <v>1375.00037902656</v>
      </c>
      <c r="G87" s="406">
        <v>687.50018951328002</v>
      </c>
      <c r="H87" s="408">
        <v>108.0895</v>
      </c>
      <c r="I87" s="405">
        <v>690.75774999999999</v>
      </c>
      <c r="J87" s="406">
        <v>3.257560486719</v>
      </c>
      <c r="K87" s="409">
        <v>0.50236913424600005</v>
      </c>
    </row>
    <row r="88" spans="1:11" ht="14.4" customHeight="1" thickBot="1" x14ac:dyDescent="0.35">
      <c r="A88" s="425" t="s">
        <v>327</v>
      </c>
      <c r="B88" s="405">
        <v>51.999998362126</v>
      </c>
      <c r="C88" s="405">
        <v>57.055579999999999</v>
      </c>
      <c r="D88" s="406">
        <v>5.0555816378729999</v>
      </c>
      <c r="E88" s="407">
        <v>1.0972227268670001</v>
      </c>
      <c r="F88" s="405">
        <v>83.000022879420996</v>
      </c>
      <c r="G88" s="406">
        <v>41.500011439710001</v>
      </c>
      <c r="H88" s="408">
        <v>6.4857500000000003</v>
      </c>
      <c r="I88" s="405">
        <v>41.502670000000002</v>
      </c>
      <c r="J88" s="406">
        <v>2.6585602890000001E-3</v>
      </c>
      <c r="K88" s="409">
        <v>0.50003203083799996</v>
      </c>
    </row>
    <row r="89" spans="1:11" ht="14.4" customHeight="1" thickBot="1" x14ac:dyDescent="0.35">
      <c r="A89" s="426" t="s">
        <v>328</v>
      </c>
      <c r="B89" s="410">
        <v>51.999998362126</v>
      </c>
      <c r="C89" s="410">
        <v>57.055579999999999</v>
      </c>
      <c r="D89" s="411">
        <v>5.0555816378729999</v>
      </c>
      <c r="E89" s="417">
        <v>1.0972227268670001</v>
      </c>
      <c r="F89" s="410">
        <v>83.000022879420996</v>
      </c>
      <c r="G89" s="411">
        <v>41.500011439710001</v>
      </c>
      <c r="H89" s="413">
        <v>6.4857500000000003</v>
      </c>
      <c r="I89" s="410">
        <v>41.502670000000002</v>
      </c>
      <c r="J89" s="411">
        <v>2.6585602890000001E-3</v>
      </c>
      <c r="K89" s="418">
        <v>0.50003203083799996</v>
      </c>
    </row>
    <row r="90" spans="1:11" ht="14.4" customHeight="1" thickBot="1" x14ac:dyDescent="0.35">
      <c r="A90" s="427" t="s">
        <v>329</v>
      </c>
      <c r="B90" s="405">
        <v>51.999998362126</v>
      </c>
      <c r="C90" s="405">
        <v>57.055579999999999</v>
      </c>
      <c r="D90" s="406">
        <v>5.0555816378729999</v>
      </c>
      <c r="E90" s="407">
        <v>1.0972227268670001</v>
      </c>
      <c r="F90" s="405">
        <v>83.000022879420996</v>
      </c>
      <c r="G90" s="406">
        <v>41.500011439710001</v>
      </c>
      <c r="H90" s="408">
        <v>6.4857500000000003</v>
      </c>
      <c r="I90" s="405">
        <v>41.502670000000002</v>
      </c>
      <c r="J90" s="406">
        <v>2.6585602890000001E-3</v>
      </c>
      <c r="K90" s="409">
        <v>0.50003203083799996</v>
      </c>
    </row>
    <row r="91" spans="1:11" ht="14.4" customHeight="1" thickBot="1" x14ac:dyDescent="0.35">
      <c r="A91" s="424" t="s">
        <v>330</v>
      </c>
      <c r="B91" s="405">
        <v>0</v>
      </c>
      <c r="C91" s="405">
        <v>9.7431999999999999</v>
      </c>
      <c r="D91" s="406">
        <v>9.7431999999999999</v>
      </c>
      <c r="E91" s="415" t="s">
        <v>247</v>
      </c>
      <c r="F91" s="405">
        <v>0</v>
      </c>
      <c r="G91" s="406">
        <v>0</v>
      </c>
      <c r="H91" s="408">
        <v>0</v>
      </c>
      <c r="I91" s="405">
        <v>-0.65275000000000005</v>
      </c>
      <c r="J91" s="406">
        <v>-0.65275000000000005</v>
      </c>
      <c r="K91" s="416" t="s">
        <v>247</v>
      </c>
    </row>
    <row r="92" spans="1:11" ht="14.4" customHeight="1" thickBot="1" x14ac:dyDescent="0.35">
      <c r="A92" s="425" t="s">
        <v>331</v>
      </c>
      <c r="B92" s="405">
        <v>0</v>
      </c>
      <c r="C92" s="405">
        <v>9.7431999999999999</v>
      </c>
      <c r="D92" s="406">
        <v>9.7431999999999999</v>
      </c>
      <c r="E92" s="415" t="s">
        <v>247</v>
      </c>
      <c r="F92" s="405">
        <v>0</v>
      </c>
      <c r="G92" s="406">
        <v>0</v>
      </c>
      <c r="H92" s="408">
        <v>0</v>
      </c>
      <c r="I92" s="405">
        <v>-0.65275000000000005</v>
      </c>
      <c r="J92" s="406">
        <v>-0.65275000000000005</v>
      </c>
      <c r="K92" s="416" t="s">
        <v>247</v>
      </c>
    </row>
    <row r="93" spans="1:11" ht="14.4" customHeight="1" thickBot="1" x14ac:dyDescent="0.35">
      <c r="A93" s="426" t="s">
        <v>332</v>
      </c>
      <c r="B93" s="410">
        <v>0</v>
      </c>
      <c r="C93" s="410">
        <v>8.5432000000000006</v>
      </c>
      <c r="D93" s="411">
        <v>8.5432000000000006</v>
      </c>
      <c r="E93" s="412" t="s">
        <v>265</v>
      </c>
      <c r="F93" s="410">
        <v>0</v>
      </c>
      <c r="G93" s="411">
        <v>0</v>
      </c>
      <c r="H93" s="413">
        <v>0</v>
      </c>
      <c r="I93" s="410">
        <v>-0.65275000000000005</v>
      </c>
      <c r="J93" s="411">
        <v>-0.65275000000000005</v>
      </c>
      <c r="K93" s="414" t="s">
        <v>247</v>
      </c>
    </row>
    <row r="94" spans="1:11" ht="14.4" customHeight="1" thickBot="1" x14ac:dyDescent="0.35">
      <c r="A94" s="427" t="s">
        <v>333</v>
      </c>
      <c r="B94" s="405">
        <v>0</v>
      </c>
      <c r="C94" s="405">
        <v>2.3231999999999999</v>
      </c>
      <c r="D94" s="406">
        <v>2.3231999999999999</v>
      </c>
      <c r="E94" s="415" t="s">
        <v>265</v>
      </c>
      <c r="F94" s="405">
        <v>0</v>
      </c>
      <c r="G94" s="406">
        <v>0</v>
      </c>
      <c r="H94" s="408">
        <v>0</v>
      </c>
      <c r="I94" s="405">
        <v>0.20824999999999999</v>
      </c>
      <c r="J94" s="406">
        <v>0.20824999999999999</v>
      </c>
      <c r="K94" s="416" t="s">
        <v>247</v>
      </c>
    </row>
    <row r="95" spans="1:11" ht="14.4" customHeight="1" thickBot="1" x14ac:dyDescent="0.35">
      <c r="A95" s="427" t="s">
        <v>334</v>
      </c>
      <c r="B95" s="405">
        <v>0</v>
      </c>
      <c r="C95" s="405">
        <v>-0.57999999999999996</v>
      </c>
      <c r="D95" s="406">
        <v>-0.57999999999999996</v>
      </c>
      <c r="E95" s="415" t="s">
        <v>265</v>
      </c>
      <c r="F95" s="405">
        <v>0</v>
      </c>
      <c r="G95" s="406">
        <v>0</v>
      </c>
      <c r="H95" s="408">
        <v>0</v>
      </c>
      <c r="I95" s="405">
        <v>-0.86099999999999999</v>
      </c>
      <c r="J95" s="406">
        <v>-0.86099999999999999</v>
      </c>
      <c r="K95" s="416" t="s">
        <v>247</v>
      </c>
    </row>
    <row r="96" spans="1:11" ht="14.4" customHeight="1" thickBot="1" x14ac:dyDescent="0.35">
      <c r="A96" s="427" t="s">
        <v>335</v>
      </c>
      <c r="B96" s="405">
        <v>0</v>
      </c>
      <c r="C96" s="405">
        <v>6.8</v>
      </c>
      <c r="D96" s="406">
        <v>6.8</v>
      </c>
      <c r="E96" s="415" t="s">
        <v>265</v>
      </c>
      <c r="F96" s="405">
        <v>0</v>
      </c>
      <c r="G96" s="406">
        <v>0</v>
      </c>
      <c r="H96" s="408">
        <v>0</v>
      </c>
      <c r="I96" s="405">
        <v>0</v>
      </c>
      <c r="J96" s="406">
        <v>0</v>
      </c>
      <c r="K96" s="416" t="s">
        <v>247</v>
      </c>
    </row>
    <row r="97" spans="1:11" ht="14.4" customHeight="1" thickBot="1" x14ac:dyDescent="0.35">
      <c r="A97" s="429" t="s">
        <v>336</v>
      </c>
      <c r="B97" s="405">
        <v>0</v>
      </c>
      <c r="C97" s="405">
        <v>1.2</v>
      </c>
      <c r="D97" s="406">
        <v>1.2</v>
      </c>
      <c r="E97" s="415" t="s">
        <v>265</v>
      </c>
      <c r="F97" s="405">
        <v>0</v>
      </c>
      <c r="G97" s="406">
        <v>0</v>
      </c>
      <c r="H97" s="408">
        <v>0</v>
      </c>
      <c r="I97" s="405">
        <v>0</v>
      </c>
      <c r="J97" s="406">
        <v>0</v>
      </c>
      <c r="K97" s="416" t="s">
        <v>247</v>
      </c>
    </row>
    <row r="98" spans="1:11" ht="14.4" customHeight="1" thickBot="1" x14ac:dyDescent="0.35">
      <c r="A98" s="427" t="s">
        <v>337</v>
      </c>
      <c r="B98" s="405">
        <v>0</v>
      </c>
      <c r="C98" s="405">
        <v>1.2</v>
      </c>
      <c r="D98" s="406">
        <v>1.2</v>
      </c>
      <c r="E98" s="415" t="s">
        <v>265</v>
      </c>
      <c r="F98" s="405">
        <v>0</v>
      </c>
      <c r="G98" s="406">
        <v>0</v>
      </c>
      <c r="H98" s="408">
        <v>0</v>
      </c>
      <c r="I98" s="405">
        <v>0</v>
      </c>
      <c r="J98" s="406">
        <v>0</v>
      </c>
      <c r="K98" s="416" t="s">
        <v>247</v>
      </c>
    </row>
    <row r="99" spans="1:11" ht="14.4" customHeight="1" thickBot="1" x14ac:dyDescent="0.35">
      <c r="A99" s="424" t="s">
        <v>338</v>
      </c>
      <c r="B99" s="405">
        <v>348.44570758665299</v>
      </c>
      <c r="C99" s="405">
        <v>368.7</v>
      </c>
      <c r="D99" s="406">
        <v>20.254292413346001</v>
      </c>
      <c r="E99" s="407">
        <v>1.0581275417439999</v>
      </c>
      <c r="F99" s="405">
        <v>306.00076335869301</v>
      </c>
      <c r="G99" s="406">
        <v>153.00038167934699</v>
      </c>
      <c r="H99" s="408">
        <v>35.102499999999999</v>
      </c>
      <c r="I99" s="405">
        <v>162.27250000000001</v>
      </c>
      <c r="J99" s="406">
        <v>9.272118320653</v>
      </c>
      <c r="K99" s="409">
        <v>0.53030096467300003</v>
      </c>
    </row>
    <row r="100" spans="1:11" ht="14.4" customHeight="1" thickBot="1" x14ac:dyDescent="0.35">
      <c r="A100" s="425" t="s">
        <v>339</v>
      </c>
      <c r="B100" s="405">
        <v>288.99970758665302</v>
      </c>
      <c r="C100" s="405">
        <v>294.37</v>
      </c>
      <c r="D100" s="406">
        <v>5.3702924133460002</v>
      </c>
      <c r="E100" s="407">
        <v>1.0185823454909999</v>
      </c>
      <c r="F100" s="405">
        <v>306.00076335869301</v>
      </c>
      <c r="G100" s="406">
        <v>153.00038167934699</v>
      </c>
      <c r="H100" s="408">
        <v>25.434000000000001</v>
      </c>
      <c r="I100" s="405">
        <v>152.60400000000001</v>
      </c>
      <c r="J100" s="406">
        <v>-0.39638167934599999</v>
      </c>
      <c r="K100" s="409">
        <v>0.49870463826599998</v>
      </c>
    </row>
    <row r="101" spans="1:11" ht="14.4" customHeight="1" thickBot="1" x14ac:dyDescent="0.35">
      <c r="A101" s="426" t="s">
        <v>340</v>
      </c>
      <c r="B101" s="410">
        <v>288.99970758665302</v>
      </c>
      <c r="C101" s="410">
        <v>294.37</v>
      </c>
      <c r="D101" s="411">
        <v>5.3702924133460002</v>
      </c>
      <c r="E101" s="417">
        <v>1.0185823454909999</v>
      </c>
      <c r="F101" s="410">
        <v>306.00076335869301</v>
      </c>
      <c r="G101" s="411">
        <v>153.00038167934699</v>
      </c>
      <c r="H101" s="413">
        <v>25.434000000000001</v>
      </c>
      <c r="I101" s="410">
        <v>152.60400000000001</v>
      </c>
      <c r="J101" s="411">
        <v>-0.39638167934599999</v>
      </c>
      <c r="K101" s="418">
        <v>0.49870463826599998</v>
      </c>
    </row>
    <row r="102" spans="1:11" ht="14.4" customHeight="1" thickBot="1" x14ac:dyDescent="0.35">
      <c r="A102" s="427" t="s">
        <v>341</v>
      </c>
      <c r="B102" s="405">
        <v>128.99999593681</v>
      </c>
      <c r="C102" s="405">
        <v>128.827</v>
      </c>
      <c r="D102" s="406">
        <v>-0.17299593681</v>
      </c>
      <c r="E102" s="407">
        <v>0.99865894618399997</v>
      </c>
      <c r="F102" s="405">
        <v>129.00032180807699</v>
      </c>
      <c r="G102" s="406">
        <v>64.500160904037998</v>
      </c>
      <c r="H102" s="408">
        <v>10.715999999999999</v>
      </c>
      <c r="I102" s="405">
        <v>64.296000000000006</v>
      </c>
      <c r="J102" s="406">
        <v>-0.204160904038</v>
      </c>
      <c r="K102" s="409">
        <v>0.498417361281</v>
      </c>
    </row>
    <row r="103" spans="1:11" ht="14.4" customHeight="1" thickBot="1" x14ac:dyDescent="0.35">
      <c r="A103" s="427" t="s">
        <v>342</v>
      </c>
      <c r="B103" s="405">
        <v>136.99999568482701</v>
      </c>
      <c r="C103" s="405">
        <v>142.399</v>
      </c>
      <c r="D103" s="406">
        <v>5.3990043151730003</v>
      </c>
      <c r="E103" s="407">
        <v>1.0394087918620001</v>
      </c>
      <c r="F103" s="405">
        <v>154.00038417398301</v>
      </c>
      <c r="G103" s="406">
        <v>77.000192086991007</v>
      </c>
      <c r="H103" s="408">
        <v>12.798999999999999</v>
      </c>
      <c r="I103" s="405">
        <v>76.793999999999997</v>
      </c>
      <c r="J103" s="406">
        <v>-0.206192086991</v>
      </c>
      <c r="K103" s="409">
        <v>0.49866109368400002</v>
      </c>
    </row>
    <row r="104" spans="1:11" ht="14.4" customHeight="1" thickBot="1" x14ac:dyDescent="0.35">
      <c r="A104" s="427" t="s">
        <v>343</v>
      </c>
      <c r="B104" s="405">
        <v>22.999715965016001</v>
      </c>
      <c r="C104" s="405">
        <v>23.143999999999998</v>
      </c>
      <c r="D104" s="406">
        <v>0.14428403498299999</v>
      </c>
      <c r="E104" s="407">
        <v>1.0062732963829999</v>
      </c>
      <c r="F104" s="405">
        <v>23.000057376632999</v>
      </c>
      <c r="G104" s="406">
        <v>11.500028688316</v>
      </c>
      <c r="H104" s="408">
        <v>1.919</v>
      </c>
      <c r="I104" s="405">
        <v>11.513999999999999</v>
      </c>
      <c r="J104" s="406">
        <v>1.3971311683E-2</v>
      </c>
      <c r="K104" s="409">
        <v>0.50060744681799996</v>
      </c>
    </row>
    <row r="105" spans="1:11" ht="14.4" customHeight="1" thickBot="1" x14ac:dyDescent="0.35">
      <c r="A105" s="425" t="s">
        <v>344</v>
      </c>
      <c r="B105" s="405">
        <v>59.445999999999998</v>
      </c>
      <c r="C105" s="405">
        <v>74.33</v>
      </c>
      <c r="D105" s="406">
        <v>14.884</v>
      </c>
      <c r="E105" s="407">
        <v>1.2503784947679999</v>
      </c>
      <c r="F105" s="405">
        <v>0</v>
      </c>
      <c r="G105" s="406">
        <v>0</v>
      </c>
      <c r="H105" s="408">
        <v>9.6684999999999999</v>
      </c>
      <c r="I105" s="405">
        <v>9.6684999999999999</v>
      </c>
      <c r="J105" s="406">
        <v>9.6684999999999999</v>
      </c>
      <c r="K105" s="416" t="s">
        <v>247</v>
      </c>
    </row>
    <row r="106" spans="1:11" ht="14.4" customHeight="1" thickBot="1" x14ac:dyDescent="0.35">
      <c r="A106" s="426" t="s">
        <v>345</v>
      </c>
      <c r="B106" s="410">
        <v>59.445999999999998</v>
      </c>
      <c r="C106" s="410">
        <v>50.094000000000001</v>
      </c>
      <c r="D106" s="411">
        <v>-9.3520000000000003</v>
      </c>
      <c r="E106" s="417">
        <v>0.84268075227899997</v>
      </c>
      <c r="F106" s="410">
        <v>0</v>
      </c>
      <c r="G106" s="411">
        <v>0</v>
      </c>
      <c r="H106" s="413">
        <v>9.6684999999999999</v>
      </c>
      <c r="I106" s="410">
        <v>9.6684999999999999</v>
      </c>
      <c r="J106" s="411">
        <v>9.6684999999999999</v>
      </c>
      <c r="K106" s="414" t="s">
        <v>247</v>
      </c>
    </row>
    <row r="107" spans="1:11" ht="14.4" customHeight="1" thickBot="1" x14ac:dyDescent="0.35">
      <c r="A107" s="427" t="s">
        <v>346</v>
      </c>
      <c r="B107" s="405">
        <v>59.445999999999998</v>
      </c>
      <c r="C107" s="405">
        <v>50.094000000000001</v>
      </c>
      <c r="D107" s="406">
        <v>-9.3520000000000003</v>
      </c>
      <c r="E107" s="407">
        <v>0.84268075227899997</v>
      </c>
      <c r="F107" s="405">
        <v>0</v>
      </c>
      <c r="G107" s="406">
        <v>0</v>
      </c>
      <c r="H107" s="408">
        <v>9.6684999999999999</v>
      </c>
      <c r="I107" s="405">
        <v>9.6684999999999999</v>
      </c>
      <c r="J107" s="406">
        <v>9.6684999999999999</v>
      </c>
      <c r="K107" s="416" t="s">
        <v>247</v>
      </c>
    </row>
    <row r="108" spans="1:11" ht="14.4" customHeight="1" thickBot="1" x14ac:dyDescent="0.35">
      <c r="A108" s="426" t="s">
        <v>347</v>
      </c>
      <c r="B108" s="410">
        <v>0</v>
      </c>
      <c r="C108" s="410">
        <v>24.236000000000001</v>
      </c>
      <c r="D108" s="411">
        <v>24.236000000000001</v>
      </c>
      <c r="E108" s="412" t="s">
        <v>247</v>
      </c>
      <c r="F108" s="410">
        <v>0</v>
      </c>
      <c r="G108" s="411">
        <v>0</v>
      </c>
      <c r="H108" s="413">
        <v>0</v>
      </c>
      <c r="I108" s="410">
        <v>0</v>
      </c>
      <c r="J108" s="411">
        <v>0</v>
      </c>
      <c r="K108" s="414" t="s">
        <v>247</v>
      </c>
    </row>
    <row r="109" spans="1:11" ht="14.4" customHeight="1" thickBot="1" x14ac:dyDescent="0.35">
      <c r="A109" s="427" t="s">
        <v>348</v>
      </c>
      <c r="B109" s="405">
        <v>0</v>
      </c>
      <c r="C109" s="405">
        <v>24.236000000000001</v>
      </c>
      <c r="D109" s="406">
        <v>24.236000000000001</v>
      </c>
      <c r="E109" s="415" t="s">
        <v>247</v>
      </c>
      <c r="F109" s="405">
        <v>0</v>
      </c>
      <c r="G109" s="406">
        <v>0</v>
      </c>
      <c r="H109" s="408">
        <v>0</v>
      </c>
      <c r="I109" s="405">
        <v>0</v>
      </c>
      <c r="J109" s="406">
        <v>0</v>
      </c>
      <c r="K109" s="416" t="s">
        <v>247</v>
      </c>
    </row>
    <row r="110" spans="1:11" ht="14.4" customHeight="1" thickBot="1" x14ac:dyDescent="0.35">
      <c r="A110" s="423" t="s">
        <v>349</v>
      </c>
      <c r="B110" s="405">
        <v>5752.1368272560903</v>
      </c>
      <c r="C110" s="405">
        <v>6670.7936900000004</v>
      </c>
      <c r="D110" s="406">
        <v>918.656862743906</v>
      </c>
      <c r="E110" s="407">
        <v>1.159707060233</v>
      </c>
      <c r="F110" s="405">
        <v>6947.2384951597796</v>
      </c>
      <c r="G110" s="406">
        <v>3473.6192475798898</v>
      </c>
      <c r="H110" s="408">
        <v>689.25779999999997</v>
      </c>
      <c r="I110" s="405">
        <v>3649.9180700000002</v>
      </c>
      <c r="J110" s="406">
        <v>176.29882242011001</v>
      </c>
      <c r="K110" s="409">
        <v>0.52537682023400001</v>
      </c>
    </row>
    <row r="111" spans="1:11" ht="14.4" customHeight="1" thickBot="1" x14ac:dyDescent="0.35">
      <c r="A111" s="424" t="s">
        <v>350</v>
      </c>
      <c r="B111" s="405">
        <v>5731.1332493727105</v>
      </c>
      <c r="C111" s="405">
        <v>6563.1204299999999</v>
      </c>
      <c r="D111" s="406">
        <v>831.98718062729301</v>
      </c>
      <c r="E111" s="407">
        <v>1.14516974993</v>
      </c>
      <c r="F111" s="405">
        <v>6856.7344153613503</v>
      </c>
      <c r="G111" s="406">
        <v>3428.3672076806802</v>
      </c>
      <c r="H111" s="408">
        <v>684.7604</v>
      </c>
      <c r="I111" s="405">
        <v>3596.8271399999999</v>
      </c>
      <c r="J111" s="406">
        <v>168.459932319323</v>
      </c>
      <c r="K111" s="409">
        <v>0.52456853687399996</v>
      </c>
    </row>
    <row r="112" spans="1:11" ht="14.4" customHeight="1" thickBot="1" x14ac:dyDescent="0.35">
      <c r="A112" s="425" t="s">
        <v>351</v>
      </c>
      <c r="B112" s="405">
        <v>5731.1332493727105</v>
      </c>
      <c r="C112" s="405">
        <v>6563.1204299999999</v>
      </c>
      <c r="D112" s="406">
        <v>831.98718062729301</v>
      </c>
      <c r="E112" s="407">
        <v>1.14516974993</v>
      </c>
      <c r="F112" s="405">
        <v>6856.7344153613503</v>
      </c>
      <c r="G112" s="406">
        <v>3428.3672076806802</v>
      </c>
      <c r="H112" s="408">
        <v>684.7604</v>
      </c>
      <c r="I112" s="405">
        <v>3596.8271399999999</v>
      </c>
      <c r="J112" s="406">
        <v>168.459932319323</v>
      </c>
      <c r="K112" s="409">
        <v>0.52456853687399996</v>
      </c>
    </row>
    <row r="113" spans="1:11" ht="14.4" customHeight="1" thickBot="1" x14ac:dyDescent="0.35">
      <c r="A113" s="426" t="s">
        <v>352</v>
      </c>
      <c r="B113" s="410">
        <v>3710.1332493721802</v>
      </c>
      <c r="C113" s="410">
        <v>4302.8563999999997</v>
      </c>
      <c r="D113" s="411">
        <v>592.72315062782002</v>
      </c>
      <c r="E113" s="417">
        <v>1.159757914551</v>
      </c>
      <c r="F113" s="410">
        <v>4453.7341744157702</v>
      </c>
      <c r="G113" s="411">
        <v>2226.8670872078901</v>
      </c>
      <c r="H113" s="413">
        <v>458.70021000000003</v>
      </c>
      <c r="I113" s="410">
        <v>2388.3170500000001</v>
      </c>
      <c r="J113" s="411">
        <v>161.449962792115</v>
      </c>
      <c r="K113" s="418">
        <v>0.53625047128299996</v>
      </c>
    </row>
    <row r="114" spans="1:11" ht="14.4" customHeight="1" thickBot="1" x14ac:dyDescent="0.35">
      <c r="A114" s="427" t="s">
        <v>353</v>
      </c>
      <c r="B114" s="405">
        <v>2781.1640440699298</v>
      </c>
      <c r="C114" s="405">
        <v>3254.5423900000001</v>
      </c>
      <c r="D114" s="406">
        <v>473.37834593006801</v>
      </c>
      <c r="E114" s="407">
        <v>1.170208710607</v>
      </c>
      <c r="F114" s="405">
        <v>3427.26425456674</v>
      </c>
      <c r="G114" s="406">
        <v>1713.63212728337</v>
      </c>
      <c r="H114" s="408">
        <v>355.91806000000003</v>
      </c>
      <c r="I114" s="405">
        <v>1882.5463</v>
      </c>
      <c r="J114" s="406">
        <v>168.914172716628</v>
      </c>
      <c r="K114" s="409">
        <v>0.54928542422399995</v>
      </c>
    </row>
    <row r="115" spans="1:11" ht="14.4" customHeight="1" thickBot="1" x14ac:dyDescent="0.35">
      <c r="A115" s="427" t="s">
        <v>354</v>
      </c>
      <c r="B115" s="405">
        <v>27</v>
      </c>
      <c r="C115" s="405">
        <v>60.4512</v>
      </c>
      <c r="D115" s="406">
        <v>33.4512</v>
      </c>
      <c r="E115" s="407">
        <v>2.2389333333330002</v>
      </c>
      <c r="F115" s="405">
        <v>49.791237304747</v>
      </c>
      <c r="G115" s="406">
        <v>24.895618652372999</v>
      </c>
      <c r="H115" s="408">
        <v>3.3191999999999999</v>
      </c>
      <c r="I115" s="405">
        <v>23.5044</v>
      </c>
      <c r="J115" s="406">
        <v>-1.3912186523729999</v>
      </c>
      <c r="K115" s="409">
        <v>0.47205896604100001</v>
      </c>
    </row>
    <row r="116" spans="1:11" ht="14.4" customHeight="1" thickBot="1" x14ac:dyDescent="0.35">
      <c r="A116" s="427" t="s">
        <v>355</v>
      </c>
      <c r="B116" s="405">
        <v>67</v>
      </c>
      <c r="C116" s="405">
        <v>101.714</v>
      </c>
      <c r="D116" s="406">
        <v>34.713999999999999</v>
      </c>
      <c r="E116" s="407">
        <v>1.518119402985</v>
      </c>
      <c r="F116" s="405">
        <v>104.245743218396</v>
      </c>
      <c r="G116" s="406">
        <v>52.122871609196999</v>
      </c>
      <c r="H116" s="408">
        <v>6.6635999999999997</v>
      </c>
      <c r="I116" s="405">
        <v>46.427999999999997</v>
      </c>
      <c r="J116" s="406">
        <v>-5.6948716091970004</v>
      </c>
      <c r="K116" s="409">
        <v>0.44537070355699998</v>
      </c>
    </row>
    <row r="117" spans="1:11" ht="14.4" customHeight="1" thickBot="1" x14ac:dyDescent="0.35">
      <c r="A117" s="427" t="s">
        <v>356</v>
      </c>
      <c r="B117" s="405">
        <v>834.96920530224702</v>
      </c>
      <c r="C117" s="405">
        <v>886.14881000000003</v>
      </c>
      <c r="D117" s="406">
        <v>51.179604697751998</v>
      </c>
      <c r="E117" s="407">
        <v>1.061295200317</v>
      </c>
      <c r="F117" s="405">
        <v>872.43293932588494</v>
      </c>
      <c r="G117" s="406">
        <v>436.21646966294202</v>
      </c>
      <c r="H117" s="408">
        <v>92.799350000000004</v>
      </c>
      <c r="I117" s="405">
        <v>435.83834999999999</v>
      </c>
      <c r="J117" s="406">
        <v>-0.378119662942</v>
      </c>
      <c r="K117" s="409">
        <v>0.49956659171599999</v>
      </c>
    </row>
    <row r="118" spans="1:11" ht="14.4" customHeight="1" thickBot="1" x14ac:dyDescent="0.35">
      <c r="A118" s="426" t="s">
        <v>357</v>
      </c>
      <c r="B118" s="410">
        <v>2</v>
      </c>
      <c r="C118" s="410">
        <v>0</v>
      </c>
      <c r="D118" s="411">
        <v>-2</v>
      </c>
      <c r="E118" s="417">
        <v>0</v>
      </c>
      <c r="F118" s="410">
        <v>0</v>
      </c>
      <c r="G118" s="411">
        <v>0</v>
      </c>
      <c r="H118" s="413">
        <v>0</v>
      </c>
      <c r="I118" s="410">
        <v>0.999</v>
      </c>
      <c r="J118" s="411">
        <v>0.999</v>
      </c>
      <c r="K118" s="414" t="s">
        <v>247</v>
      </c>
    </row>
    <row r="119" spans="1:11" ht="14.4" customHeight="1" thickBot="1" x14ac:dyDescent="0.35">
      <c r="A119" s="427" t="s">
        <v>358</v>
      </c>
      <c r="B119" s="405">
        <v>2</v>
      </c>
      <c r="C119" s="405">
        <v>0</v>
      </c>
      <c r="D119" s="406">
        <v>-2</v>
      </c>
      <c r="E119" s="407">
        <v>0</v>
      </c>
      <c r="F119" s="405">
        <v>0</v>
      </c>
      <c r="G119" s="406">
        <v>0</v>
      </c>
      <c r="H119" s="408">
        <v>0</v>
      </c>
      <c r="I119" s="405">
        <v>0.999</v>
      </c>
      <c r="J119" s="406">
        <v>0.999</v>
      </c>
      <c r="K119" s="416" t="s">
        <v>247</v>
      </c>
    </row>
    <row r="120" spans="1:11" ht="14.4" customHeight="1" thickBot="1" x14ac:dyDescent="0.35">
      <c r="A120" s="426" t="s">
        <v>359</v>
      </c>
      <c r="B120" s="410">
        <v>2</v>
      </c>
      <c r="C120" s="410">
        <v>0.371</v>
      </c>
      <c r="D120" s="411">
        <v>-1.629</v>
      </c>
      <c r="E120" s="417">
        <v>0.18549999999899999</v>
      </c>
      <c r="F120" s="410">
        <v>1.0000001002679999</v>
      </c>
      <c r="G120" s="411">
        <v>0.50000005013399995</v>
      </c>
      <c r="H120" s="413">
        <v>0</v>
      </c>
      <c r="I120" s="410">
        <v>0</v>
      </c>
      <c r="J120" s="411">
        <v>-0.50000005013399995</v>
      </c>
      <c r="K120" s="418">
        <v>0</v>
      </c>
    </row>
    <row r="121" spans="1:11" ht="14.4" customHeight="1" thickBot="1" x14ac:dyDescent="0.35">
      <c r="A121" s="427" t="s">
        <v>360</v>
      </c>
      <c r="B121" s="405">
        <v>2</v>
      </c>
      <c r="C121" s="405">
        <v>0.371</v>
      </c>
      <c r="D121" s="406">
        <v>-1.629</v>
      </c>
      <c r="E121" s="407">
        <v>0.18549999999899999</v>
      </c>
      <c r="F121" s="405">
        <v>1.0000001002679999</v>
      </c>
      <c r="G121" s="406">
        <v>0.50000005013399995</v>
      </c>
      <c r="H121" s="408">
        <v>0</v>
      </c>
      <c r="I121" s="405">
        <v>0</v>
      </c>
      <c r="J121" s="406">
        <v>-0.50000005013399995</v>
      </c>
      <c r="K121" s="409">
        <v>0</v>
      </c>
    </row>
    <row r="122" spans="1:11" ht="14.4" customHeight="1" thickBot="1" x14ac:dyDescent="0.35">
      <c r="A122" s="426" t="s">
        <v>361</v>
      </c>
      <c r="B122" s="410">
        <v>0</v>
      </c>
      <c r="C122" s="410">
        <v>0</v>
      </c>
      <c r="D122" s="411">
        <v>0</v>
      </c>
      <c r="E122" s="417">
        <v>1</v>
      </c>
      <c r="F122" s="410">
        <v>0</v>
      </c>
      <c r="G122" s="411">
        <v>0</v>
      </c>
      <c r="H122" s="413">
        <v>0</v>
      </c>
      <c r="I122" s="410">
        <v>0.126</v>
      </c>
      <c r="J122" s="411">
        <v>0.126</v>
      </c>
      <c r="K122" s="414" t="s">
        <v>265</v>
      </c>
    </row>
    <row r="123" spans="1:11" ht="14.4" customHeight="1" thickBot="1" x14ac:dyDescent="0.35">
      <c r="A123" s="427" t="s">
        <v>362</v>
      </c>
      <c r="B123" s="405">
        <v>0</v>
      </c>
      <c r="C123" s="405">
        <v>0</v>
      </c>
      <c r="D123" s="406">
        <v>0</v>
      </c>
      <c r="E123" s="407">
        <v>1</v>
      </c>
      <c r="F123" s="405">
        <v>0</v>
      </c>
      <c r="G123" s="406">
        <v>0</v>
      </c>
      <c r="H123" s="408">
        <v>0</v>
      </c>
      <c r="I123" s="405">
        <v>0.126</v>
      </c>
      <c r="J123" s="406">
        <v>0.126</v>
      </c>
      <c r="K123" s="416" t="s">
        <v>265</v>
      </c>
    </row>
    <row r="124" spans="1:11" ht="14.4" customHeight="1" thickBot="1" x14ac:dyDescent="0.35">
      <c r="A124" s="426" t="s">
        <v>363</v>
      </c>
      <c r="B124" s="410">
        <v>2017.00000000053</v>
      </c>
      <c r="C124" s="410">
        <v>2190.5068700000002</v>
      </c>
      <c r="D124" s="411">
        <v>173.506869999473</v>
      </c>
      <c r="E124" s="417">
        <v>1.0860222459090001</v>
      </c>
      <c r="F124" s="410">
        <v>2402.0002408453101</v>
      </c>
      <c r="G124" s="411">
        <v>1201.0001204226601</v>
      </c>
      <c r="H124" s="413">
        <v>187.09757999999999</v>
      </c>
      <c r="I124" s="410">
        <v>1146.41932</v>
      </c>
      <c r="J124" s="411">
        <v>-54.580800422656999</v>
      </c>
      <c r="K124" s="418">
        <v>0.47727693798900001</v>
      </c>
    </row>
    <row r="125" spans="1:11" ht="14.4" customHeight="1" thickBot="1" x14ac:dyDescent="0.35">
      <c r="A125" s="427" t="s">
        <v>364</v>
      </c>
      <c r="B125" s="405">
        <v>801.00000000020896</v>
      </c>
      <c r="C125" s="405">
        <v>802.35374999999999</v>
      </c>
      <c r="D125" s="406">
        <v>1.35374999979</v>
      </c>
      <c r="E125" s="407">
        <v>1.001690074906</v>
      </c>
      <c r="F125" s="405">
        <v>966.00009685952296</v>
      </c>
      <c r="G125" s="406">
        <v>483.00004842976102</v>
      </c>
      <c r="H125" s="408">
        <v>74.787099999999995</v>
      </c>
      <c r="I125" s="405">
        <v>415.19567000000001</v>
      </c>
      <c r="J125" s="406">
        <v>-67.804378429761002</v>
      </c>
      <c r="K125" s="409">
        <v>0.429809139098</v>
      </c>
    </row>
    <row r="126" spans="1:11" ht="14.4" customHeight="1" thickBot="1" x14ac:dyDescent="0.35">
      <c r="A126" s="427" t="s">
        <v>365</v>
      </c>
      <c r="B126" s="405">
        <v>1216.0000000003199</v>
      </c>
      <c r="C126" s="405">
        <v>1388.1531199999999</v>
      </c>
      <c r="D126" s="406">
        <v>172.15311999968301</v>
      </c>
      <c r="E126" s="407">
        <v>1.141573289473</v>
      </c>
      <c r="F126" s="405">
        <v>1436.0001439857899</v>
      </c>
      <c r="G126" s="406">
        <v>718.00007199289598</v>
      </c>
      <c r="H126" s="408">
        <v>112.31048</v>
      </c>
      <c r="I126" s="405">
        <v>731.22365000000002</v>
      </c>
      <c r="J126" s="406">
        <v>13.223578007104001</v>
      </c>
      <c r="K126" s="409">
        <v>0.50920861885799995</v>
      </c>
    </row>
    <row r="127" spans="1:11" ht="14.4" customHeight="1" thickBot="1" x14ac:dyDescent="0.35">
      <c r="A127" s="426" t="s">
        <v>366</v>
      </c>
      <c r="B127" s="410">
        <v>0</v>
      </c>
      <c r="C127" s="410">
        <v>69.386160000000004</v>
      </c>
      <c r="D127" s="411">
        <v>69.386160000000004</v>
      </c>
      <c r="E127" s="412" t="s">
        <v>247</v>
      </c>
      <c r="F127" s="410">
        <v>0</v>
      </c>
      <c r="G127" s="411">
        <v>0</v>
      </c>
      <c r="H127" s="413">
        <v>38.962609999999998</v>
      </c>
      <c r="I127" s="410">
        <v>60.965769999999999</v>
      </c>
      <c r="J127" s="411">
        <v>60.965769999999999</v>
      </c>
      <c r="K127" s="414" t="s">
        <v>247</v>
      </c>
    </row>
    <row r="128" spans="1:11" ht="14.4" customHeight="1" thickBot="1" x14ac:dyDescent="0.35">
      <c r="A128" s="427" t="s">
        <v>367</v>
      </c>
      <c r="B128" s="405">
        <v>0</v>
      </c>
      <c r="C128" s="405">
        <v>19.357040000000001</v>
      </c>
      <c r="D128" s="406">
        <v>19.357040000000001</v>
      </c>
      <c r="E128" s="415" t="s">
        <v>247</v>
      </c>
      <c r="F128" s="405">
        <v>0</v>
      </c>
      <c r="G128" s="406">
        <v>0</v>
      </c>
      <c r="H128" s="408">
        <v>0</v>
      </c>
      <c r="I128" s="405">
        <v>14.798069999999999</v>
      </c>
      <c r="J128" s="406">
        <v>14.798069999999999</v>
      </c>
      <c r="K128" s="416" t="s">
        <v>247</v>
      </c>
    </row>
    <row r="129" spans="1:11" ht="14.4" customHeight="1" thickBot="1" x14ac:dyDescent="0.35">
      <c r="A129" s="427" t="s">
        <v>368</v>
      </c>
      <c r="B129" s="405">
        <v>0</v>
      </c>
      <c r="C129" s="405">
        <v>50.029119999999999</v>
      </c>
      <c r="D129" s="406">
        <v>50.029119999999999</v>
      </c>
      <c r="E129" s="415" t="s">
        <v>247</v>
      </c>
      <c r="F129" s="405">
        <v>0</v>
      </c>
      <c r="G129" s="406">
        <v>0</v>
      </c>
      <c r="H129" s="408">
        <v>38.962609999999998</v>
      </c>
      <c r="I129" s="405">
        <v>46.167700000000004</v>
      </c>
      <c r="J129" s="406">
        <v>46.167700000000004</v>
      </c>
      <c r="K129" s="416" t="s">
        <v>247</v>
      </c>
    </row>
    <row r="130" spans="1:11" ht="14.4" customHeight="1" thickBot="1" x14ac:dyDescent="0.35">
      <c r="A130" s="424" t="s">
        <v>369</v>
      </c>
      <c r="B130" s="405">
        <v>21.003577883384999</v>
      </c>
      <c r="C130" s="405">
        <v>107.67326</v>
      </c>
      <c r="D130" s="406">
        <v>86.669682116613998</v>
      </c>
      <c r="E130" s="407">
        <v>5.1264246785859999</v>
      </c>
      <c r="F130" s="405">
        <v>90.504079798424002</v>
      </c>
      <c r="G130" s="406">
        <v>45.252039899212001</v>
      </c>
      <c r="H130" s="408">
        <v>4.4973999999999998</v>
      </c>
      <c r="I130" s="405">
        <v>53.09093</v>
      </c>
      <c r="J130" s="406">
        <v>7.8388901007870002</v>
      </c>
      <c r="K130" s="409">
        <v>0.58661366557399997</v>
      </c>
    </row>
    <row r="131" spans="1:11" ht="14.4" customHeight="1" thickBot="1" x14ac:dyDescent="0.35">
      <c r="A131" s="430" t="s">
        <v>370</v>
      </c>
      <c r="B131" s="410">
        <v>21.003577883384999</v>
      </c>
      <c r="C131" s="410">
        <v>107.67326</v>
      </c>
      <c r="D131" s="411">
        <v>86.669682116613998</v>
      </c>
      <c r="E131" s="417">
        <v>5.1264246785859999</v>
      </c>
      <c r="F131" s="410">
        <v>90.504079798424002</v>
      </c>
      <c r="G131" s="411">
        <v>45.252039899212001</v>
      </c>
      <c r="H131" s="413">
        <v>4.4973999999999998</v>
      </c>
      <c r="I131" s="410">
        <v>53.09093</v>
      </c>
      <c r="J131" s="411">
        <v>7.8388901007870002</v>
      </c>
      <c r="K131" s="418">
        <v>0.58661366557399997</v>
      </c>
    </row>
    <row r="132" spans="1:11" ht="14.4" customHeight="1" thickBot="1" x14ac:dyDescent="0.35">
      <c r="A132" s="426" t="s">
        <v>371</v>
      </c>
      <c r="B132" s="410">
        <v>0</v>
      </c>
      <c r="C132" s="410">
        <v>4.4699999999999997E-2</v>
      </c>
      <c r="D132" s="411">
        <v>4.4699999999999997E-2</v>
      </c>
      <c r="E132" s="412" t="s">
        <v>247</v>
      </c>
      <c r="F132" s="410">
        <v>0</v>
      </c>
      <c r="G132" s="411">
        <v>0</v>
      </c>
      <c r="H132" s="413">
        <v>1.4E-3</v>
      </c>
      <c r="I132" s="410">
        <v>-3.1900000000000001E-3</v>
      </c>
      <c r="J132" s="411">
        <v>-3.1900000000000001E-3</v>
      </c>
      <c r="K132" s="414" t="s">
        <v>247</v>
      </c>
    </row>
    <row r="133" spans="1:11" ht="14.4" customHeight="1" thickBot="1" x14ac:dyDescent="0.35">
      <c r="A133" s="427" t="s">
        <v>372</v>
      </c>
      <c r="B133" s="405">
        <v>0</v>
      </c>
      <c r="C133" s="405">
        <v>4.4699999999999997E-2</v>
      </c>
      <c r="D133" s="406">
        <v>4.4699999999999997E-2</v>
      </c>
      <c r="E133" s="415" t="s">
        <v>247</v>
      </c>
      <c r="F133" s="405">
        <v>0</v>
      </c>
      <c r="G133" s="406">
        <v>0</v>
      </c>
      <c r="H133" s="408">
        <v>1.4E-3</v>
      </c>
      <c r="I133" s="405">
        <v>-3.1900000000000001E-3</v>
      </c>
      <c r="J133" s="406">
        <v>-3.1900000000000001E-3</v>
      </c>
      <c r="K133" s="416" t="s">
        <v>247</v>
      </c>
    </row>
    <row r="134" spans="1:11" ht="14.4" customHeight="1" thickBot="1" x14ac:dyDescent="0.35">
      <c r="A134" s="426" t="s">
        <v>373</v>
      </c>
      <c r="B134" s="410">
        <v>21.003577883384999</v>
      </c>
      <c r="C134" s="410">
        <v>107.14542</v>
      </c>
      <c r="D134" s="411">
        <v>86.141842116614001</v>
      </c>
      <c r="E134" s="417">
        <v>5.1012937221870001</v>
      </c>
      <c r="F134" s="410">
        <v>90.504079798424002</v>
      </c>
      <c r="G134" s="411">
        <v>45.252039899212001</v>
      </c>
      <c r="H134" s="413">
        <v>4.4960000000000004</v>
      </c>
      <c r="I134" s="410">
        <v>53.094119999999997</v>
      </c>
      <c r="J134" s="411">
        <v>7.8420801007870002</v>
      </c>
      <c r="K134" s="418">
        <v>0.58664891260399998</v>
      </c>
    </row>
    <row r="135" spans="1:11" ht="14.4" customHeight="1" thickBot="1" x14ac:dyDescent="0.35">
      <c r="A135" s="427" t="s">
        <v>374</v>
      </c>
      <c r="B135" s="405">
        <v>0</v>
      </c>
      <c r="C135" s="405">
        <v>2.3E-2</v>
      </c>
      <c r="D135" s="406">
        <v>2.3E-2</v>
      </c>
      <c r="E135" s="415" t="s">
        <v>247</v>
      </c>
      <c r="F135" s="405">
        <v>2.2848444865000001E-2</v>
      </c>
      <c r="G135" s="406">
        <v>1.1424222432E-2</v>
      </c>
      <c r="H135" s="408">
        <v>0</v>
      </c>
      <c r="I135" s="405">
        <v>0</v>
      </c>
      <c r="J135" s="406">
        <v>-1.1424222432E-2</v>
      </c>
      <c r="K135" s="409">
        <v>0</v>
      </c>
    </row>
    <row r="136" spans="1:11" ht="14.4" customHeight="1" thickBot="1" x14ac:dyDescent="0.35">
      <c r="A136" s="427" t="s">
        <v>375</v>
      </c>
      <c r="B136" s="405">
        <v>21</v>
      </c>
      <c r="C136" s="405">
        <v>59.77</v>
      </c>
      <c r="D136" s="406">
        <v>38.770000000000003</v>
      </c>
      <c r="E136" s="407">
        <v>2.8461904761899999</v>
      </c>
      <c r="F136" s="405">
        <v>60.390770925901002</v>
      </c>
      <c r="G136" s="406">
        <v>30.19538546295</v>
      </c>
      <c r="H136" s="408">
        <v>0</v>
      </c>
      <c r="I136" s="405">
        <v>31.6</v>
      </c>
      <c r="J136" s="406">
        <v>1.404614537049</v>
      </c>
      <c r="K136" s="409">
        <v>0.52325876148799999</v>
      </c>
    </row>
    <row r="137" spans="1:11" ht="14.4" customHeight="1" thickBot="1" x14ac:dyDescent="0.35">
      <c r="A137" s="427" t="s">
        <v>376</v>
      </c>
      <c r="B137" s="405">
        <v>3.5778833850000002E-3</v>
      </c>
      <c r="C137" s="405">
        <v>0</v>
      </c>
      <c r="D137" s="406">
        <v>-3.5778833850000002E-3</v>
      </c>
      <c r="E137" s="407">
        <v>0</v>
      </c>
      <c r="F137" s="405">
        <v>0</v>
      </c>
      <c r="G137" s="406">
        <v>0</v>
      </c>
      <c r="H137" s="408">
        <v>0</v>
      </c>
      <c r="I137" s="405">
        <v>0</v>
      </c>
      <c r="J137" s="406">
        <v>0</v>
      </c>
      <c r="K137" s="409">
        <v>0</v>
      </c>
    </row>
    <row r="138" spans="1:11" ht="14.4" customHeight="1" thickBot="1" x14ac:dyDescent="0.35">
      <c r="A138" s="427" t="s">
        <v>377</v>
      </c>
      <c r="B138" s="405">
        <v>0</v>
      </c>
      <c r="C138" s="405">
        <v>3.9636</v>
      </c>
      <c r="D138" s="406">
        <v>3.9636</v>
      </c>
      <c r="E138" s="415" t="s">
        <v>265</v>
      </c>
      <c r="F138" s="405">
        <v>6.3686558441359997</v>
      </c>
      <c r="G138" s="406">
        <v>3.1843279220679999</v>
      </c>
      <c r="H138" s="408">
        <v>0</v>
      </c>
      <c r="I138" s="405">
        <v>0.46920000000000001</v>
      </c>
      <c r="J138" s="406">
        <v>-2.715127922068</v>
      </c>
      <c r="K138" s="409">
        <v>7.3673316862999993E-2</v>
      </c>
    </row>
    <row r="139" spans="1:11" ht="14.4" customHeight="1" thickBot="1" x14ac:dyDescent="0.35">
      <c r="A139" s="427" t="s">
        <v>378</v>
      </c>
      <c r="B139" s="405">
        <v>0</v>
      </c>
      <c r="C139" s="405">
        <v>43.388820000000003</v>
      </c>
      <c r="D139" s="406">
        <v>43.388820000000003</v>
      </c>
      <c r="E139" s="415" t="s">
        <v>265</v>
      </c>
      <c r="F139" s="405">
        <v>23.721804583522001</v>
      </c>
      <c r="G139" s="406">
        <v>11.860902291761001</v>
      </c>
      <c r="H139" s="408">
        <v>4.4960000000000004</v>
      </c>
      <c r="I139" s="405">
        <v>21.024920000000002</v>
      </c>
      <c r="J139" s="406">
        <v>9.1640177082389993</v>
      </c>
      <c r="K139" s="409">
        <v>0.88631199729999999</v>
      </c>
    </row>
    <row r="140" spans="1:11" ht="14.4" customHeight="1" thickBot="1" x14ac:dyDescent="0.35">
      <c r="A140" s="426" t="s">
        <v>379</v>
      </c>
      <c r="B140" s="410">
        <v>0</v>
      </c>
      <c r="C140" s="410">
        <v>0.48314000000000001</v>
      </c>
      <c r="D140" s="411">
        <v>0.48314000000000001</v>
      </c>
      <c r="E140" s="412" t="s">
        <v>265</v>
      </c>
      <c r="F140" s="410">
        <v>0</v>
      </c>
      <c r="G140" s="411">
        <v>0</v>
      </c>
      <c r="H140" s="413">
        <v>0</v>
      </c>
      <c r="I140" s="410">
        <v>0</v>
      </c>
      <c r="J140" s="411">
        <v>0</v>
      </c>
      <c r="K140" s="414" t="s">
        <v>247</v>
      </c>
    </row>
    <row r="141" spans="1:11" ht="14.4" customHeight="1" thickBot="1" x14ac:dyDescent="0.35">
      <c r="A141" s="427" t="s">
        <v>380</v>
      </c>
      <c r="B141" s="405">
        <v>0</v>
      </c>
      <c r="C141" s="405">
        <v>0.48314000000000001</v>
      </c>
      <c r="D141" s="406">
        <v>0.48314000000000001</v>
      </c>
      <c r="E141" s="415" t="s">
        <v>265</v>
      </c>
      <c r="F141" s="405">
        <v>0</v>
      </c>
      <c r="G141" s="406">
        <v>0</v>
      </c>
      <c r="H141" s="408">
        <v>0</v>
      </c>
      <c r="I141" s="405">
        <v>0</v>
      </c>
      <c r="J141" s="406">
        <v>0</v>
      </c>
      <c r="K141" s="416" t="s">
        <v>247</v>
      </c>
    </row>
    <row r="142" spans="1:11" ht="14.4" customHeight="1" thickBot="1" x14ac:dyDescent="0.35">
      <c r="A142" s="423" t="s">
        <v>381</v>
      </c>
      <c r="B142" s="405">
        <v>1298.4410050310601</v>
      </c>
      <c r="C142" s="405">
        <v>1287.49343</v>
      </c>
      <c r="D142" s="406">
        <v>-10.94757503106</v>
      </c>
      <c r="E142" s="407">
        <v>0.99156867736800003</v>
      </c>
      <c r="F142" s="405">
        <v>1408.3825807082101</v>
      </c>
      <c r="G142" s="406">
        <v>704.19129035410299</v>
      </c>
      <c r="H142" s="408">
        <v>155.28951000000001</v>
      </c>
      <c r="I142" s="405">
        <v>667.55411000000004</v>
      </c>
      <c r="J142" s="406">
        <v>-36.637180354102</v>
      </c>
      <c r="K142" s="409">
        <v>0.47398634372699999</v>
      </c>
    </row>
    <row r="143" spans="1:11" ht="14.4" customHeight="1" thickBot="1" x14ac:dyDescent="0.35">
      <c r="A143" s="428" t="s">
        <v>382</v>
      </c>
      <c r="B143" s="410">
        <v>1298.4410050310601</v>
      </c>
      <c r="C143" s="410">
        <v>1287.49343</v>
      </c>
      <c r="D143" s="411">
        <v>-10.94757503106</v>
      </c>
      <c r="E143" s="417">
        <v>0.99156867736800003</v>
      </c>
      <c r="F143" s="410">
        <v>1408.3825807082101</v>
      </c>
      <c r="G143" s="411">
        <v>704.19129035410299</v>
      </c>
      <c r="H143" s="413">
        <v>155.28951000000001</v>
      </c>
      <c r="I143" s="410">
        <v>667.55411000000004</v>
      </c>
      <c r="J143" s="411">
        <v>-36.637180354102</v>
      </c>
      <c r="K143" s="418">
        <v>0.47398634372699999</v>
      </c>
    </row>
    <row r="144" spans="1:11" ht="14.4" customHeight="1" thickBot="1" x14ac:dyDescent="0.35">
      <c r="A144" s="430" t="s">
        <v>54</v>
      </c>
      <c r="B144" s="410">
        <v>1298.4410050310601</v>
      </c>
      <c r="C144" s="410">
        <v>1287.49343</v>
      </c>
      <c r="D144" s="411">
        <v>-10.94757503106</v>
      </c>
      <c r="E144" s="417">
        <v>0.99156867736800003</v>
      </c>
      <c r="F144" s="410">
        <v>1408.3825807082101</v>
      </c>
      <c r="G144" s="411">
        <v>704.19129035410299</v>
      </c>
      <c r="H144" s="413">
        <v>155.28951000000001</v>
      </c>
      <c r="I144" s="410">
        <v>667.55411000000004</v>
      </c>
      <c r="J144" s="411">
        <v>-36.637180354102</v>
      </c>
      <c r="K144" s="418">
        <v>0.47398634372699999</v>
      </c>
    </row>
    <row r="145" spans="1:11" ht="14.4" customHeight="1" thickBot="1" x14ac:dyDescent="0.35">
      <c r="A145" s="426" t="s">
        <v>383</v>
      </c>
      <c r="B145" s="410">
        <v>27.862756224478002</v>
      </c>
      <c r="C145" s="410">
        <v>32.6</v>
      </c>
      <c r="D145" s="411">
        <v>4.7372437755219998</v>
      </c>
      <c r="E145" s="417">
        <v>1.1700206446679999</v>
      </c>
      <c r="F145" s="410">
        <v>35.239978730164999</v>
      </c>
      <c r="G145" s="411">
        <v>17.619989365083001</v>
      </c>
      <c r="H145" s="413">
        <v>2.6909999999999998</v>
      </c>
      <c r="I145" s="410">
        <v>16.271000000000001</v>
      </c>
      <c r="J145" s="411">
        <v>-1.348989365082</v>
      </c>
      <c r="K145" s="418">
        <v>0.46171991545699997</v>
      </c>
    </row>
    <row r="146" spans="1:11" ht="14.4" customHeight="1" thickBot="1" x14ac:dyDescent="0.35">
      <c r="A146" s="427" t="s">
        <v>384</v>
      </c>
      <c r="B146" s="405">
        <v>27.862756224478002</v>
      </c>
      <c r="C146" s="405">
        <v>32.6</v>
      </c>
      <c r="D146" s="406">
        <v>4.7372437755219998</v>
      </c>
      <c r="E146" s="407">
        <v>1.1700206446679999</v>
      </c>
      <c r="F146" s="405">
        <v>35.239978730164999</v>
      </c>
      <c r="G146" s="406">
        <v>17.619989365083001</v>
      </c>
      <c r="H146" s="408">
        <v>2.6909999999999998</v>
      </c>
      <c r="I146" s="405">
        <v>16.271000000000001</v>
      </c>
      <c r="J146" s="406">
        <v>-1.348989365082</v>
      </c>
      <c r="K146" s="409">
        <v>0.46171991545699997</v>
      </c>
    </row>
    <row r="147" spans="1:11" ht="14.4" customHeight="1" thickBot="1" x14ac:dyDescent="0.35">
      <c r="A147" s="426" t="s">
        <v>385</v>
      </c>
      <c r="B147" s="410">
        <v>9.2508408133090008</v>
      </c>
      <c r="C147" s="410">
        <v>12.31302</v>
      </c>
      <c r="D147" s="411">
        <v>3.0621791866899999</v>
      </c>
      <c r="E147" s="417">
        <v>1.3310163095959999</v>
      </c>
      <c r="F147" s="410">
        <v>11.721061611905</v>
      </c>
      <c r="G147" s="411">
        <v>5.860530805952</v>
      </c>
      <c r="H147" s="413">
        <v>1.0289999999999999</v>
      </c>
      <c r="I147" s="410">
        <v>5.5149999999999997</v>
      </c>
      <c r="J147" s="411">
        <v>-0.34553080595199998</v>
      </c>
      <c r="K147" s="418">
        <v>0.47052051960800001</v>
      </c>
    </row>
    <row r="148" spans="1:11" ht="14.4" customHeight="1" thickBot="1" x14ac:dyDescent="0.35">
      <c r="A148" s="427" t="s">
        <v>386</v>
      </c>
      <c r="B148" s="405">
        <v>1.2942322681209999</v>
      </c>
      <c r="C148" s="405">
        <v>2.2200000000000002</v>
      </c>
      <c r="D148" s="406">
        <v>0.92576773187799999</v>
      </c>
      <c r="E148" s="407">
        <v>1.715302619692</v>
      </c>
      <c r="F148" s="405">
        <v>0.95173613292699999</v>
      </c>
      <c r="G148" s="406">
        <v>0.47586806646300001</v>
      </c>
      <c r="H148" s="408">
        <v>0</v>
      </c>
      <c r="I148" s="405">
        <v>0.37</v>
      </c>
      <c r="J148" s="406">
        <v>-0.105868066463</v>
      </c>
      <c r="K148" s="409">
        <v>0.38876321618800003</v>
      </c>
    </row>
    <row r="149" spans="1:11" ht="14.4" customHeight="1" thickBot="1" x14ac:dyDescent="0.35">
      <c r="A149" s="427" t="s">
        <v>387</v>
      </c>
      <c r="B149" s="405">
        <v>7.9566085451879998</v>
      </c>
      <c r="C149" s="405">
        <v>10.093019999999999</v>
      </c>
      <c r="D149" s="406">
        <v>2.1364114548109998</v>
      </c>
      <c r="E149" s="407">
        <v>1.268507799859</v>
      </c>
      <c r="F149" s="405">
        <v>10.769325478977001</v>
      </c>
      <c r="G149" s="406">
        <v>5.3846627394880002</v>
      </c>
      <c r="H149" s="408">
        <v>1.0289999999999999</v>
      </c>
      <c r="I149" s="405">
        <v>5.1449999999999996</v>
      </c>
      <c r="J149" s="406">
        <v>-0.23966273948799999</v>
      </c>
      <c r="K149" s="409">
        <v>0.47774579847499998</v>
      </c>
    </row>
    <row r="150" spans="1:11" ht="14.4" customHeight="1" thickBot="1" x14ac:dyDescent="0.35">
      <c r="A150" s="426" t="s">
        <v>388</v>
      </c>
      <c r="B150" s="410">
        <v>29.393090988152</v>
      </c>
      <c r="C150" s="410">
        <v>31.767479999999999</v>
      </c>
      <c r="D150" s="411">
        <v>2.3743890118470001</v>
      </c>
      <c r="E150" s="417">
        <v>1.0807805144680001</v>
      </c>
      <c r="F150" s="410">
        <v>28.055568512634</v>
      </c>
      <c r="G150" s="411">
        <v>14.027784256317</v>
      </c>
      <c r="H150" s="413">
        <v>3.5897100000000002</v>
      </c>
      <c r="I150" s="410">
        <v>15.97409</v>
      </c>
      <c r="J150" s="411">
        <v>1.9463057436819999</v>
      </c>
      <c r="K150" s="418">
        <v>0.56937324199299999</v>
      </c>
    </row>
    <row r="151" spans="1:11" ht="14.4" customHeight="1" thickBot="1" x14ac:dyDescent="0.35">
      <c r="A151" s="427" t="s">
        <v>389</v>
      </c>
      <c r="B151" s="405">
        <v>29.393090988152</v>
      </c>
      <c r="C151" s="405">
        <v>31.767479999999999</v>
      </c>
      <c r="D151" s="406">
        <v>2.3743890118470001</v>
      </c>
      <c r="E151" s="407">
        <v>1.0807805144680001</v>
      </c>
      <c r="F151" s="405">
        <v>28.055568512634</v>
      </c>
      <c r="G151" s="406">
        <v>14.027784256317</v>
      </c>
      <c r="H151" s="408">
        <v>3.5897100000000002</v>
      </c>
      <c r="I151" s="405">
        <v>15.97409</v>
      </c>
      <c r="J151" s="406">
        <v>1.9463057436819999</v>
      </c>
      <c r="K151" s="409">
        <v>0.56937324199299999</v>
      </c>
    </row>
    <row r="152" spans="1:11" ht="14.4" customHeight="1" thickBot="1" x14ac:dyDescent="0.35">
      <c r="A152" s="426" t="s">
        <v>390</v>
      </c>
      <c r="B152" s="410">
        <v>0</v>
      </c>
      <c r="C152" s="410">
        <v>1.651</v>
      </c>
      <c r="D152" s="411">
        <v>1.651</v>
      </c>
      <c r="E152" s="412" t="s">
        <v>247</v>
      </c>
      <c r="F152" s="410">
        <v>0</v>
      </c>
      <c r="G152" s="411">
        <v>0</v>
      </c>
      <c r="H152" s="413">
        <v>4.3999999999999997E-2</v>
      </c>
      <c r="I152" s="410">
        <v>0.24</v>
      </c>
      <c r="J152" s="411">
        <v>0.24</v>
      </c>
      <c r="K152" s="414" t="s">
        <v>265</v>
      </c>
    </row>
    <row r="153" spans="1:11" ht="14.4" customHeight="1" thickBot="1" x14ac:dyDescent="0.35">
      <c r="A153" s="427" t="s">
        <v>391</v>
      </c>
      <c r="B153" s="405">
        <v>0</v>
      </c>
      <c r="C153" s="405">
        <v>1.651</v>
      </c>
      <c r="D153" s="406">
        <v>1.651</v>
      </c>
      <c r="E153" s="415" t="s">
        <v>247</v>
      </c>
      <c r="F153" s="405">
        <v>0</v>
      </c>
      <c r="G153" s="406">
        <v>0</v>
      </c>
      <c r="H153" s="408">
        <v>4.3999999999999997E-2</v>
      </c>
      <c r="I153" s="405">
        <v>0.24</v>
      </c>
      <c r="J153" s="406">
        <v>0.24</v>
      </c>
      <c r="K153" s="416" t="s">
        <v>265</v>
      </c>
    </row>
    <row r="154" spans="1:11" ht="14.4" customHeight="1" thickBot="1" x14ac:dyDescent="0.35">
      <c r="A154" s="426" t="s">
        <v>392</v>
      </c>
      <c r="B154" s="410">
        <v>439</v>
      </c>
      <c r="C154" s="410">
        <v>400.04282999999998</v>
      </c>
      <c r="D154" s="411">
        <v>-38.957169999999003</v>
      </c>
      <c r="E154" s="417">
        <v>0.91125929384899995</v>
      </c>
      <c r="F154" s="410">
        <v>512.28718251138901</v>
      </c>
      <c r="G154" s="411">
        <v>256.14359125569399</v>
      </c>
      <c r="H154" s="413">
        <v>77.896109999999993</v>
      </c>
      <c r="I154" s="410">
        <v>235.49037999999999</v>
      </c>
      <c r="J154" s="411">
        <v>-20.653211255694</v>
      </c>
      <c r="K154" s="418">
        <v>0.45968430997100002</v>
      </c>
    </row>
    <row r="155" spans="1:11" ht="14.4" customHeight="1" thickBot="1" x14ac:dyDescent="0.35">
      <c r="A155" s="427" t="s">
        <v>393</v>
      </c>
      <c r="B155" s="405">
        <v>439</v>
      </c>
      <c r="C155" s="405">
        <v>400.04282999999998</v>
      </c>
      <c r="D155" s="406">
        <v>-38.957169999999003</v>
      </c>
      <c r="E155" s="407">
        <v>0.91125929384899995</v>
      </c>
      <c r="F155" s="405">
        <v>512.28718251138901</v>
      </c>
      <c r="G155" s="406">
        <v>256.14359125569399</v>
      </c>
      <c r="H155" s="408">
        <v>77.896109999999993</v>
      </c>
      <c r="I155" s="405">
        <v>235.49037999999999</v>
      </c>
      <c r="J155" s="406">
        <v>-20.653211255694</v>
      </c>
      <c r="K155" s="409">
        <v>0.45968430997100002</v>
      </c>
    </row>
    <row r="156" spans="1:11" ht="14.4" customHeight="1" thickBot="1" x14ac:dyDescent="0.35">
      <c r="A156" s="426" t="s">
        <v>394</v>
      </c>
      <c r="B156" s="410">
        <v>0</v>
      </c>
      <c r="C156" s="410">
        <v>1.8773299999999999</v>
      </c>
      <c r="D156" s="411">
        <v>1.8773299999999999</v>
      </c>
      <c r="E156" s="412" t="s">
        <v>247</v>
      </c>
      <c r="F156" s="410">
        <v>0</v>
      </c>
      <c r="G156" s="411">
        <v>0</v>
      </c>
      <c r="H156" s="413">
        <v>0</v>
      </c>
      <c r="I156" s="410">
        <v>0</v>
      </c>
      <c r="J156" s="411">
        <v>0</v>
      </c>
      <c r="K156" s="418">
        <v>0</v>
      </c>
    </row>
    <row r="157" spans="1:11" ht="14.4" customHeight="1" thickBot="1" x14ac:dyDescent="0.35">
      <c r="A157" s="427" t="s">
        <v>395</v>
      </c>
      <c r="B157" s="405">
        <v>0</v>
      </c>
      <c r="C157" s="405">
        <v>1.8773299999999999</v>
      </c>
      <c r="D157" s="406">
        <v>1.8773299999999999</v>
      </c>
      <c r="E157" s="415" t="s">
        <v>247</v>
      </c>
      <c r="F157" s="405">
        <v>0</v>
      </c>
      <c r="G157" s="406">
        <v>0</v>
      </c>
      <c r="H157" s="408">
        <v>0</v>
      </c>
      <c r="I157" s="405">
        <v>0</v>
      </c>
      <c r="J157" s="406">
        <v>0</v>
      </c>
      <c r="K157" s="409">
        <v>0</v>
      </c>
    </row>
    <row r="158" spans="1:11" ht="14.4" customHeight="1" thickBot="1" x14ac:dyDescent="0.35">
      <c r="A158" s="426" t="s">
        <v>396</v>
      </c>
      <c r="B158" s="410">
        <v>792.93431700512201</v>
      </c>
      <c r="C158" s="410">
        <v>807.241770000001</v>
      </c>
      <c r="D158" s="411">
        <v>14.307452994879</v>
      </c>
      <c r="E158" s="417">
        <v>1.018043679896</v>
      </c>
      <c r="F158" s="410">
        <v>821.07878934211101</v>
      </c>
      <c r="G158" s="411">
        <v>410.53939467105602</v>
      </c>
      <c r="H158" s="413">
        <v>70.039689999999993</v>
      </c>
      <c r="I158" s="410">
        <v>394.06364000000002</v>
      </c>
      <c r="J158" s="411">
        <v>-16.475754671055</v>
      </c>
      <c r="K158" s="418">
        <v>0.47993401499900001</v>
      </c>
    </row>
    <row r="159" spans="1:11" ht="14.4" customHeight="1" thickBot="1" x14ac:dyDescent="0.35">
      <c r="A159" s="427" t="s">
        <v>397</v>
      </c>
      <c r="B159" s="405">
        <v>792.93431700512201</v>
      </c>
      <c r="C159" s="405">
        <v>807.241770000001</v>
      </c>
      <c r="D159" s="406">
        <v>14.307452994879</v>
      </c>
      <c r="E159" s="407">
        <v>1.018043679896</v>
      </c>
      <c r="F159" s="405">
        <v>821.07878934211101</v>
      </c>
      <c r="G159" s="406">
        <v>410.53939467105602</v>
      </c>
      <c r="H159" s="408">
        <v>70.039689999999993</v>
      </c>
      <c r="I159" s="405">
        <v>394.06364000000002</v>
      </c>
      <c r="J159" s="406">
        <v>-16.475754671055</v>
      </c>
      <c r="K159" s="409">
        <v>0.47993401499900001</v>
      </c>
    </row>
    <row r="160" spans="1:11" ht="14.4" customHeight="1" thickBot="1" x14ac:dyDescent="0.35">
      <c r="A160" s="431" t="s">
        <v>398</v>
      </c>
      <c r="B160" s="410">
        <v>0</v>
      </c>
      <c r="C160" s="410">
        <v>1.94021</v>
      </c>
      <c r="D160" s="411">
        <v>1.94021</v>
      </c>
      <c r="E160" s="412" t="s">
        <v>247</v>
      </c>
      <c r="F160" s="410">
        <v>0</v>
      </c>
      <c r="G160" s="411">
        <v>0</v>
      </c>
      <c r="H160" s="413">
        <v>0</v>
      </c>
      <c r="I160" s="410">
        <v>0.13803000000000001</v>
      </c>
      <c r="J160" s="411">
        <v>0.13803000000000001</v>
      </c>
      <c r="K160" s="414" t="s">
        <v>265</v>
      </c>
    </row>
    <row r="161" spans="1:11" ht="14.4" customHeight="1" thickBot="1" x14ac:dyDescent="0.35">
      <c r="A161" s="428" t="s">
        <v>399</v>
      </c>
      <c r="B161" s="410">
        <v>0</v>
      </c>
      <c r="C161" s="410">
        <v>1.94021</v>
      </c>
      <c r="D161" s="411">
        <v>1.94021</v>
      </c>
      <c r="E161" s="412" t="s">
        <v>247</v>
      </c>
      <c r="F161" s="410">
        <v>0</v>
      </c>
      <c r="G161" s="411">
        <v>0</v>
      </c>
      <c r="H161" s="413">
        <v>0</v>
      </c>
      <c r="I161" s="410">
        <v>0.13803000000000001</v>
      </c>
      <c r="J161" s="411">
        <v>0.13803000000000001</v>
      </c>
      <c r="K161" s="414" t="s">
        <v>265</v>
      </c>
    </row>
    <row r="162" spans="1:11" ht="14.4" customHeight="1" thickBot="1" x14ac:dyDescent="0.35">
      <c r="A162" s="430" t="s">
        <v>400</v>
      </c>
      <c r="B162" s="410">
        <v>0</v>
      </c>
      <c r="C162" s="410">
        <v>1.94021</v>
      </c>
      <c r="D162" s="411">
        <v>1.94021</v>
      </c>
      <c r="E162" s="412" t="s">
        <v>247</v>
      </c>
      <c r="F162" s="410">
        <v>0</v>
      </c>
      <c r="G162" s="411">
        <v>0</v>
      </c>
      <c r="H162" s="413">
        <v>0</v>
      </c>
      <c r="I162" s="410">
        <v>0.13803000000000001</v>
      </c>
      <c r="J162" s="411">
        <v>0.13803000000000001</v>
      </c>
      <c r="K162" s="414" t="s">
        <v>265</v>
      </c>
    </row>
    <row r="163" spans="1:11" ht="14.4" customHeight="1" thickBot="1" x14ac:dyDescent="0.35">
      <c r="A163" s="426" t="s">
        <v>401</v>
      </c>
      <c r="B163" s="410">
        <v>0</v>
      </c>
      <c r="C163" s="410">
        <v>1.94021</v>
      </c>
      <c r="D163" s="411">
        <v>1.94021</v>
      </c>
      <c r="E163" s="412" t="s">
        <v>247</v>
      </c>
      <c r="F163" s="410">
        <v>0</v>
      </c>
      <c r="G163" s="411">
        <v>0</v>
      </c>
      <c r="H163" s="413">
        <v>0</v>
      </c>
      <c r="I163" s="410">
        <v>0.13803000000000001</v>
      </c>
      <c r="J163" s="411">
        <v>0.13803000000000001</v>
      </c>
      <c r="K163" s="414" t="s">
        <v>265</v>
      </c>
    </row>
    <row r="164" spans="1:11" ht="14.4" customHeight="1" thickBot="1" x14ac:dyDescent="0.35">
      <c r="A164" s="427" t="s">
        <v>402</v>
      </c>
      <c r="B164" s="405">
        <v>0</v>
      </c>
      <c r="C164" s="405">
        <v>1.8773299999999999</v>
      </c>
      <c r="D164" s="406">
        <v>1.8773299999999999</v>
      </c>
      <c r="E164" s="415" t="s">
        <v>247</v>
      </c>
      <c r="F164" s="405">
        <v>0</v>
      </c>
      <c r="G164" s="406">
        <v>0</v>
      </c>
      <c r="H164" s="408">
        <v>0</v>
      </c>
      <c r="I164" s="405">
        <v>0</v>
      </c>
      <c r="J164" s="406">
        <v>0</v>
      </c>
      <c r="K164" s="409">
        <v>0</v>
      </c>
    </row>
    <row r="165" spans="1:11" ht="14.4" customHeight="1" thickBot="1" x14ac:dyDescent="0.35">
      <c r="A165" s="427" t="s">
        <v>403</v>
      </c>
      <c r="B165" s="405">
        <v>0</v>
      </c>
      <c r="C165" s="405">
        <v>6.2880000000000005E-2</v>
      </c>
      <c r="D165" s="406">
        <v>6.2880000000000005E-2</v>
      </c>
      <c r="E165" s="415" t="s">
        <v>247</v>
      </c>
      <c r="F165" s="405">
        <v>0</v>
      </c>
      <c r="G165" s="406">
        <v>0</v>
      </c>
      <c r="H165" s="408">
        <v>0</v>
      </c>
      <c r="I165" s="405">
        <v>0.13803000000000001</v>
      </c>
      <c r="J165" s="406">
        <v>0.13803000000000001</v>
      </c>
      <c r="K165" s="416" t="s">
        <v>265</v>
      </c>
    </row>
    <row r="166" spans="1:11" ht="14.4" customHeight="1" thickBot="1" x14ac:dyDescent="0.35">
      <c r="A166" s="432"/>
      <c r="B166" s="405">
        <v>-5230.7988461023697</v>
      </c>
      <c r="C166" s="405">
        <v>-4822.4242100000001</v>
      </c>
      <c r="D166" s="406">
        <v>408.37463610237</v>
      </c>
      <c r="E166" s="407">
        <v>0.92192882041199997</v>
      </c>
      <c r="F166" s="405">
        <v>-4524.5359784380498</v>
      </c>
      <c r="G166" s="406">
        <v>-2262.2679892190299</v>
      </c>
      <c r="H166" s="408">
        <v>-265.91744</v>
      </c>
      <c r="I166" s="405">
        <v>-2081.74586</v>
      </c>
      <c r="J166" s="406">
        <v>180.52212921902699</v>
      </c>
      <c r="K166" s="409">
        <v>0.46010151536400001</v>
      </c>
    </row>
    <row r="167" spans="1:11" ht="14.4" customHeight="1" thickBot="1" x14ac:dyDescent="0.35">
      <c r="A167" s="433" t="s">
        <v>66</v>
      </c>
      <c r="B167" s="419">
        <v>-5230.7988461023697</v>
      </c>
      <c r="C167" s="419">
        <v>-4822.4242100000001</v>
      </c>
      <c r="D167" s="420">
        <v>408.37463610237</v>
      </c>
      <c r="E167" s="421" t="s">
        <v>247</v>
      </c>
      <c r="F167" s="419">
        <v>-4524.5359784380498</v>
      </c>
      <c r="G167" s="420">
        <v>-2262.2679892190299</v>
      </c>
      <c r="H167" s="419">
        <v>-265.91744</v>
      </c>
      <c r="I167" s="419">
        <v>-2081.74586</v>
      </c>
      <c r="J167" s="420">
        <v>180.52212921902699</v>
      </c>
      <c r="K167" s="422">
        <v>0.46010151536400001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41" t="s">
        <v>137</v>
      </c>
      <c r="B1" s="342"/>
      <c r="C1" s="342"/>
      <c r="D1" s="342"/>
      <c r="E1" s="342"/>
      <c r="F1" s="342"/>
      <c r="G1" s="313"/>
      <c r="H1" s="343"/>
      <c r="I1" s="343"/>
    </row>
    <row r="2" spans="1:10" ht="14.4" customHeight="1" thickBot="1" x14ac:dyDescent="0.35">
      <c r="A2" s="234" t="s">
        <v>246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80">
        <v>2014</v>
      </c>
      <c r="D3" s="281">
        <v>2015</v>
      </c>
      <c r="E3" s="7"/>
      <c r="F3" s="336">
        <v>2016</v>
      </c>
      <c r="G3" s="337"/>
      <c r="H3" s="337"/>
      <c r="I3" s="338"/>
    </row>
    <row r="4" spans="1:10" ht="14.4" customHeight="1" thickBot="1" x14ac:dyDescent="0.35">
      <c r="A4" s="285" t="s">
        <v>0</v>
      </c>
      <c r="B4" s="286" t="s">
        <v>201</v>
      </c>
      <c r="C4" s="339" t="s">
        <v>73</v>
      </c>
      <c r="D4" s="340"/>
      <c r="E4" s="287"/>
      <c r="F4" s="282" t="s">
        <v>73</v>
      </c>
      <c r="G4" s="283" t="s">
        <v>74</v>
      </c>
      <c r="H4" s="283" t="s">
        <v>68</v>
      </c>
      <c r="I4" s="284" t="s">
        <v>75</v>
      </c>
    </row>
    <row r="5" spans="1:10" ht="14.4" customHeight="1" x14ac:dyDescent="0.3">
      <c r="A5" s="434" t="s">
        <v>404</v>
      </c>
      <c r="B5" s="435" t="s">
        <v>405</v>
      </c>
      <c r="C5" s="436" t="s">
        <v>406</v>
      </c>
      <c r="D5" s="436" t="s">
        <v>406</v>
      </c>
      <c r="E5" s="436"/>
      <c r="F5" s="436" t="s">
        <v>406</v>
      </c>
      <c r="G5" s="436" t="s">
        <v>406</v>
      </c>
      <c r="H5" s="436" t="s">
        <v>406</v>
      </c>
      <c r="I5" s="437" t="s">
        <v>406</v>
      </c>
      <c r="J5" s="438" t="s">
        <v>69</v>
      </c>
    </row>
    <row r="6" spans="1:10" ht="14.4" customHeight="1" x14ac:dyDescent="0.3">
      <c r="A6" s="434" t="s">
        <v>404</v>
      </c>
      <c r="B6" s="435" t="s">
        <v>255</v>
      </c>
      <c r="C6" s="436">
        <v>295.27905999999996</v>
      </c>
      <c r="D6" s="436">
        <v>247.66003000000001</v>
      </c>
      <c r="E6" s="436"/>
      <c r="F6" s="436">
        <v>298.49718000000001</v>
      </c>
      <c r="G6" s="436">
        <v>346.01953714096101</v>
      </c>
      <c r="H6" s="436">
        <v>-47.522357140960992</v>
      </c>
      <c r="I6" s="437">
        <v>0.86265990199969145</v>
      </c>
      <c r="J6" s="438" t="s">
        <v>1</v>
      </c>
    </row>
    <row r="7" spans="1:10" ht="14.4" customHeight="1" x14ac:dyDescent="0.3">
      <c r="A7" s="434" t="s">
        <v>404</v>
      </c>
      <c r="B7" s="435" t="s">
        <v>407</v>
      </c>
      <c r="C7" s="436">
        <v>0</v>
      </c>
      <c r="D7" s="436" t="s">
        <v>406</v>
      </c>
      <c r="E7" s="436"/>
      <c r="F7" s="436" t="s">
        <v>406</v>
      </c>
      <c r="G7" s="436" t="s">
        <v>406</v>
      </c>
      <c r="H7" s="436" t="s">
        <v>406</v>
      </c>
      <c r="I7" s="437" t="s">
        <v>406</v>
      </c>
      <c r="J7" s="438" t="s">
        <v>1</v>
      </c>
    </row>
    <row r="8" spans="1:10" ht="14.4" customHeight="1" x14ac:dyDescent="0.3">
      <c r="A8" s="434" t="s">
        <v>404</v>
      </c>
      <c r="B8" s="435" t="s">
        <v>408</v>
      </c>
      <c r="C8" s="436">
        <v>295.27905999999996</v>
      </c>
      <c r="D8" s="436">
        <v>247.66003000000001</v>
      </c>
      <c r="E8" s="436"/>
      <c r="F8" s="436">
        <v>298.49718000000001</v>
      </c>
      <c r="G8" s="436">
        <v>346.01953714096101</v>
      </c>
      <c r="H8" s="436">
        <v>-47.522357140960992</v>
      </c>
      <c r="I8" s="437">
        <v>0.86265990199969145</v>
      </c>
      <c r="J8" s="438" t="s">
        <v>409</v>
      </c>
    </row>
    <row r="10" spans="1:10" ht="14.4" customHeight="1" x14ac:dyDescent="0.3">
      <c r="A10" s="434" t="s">
        <v>404</v>
      </c>
      <c r="B10" s="435" t="s">
        <v>405</v>
      </c>
      <c r="C10" s="436" t="s">
        <v>406</v>
      </c>
      <c r="D10" s="436" t="s">
        <v>406</v>
      </c>
      <c r="E10" s="436"/>
      <c r="F10" s="436" t="s">
        <v>406</v>
      </c>
      <c r="G10" s="436" t="s">
        <v>406</v>
      </c>
      <c r="H10" s="436" t="s">
        <v>406</v>
      </c>
      <c r="I10" s="437" t="s">
        <v>406</v>
      </c>
      <c r="J10" s="438" t="s">
        <v>69</v>
      </c>
    </row>
    <row r="11" spans="1:10" ht="14.4" customHeight="1" x14ac:dyDescent="0.3">
      <c r="A11" s="434" t="s">
        <v>410</v>
      </c>
      <c r="B11" s="435" t="s">
        <v>411</v>
      </c>
      <c r="C11" s="436" t="s">
        <v>406</v>
      </c>
      <c r="D11" s="436" t="s">
        <v>406</v>
      </c>
      <c r="E11" s="436"/>
      <c r="F11" s="436" t="s">
        <v>406</v>
      </c>
      <c r="G11" s="436" t="s">
        <v>406</v>
      </c>
      <c r="H11" s="436" t="s">
        <v>406</v>
      </c>
      <c r="I11" s="437" t="s">
        <v>406</v>
      </c>
      <c r="J11" s="438" t="s">
        <v>0</v>
      </c>
    </row>
    <row r="12" spans="1:10" ht="14.4" customHeight="1" x14ac:dyDescent="0.3">
      <c r="A12" s="434" t="s">
        <v>410</v>
      </c>
      <c r="B12" s="435" t="s">
        <v>255</v>
      </c>
      <c r="C12" s="436">
        <v>66.063220000000001</v>
      </c>
      <c r="D12" s="436">
        <v>60.265240000000006</v>
      </c>
      <c r="E12" s="436"/>
      <c r="F12" s="436">
        <v>85.181830000000005</v>
      </c>
      <c r="G12" s="436">
        <v>87.129751655752003</v>
      </c>
      <c r="H12" s="436">
        <v>-1.9479216557519976</v>
      </c>
      <c r="I12" s="437">
        <v>0.97764343844972501</v>
      </c>
      <c r="J12" s="438" t="s">
        <v>1</v>
      </c>
    </row>
    <row r="13" spans="1:10" ht="14.4" customHeight="1" x14ac:dyDescent="0.3">
      <c r="A13" s="434" t="s">
        <v>410</v>
      </c>
      <c r="B13" s="435" t="s">
        <v>407</v>
      </c>
      <c r="C13" s="436">
        <v>0</v>
      </c>
      <c r="D13" s="436" t="s">
        <v>406</v>
      </c>
      <c r="E13" s="436"/>
      <c r="F13" s="436" t="s">
        <v>406</v>
      </c>
      <c r="G13" s="436" t="s">
        <v>406</v>
      </c>
      <c r="H13" s="436" t="s">
        <v>406</v>
      </c>
      <c r="I13" s="437" t="s">
        <v>406</v>
      </c>
      <c r="J13" s="438" t="s">
        <v>1</v>
      </c>
    </row>
    <row r="14" spans="1:10" ht="14.4" customHeight="1" x14ac:dyDescent="0.3">
      <c r="A14" s="434" t="s">
        <v>410</v>
      </c>
      <c r="B14" s="435" t="s">
        <v>412</v>
      </c>
      <c r="C14" s="436">
        <v>66.063220000000001</v>
      </c>
      <c r="D14" s="436">
        <v>60.265240000000006</v>
      </c>
      <c r="E14" s="436"/>
      <c r="F14" s="436">
        <v>85.181830000000005</v>
      </c>
      <c r="G14" s="436">
        <v>87.129751655752003</v>
      </c>
      <c r="H14" s="436">
        <v>-1.9479216557519976</v>
      </c>
      <c r="I14" s="437">
        <v>0.97764343844972501</v>
      </c>
      <c r="J14" s="438" t="s">
        <v>413</v>
      </c>
    </row>
    <row r="15" spans="1:10" ht="14.4" customHeight="1" x14ac:dyDescent="0.3">
      <c r="A15" s="434" t="s">
        <v>406</v>
      </c>
      <c r="B15" s="435" t="s">
        <v>406</v>
      </c>
      <c r="C15" s="436" t="s">
        <v>406</v>
      </c>
      <c r="D15" s="436" t="s">
        <v>406</v>
      </c>
      <c r="E15" s="436"/>
      <c r="F15" s="436" t="s">
        <v>406</v>
      </c>
      <c r="G15" s="436" t="s">
        <v>406</v>
      </c>
      <c r="H15" s="436" t="s">
        <v>406</v>
      </c>
      <c r="I15" s="437" t="s">
        <v>406</v>
      </c>
      <c r="J15" s="438" t="s">
        <v>414</v>
      </c>
    </row>
    <row r="16" spans="1:10" ht="14.4" customHeight="1" x14ac:dyDescent="0.3">
      <c r="A16" s="434" t="s">
        <v>415</v>
      </c>
      <c r="B16" s="435" t="s">
        <v>416</v>
      </c>
      <c r="C16" s="436" t="s">
        <v>406</v>
      </c>
      <c r="D16" s="436" t="s">
        <v>406</v>
      </c>
      <c r="E16" s="436"/>
      <c r="F16" s="436" t="s">
        <v>406</v>
      </c>
      <c r="G16" s="436" t="s">
        <v>406</v>
      </c>
      <c r="H16" s="436" t="s">
        <v>406</v>
      </c>
      <c r="I16" s="437" t="s">
        <v>406</v>
      </c>
      <c r="J16" s="438" t="s">
        <v>0</v>
      </c>
    </row>
    <row r="17" spans="1:10" ht="14.4" customHeight="1" x14ac:dyDescent="0.3">
      <c r="A17" s="434" t="s">
        <v>415</v>
      </c>
      <c r="B17" s="435" t="s">
        <v>255</v>
      </c>
      <c r="C17" s="436">
        <v>229.21583999999999</v>
      </c>
      <c r="D17" s="436">
        <v>187.39479</v>
      </c>
      <c r="E17" s="436"/>
      <c r="F17" s="436">
        <v>213.31535</v>
      </c>
      <c r="G17" s="436">
        <v>258.88978548520902</v>
      </c>
      <c r="H17" s="436">
        <v>-45.574435485209023</v>
      </c>
      <c r="I17" s="437">
        <v>0.82396201766016453</v>
      </c>
      <c r="J17" s="438" t="s">
        <v>1</v>
      </c>
    </row>
    <row r="18" spans="1:10" ht="14.4" customHeight="1" x14ac:dyDescent="0.3">
      <c r="A18" s="434" t="s">
        <v>415</v>
      </c>
      <c r="B18" s="435" t="s">
        <v>417</v>
      </c>
      <c r="C18" s="436">
        <v>229.21583999999999</v>
      </c>
      <c r="D18" s="436">
        <v>187.39479</v>
      </c>
      <c r="E18" s="436"/>
      <c r="F18" s="436">
        <v>213.31535</v>
      </c>
      <c r="G18" s="436">
        <v>258.88978548520902</v>
      </c>
      <c r="H18" s="436">
        <v>-45.574435485209023</v>
      </c>
      <c r="I18" s="437">
        <v>0.82396201766016453</v>
      </c>
      <c r="J18" s="438" t="s">
        <v>413</v>
      </c>
    </row>
    <row r="19" spans="1:10" ht="14.4" customHeight="1" x14ac:dyDescent="0.3">
      <c r="A19" s="434" t="s">
        <v>406</v>
      </c>
      <c r="B19" s="435" t="s">
        <v>406</v>
      </c>
      <c r="C19" s="436" t="s">
        <v>406</v>
      </c>
      <c r="D19" s="436" t="s">
        <v>406</v>
      </c>
      <c r="E19" s="436"/>
      <c r="F19" s="436" t="s">
        <v>406</v>
      </c>
      <c r="G19" s="436" t="s">
        <v>406</v>
      </c>
      <c r="H19" s="436" t="s">
        <v>406</v>
      </c>
      <c r="I19" s="437" t="s">
        <v>406</v>
      </c>
      <c r="J19" s="438" t="s">
        <v>414</v>
      </c>
    </row>
    <row r="20" spans="1:10" ht="14.4" customHeight="1" x14ac:dyDescent="0.3">
      <c r="A20" s="434" t="s">
        <v>404</v>
      </c>
      <c r="B20" s="435" t="s">
        <v>408</v>
      </c>
      <c r="C20" s="436">
        <v>295.27905999999996</v>
      </c>
      <c r="D20" s="436">
        <v>247.66003000000001</v>
      </c>
      <c r="E20" s="436"/>
      <c r="F20" s="436">
        <v>298.49718000000001</v>
      </c>
      <c r="G20" s="436">
        <v>346.01953714096101</v>
      </c>
      <c r="H20" s="436">
        <v>-47.522357140960992</v>
      </c>
      <c r="I20" s="437">
        <v>0.86265990199969145</v>
      </c>
      <c r="J20" s="438" t="s">
        <v>409</v>
      </c>
    </row>
  </sheetData>
  <mergeCells count="3">
    <mergeCell ref="F3:I3"/>
    <mergeCell ref="C4:D4"/>
    <mergeCell ref="A1:I1"/>
  </mergeCells>
  <conditionalFormatting sqref="F9 F21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0">
    <cfRule type="expression" dxfId="45" priority="5">
      <formula>$H10&gt;0</formula>
    </cfRule>
  </conditionalFormatting>
  <conditionalFormatting sqref="A10:A20">
    <cfRule type="expression" dxfId="44" priority="2">
      <formula>AND($J10&lt;&gt;"mezeraKL",$J10&lt;&gt;"")</formula>
    </cfRule>
  </conditionalFormatting>
  <conditionalFormatting sqref="I10:I20">
    <cfRule type="expression" dxfId="43" priority="6">
      <formula>$I10&gt;1</formula>
    </cfRule>
  </conditionalFormatting>
  <conditionalFormatting sqref="B10:B20">
    <cfRule type="expression" dxfId="42" priority="1">
      <formula>OR($J10="NS",$J10="SumaNS",$J10="Účet")</formula>
    </cfRule>
  </conditionalFormatting>
  <conditionalFormatting sqref="A10:D20 F10:I20">
    <cfRule type="expression" dxfId="41" priority="8">
      <formula>AND($J10&lt;&gt;"",$J10&lt;&gt;"mezeraKL")</formula>
    </cfRule>
  </conditionalFormatting>
  <conditionalFormatting sqref="B10:D20 F10:I20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1.109375" style="207" customWidth="1"/>
    <col min="15" max="16384" width="8.88671875" style="130"/>
  </cols>
  <sheetData>
    <row r="1" spans="1:14" ht="18.600000000000001" customHeight="1" thickBot="1" x14ac:dyDescent="0.4">
      <c r="A1" s="348" t="s">
        <v>160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</row>
    <row r="2" spans="1:14" ht="14.4" customHeight="1" thickBot="1" x14ac:dyDescent="0.35">
      <c r="A2" s="234" t="s">
        <v>246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44"/>
      <c r="D3" s="345"/>
      <c r="E3" s="345"/>
      <c r="F3" s="345"/>
      <c r="G3" s="345"/>
      <c r="H3" s="345"/>
      <c r="I3" s="345"/>
      <c r="J3" s="346" t="s">
        <v>128</v>
      </c>
      <c r="K3" s="347"/>
      <c r="L3" s="98">
        <f>IF(M3&lt;&gt;0,N3/M3,0)</f>
        <v>333.53008793142391</v>
      </c>
      <c r="M3" s="98">
        <f>SUBTOTAL(9,M5:M1048576)</f>
        <v>976</v>
      </c>
      <c r="N3" s="99">
        <f>SUBTOTAL(9,N5:N1048576)</f>
        <v>325525.36582106975</v>
      </c>
    </row>
    <row r="4" spans="1:14" s="208" customFormat="1" ht="14.4" customHeight="1" thickBot="1" x14ac:dyDescent="0.35">
      <c r="A4" s="439" t="s">
        <v>4</v>
      </c>
      <c r="B4" s="440" t="s">
        <v>5</v>
      </c>
      <c r="C4" s="440" t="s">
        <v>0</v>
      </c>
      <c r="D4" s="440" t="s">
        <v>6</v>
      </c>
      <c r="E4" s="440" t="s">
        <v>7</v>
      </c>
      <c r="F4" s="440" t="s">
        <v>1</v>
      </c>
      <c r="G4" s="440" t="s">
        <v>8</v>
      </c>
      <c r="H4" s="440" t="s">
        <v>9</v>
      </c>
      <c r="I4" s="440" t="s">
        <v>10</v>
      </c>
      <c r="J4" s="441" t="s">
        <v>11</v>
      </c>
      <c r="K4" s="441" t="s">
        <v>12</v>
      </c>
      <c r="L4" s="442" t="s">
        <v>142</v>
      </c>
      <c r="M4" s="442" t="s">
        <v>13</v>
      </c>
      <c r="N4" s="443" t="s">
        <v>156</v>
      </c>
    </row>
    <row r="5" spans="1:14" ht="14.4" customHeight="1" x14ac:dyDescent="0.3">
      <c r="A5" s="444" t="s">
        <v>404</v>
      </c>
      <c r="B5" s="445" t="s">
        <v>405</v>
      </c>
      <c r="C5" s="446" t="s">
        <v>410</v>
      </c>
      <c r="D5" s="447" t="s">
        <v>504</v>
      </c>
      <c r="E5" s="446" t="s">
        <v>418</v>
      </c>
      <c r="F5" s="447" t="s">
        <v>506</v>
      </c>
      <c r="G5" s="446" t="s">
        <v>419</v>
      </c>
      <c r="H5" s="446" t="s">
        <v>420</v>
      </c>
      <c r="I5" s="446" t="s">
        <v>420</v>
      </c>
      <c r="J5" s="446" t="s">
        <v>421</v>
      </c>
      <c r="K5" s="446" t="s">
        <v>422</v>
      </c>
      <c r="L5" s="448">
        <v>171.6</v>
      </c>
      <c r="M5" s="448">
        <v>92</v>
      </c>
      <c r="N5" s="449">
        <v>15787.2</v>
      </c>
    </row>
    <row r="6" spans="1:14" ht="14.4" customHeight="1" x14ac:dyDescent="0.3">
      <c r="A6" s="450" t="s">
        <v>404</v>
      </c>
      <c r="B6" s="451" t="s">
        <v>405</v>
      </c>
      <c r="C6" s="452" t="s">
        <v>410</v>
      </c>
      <c r="D6" s="453" t="s">
        <v>504</v>
      </c>
      <c r="E6" s="452" t="s">
        <v>418</v>
      </c>
      <c r="F6" s="453" t="s">
        <v>506</v>
      </c>
      <c r="G6" s="452" t="s">
        <v>419</v>
      </c>
      <c r="H6" s="452" t="s">
        <v>423</v>
      </c>
      <c r="I6" s="452" t="s">
        <v>424</v>
      </c>
      <c r="J6" s="452" t="s">
        <v>425</v>
      </c>
      <c r="K6" s="452" t="s">
        <v>426</v>
      </c>
      <c r="L6" s="454">
        <v>87.03</v>
      </c>
      <c r="M6" s="454">
        <v>2</v>
      </c>
      <c r="N6" s="455">
        <v>174.06</v>
      </c>
    </row>
    <row r="7" spans="1:14" ht="14.4" customHeight="1" x14ac:dyDescent="0.3">
      <c r="A7" s="450" t="s">
        <v>404</v>
      </c>
      <c r="B7" s="451" t="s">
        <v>405</v>
      </c>
      <c r="C7" s="452" t="s">
        <v>410</v>
      </c>
      <c r="D7" s="453" t="s">
        <v>504</v>
      </c>
      <c r="E7" s="452" t="s">
        <v>418</v>
      </c>
      <c r="F7" s="453" t="s">
        <v>506</v>
      </c>
      <c r="G7" s="452" t="s">
        <v>419</v>
      </c>
      <c r="H7" s="452" t="s">
        <v>427</v>
      </c>
      <c r="I7" s="452" t="s">
        <v>428</v>
      </c>
      <c r="J7" s="452" t="s">
        <v>429</v>
      </c>
      <c r="K7" s="452" t="s">
        <v>430</v>
      </c>
      <c r="L7" s="454">
        <v>96.82015446506233</v>
      </c>
      <c r="M7" s="454">
        <v>360</v>
      </c>
      <c r="N7" s="455">
        <v>34855.255607422441</v>
      </c>
    </row>
    <row r="8" spans="1:14" ht="14.4" customHeight="1" x14ac:dyDescent="0.3">
      <c r="A8" s="450" t="s">
        <v>404</v>
      </c>
      <c r="B8" s="451" t="s">
        <v>405</v>
      </c>
      <c r="C8" s="452" t="s">
        <v>410</v>
      </c>
      <c r="D8" s="453" t="s">
        <v>504</v>
      </c>
      <c r="E8" s="452" t="s">
        <v>418</v>
      </c>
      <c r="F8" s="453" t="s">
        <v>506</v>
      </c>
      <c r="G8" s="452" t="s">
        <v>419</v>
      </c>
      <c r="H8" s="452" t="s">
        <v>431</v>
      </c>
      <c r="I8" s="452" t="s">
        <v>432</v>
      </c>
      <c r="J8" s="452" t="s">
        <v>433</v>
      </c>
      <c r="K8" s="452" t="s">
        <v>434</v>
      </c>
      <c r="L8" s="454">
        <v>56.97452592974615</v>
      </c>
      <c r="M8" s="454">
        <v>18</v>
      </c>
      <c r="N8" s="455">
        <v>1025.5414667354307</v>
      </c>
    </row>
    <row r="9" spans="1:14" ht="14.4" customHeight="1" x14ac:dyDescent="0.3">
      <c r="A9" s="450" t="s">
        <v>404</v>
      </c>
      <c r="B9" s="451" t="s">
        <v>405</v>
      </c>
      <c r="C9" s="452" t="s">
        <v>410</v>
      </c>
      <c r="D9" s="453" t="s">
        <v>504</v>
      </c>
      <c r="E9" s="452" t="s">
        <v>418</v>
      </c>
      <c r="F9" s="453" t="s">
        <v>506</v>
      </c>
      <c r="G9" s="452" t="s">
        <v>419</v>
      </c>
      <c r="H9" s="452" t="s">
        <v>435</v>
      </c>
      <c r="I9" s="452" t="s">
        <v>436</v>
      </c>
      <c r="J9" s="452" t="s">
        <v>437</v>
      </c>
      <c r="K9" s="452"/>
      <c r="L9" s="454">
        <v>204.12486102203161</v>
      </c>
      <c r="M9" s="454">
        <v>12</v>
      </c>
      <c r="N9" s="455">
        <v>2449.4983322643793</v>
      </c>
    </row>
    <row r="10" spans="1:14" ht="14.4" customHeight="1" x14ac:dyDescent="0.3">
      <c r="A10" s="450" t="s">
        <v>404</v>
      </c>
      <c r="B10" s="451" t="s">
        <v>405</v>
      </c>
      <c r="C10" s="452" t="s">
        <v>410</v>
      </c>
      <c r="D10" s="453" t="s">
        <v>504</v>
      </c>
      <c r="E10" s="452" t="s">
        <v>418</v>
      </c>
      <c r="F10" s="453" t="s">
        <v>506</v>
      </c>
      <c r="G10" s="452" t="s">
        <v>419</v>
      </c>
      <c r="H10" s="452" t="s">
        <v>438</v>
      </c>
      <c r="I10" s="452" t="s">
        <v>439</v>
      </c>
      <c r="J10" s="452" t="s">
        <v>440</v>
      </c>
      <c r="K10" s="452" t="s">
        <v>441</v>
      </c>
      <c r="L10" s="454">
        <v>56.3</v>
      </c>
      <c r="M10" s="454">
        <v>120</v>
      </c>
      <c r="N10" s="455">
        <v>6756</v>
      </c>
    </row>
    <row r="11" spans="1:14" ht="14.4" customHeight="1" x14ac:dyDescent="0.3">
      <c r="A11" s="450" t="s">
        <v>404</v>
      </c>
      <c r="B11" s="451" t="s">
        <v>405</v>
      </c>
      <c r="C11" s="452" t="s">
        <v>410</v>
      </c>
      <c r="D11" s="453" t="s">
        <v>504</v>
      </c>
      <c r="E11" s="452" t="s">
        <v>418</v>
      </c>
      <c r="F11" s="453" t="s">
        <v>506</v>
      </c>
      <c r="G11" s="452" t="s">
        <v>419</v>
      </c>
      <c r="H11" s="452" t="s">
        <v>442</v>
      </c>
      <c r="I11" s="452" t="s">
        <v>443</v>
      </c>
      <c r="J11" s="452" t="s">
        <v>444</v>
      </c>
      <c r="K11" s="452" t="s">
        <v>445</v>
      </c>
      <c r="L11" s="454">
        <v>37.4</v>
      </c>
      <c r="M11" s="454">
        <v>1</v>
      </c>
      <c r="N11" s="455">
        <v>37.4</v>
      </c>
    </row>
    <row r="12" spans="1:14" ht="14.4" customHeight="1" x14ac:dyDescent="0.3">
      <c r="A12" s="450" t="s">
        <v>404</v>
      </c>
      <c r="B12" s="451" t="s">
        <v>405</v>
      </c>
      <c r="C12" s="452" t="s">
        <v>410</v>
      </c>
      <c r="D12" s="453" t="s">
        <v>504</v>
      </c>
      <c r="E12" s="452" t="s">
        <v>418</v>
      </c>
      <c r="F12" s="453" t="s">
        <v>506</v>
      </c>
      <c r="G12" s="452" t="s">
        <v>419</v>
      </c>
      <c r="H12" s="452" t="s">
        <v>446</v>
      </c>
      <c r="I12" s="452" t="s">
        <v>447</v>
      </c>
      <c r="J12" s="452" t="s">
        <v>448</v>
      </c>
      <c r="K12" s="452"/>
      <c r="L12" s="454">
        <v>209.03989703935525</v>
      </c>
      <c r="M12" s="454">
        <v>4</v>
      </c>
      <c r="N12" s="455">
        <v>836.15958815742101</v>
      </c>
    </row>
    <row r="13" spans="1:14" ht="14.4" customHeight="1" x14ac:dyDescent="0.3">
      <c r="A13" s="450" t="s">
        <v>404</v>
      </c>
      <c r="B13" s="451" t="s">
        <v>405</v>
      </c>
      <c r="C13" s="452" t="s">
        <v>410</v>
      </c>
      <c r="D13" s="453" t="s">
        <v>504</v>
      </c>
      <c r="E13" s="452" t="s">
        <v>418</v>
      </c>
      <c r="F13" s="453" t="s">
        <v>506</v>
      </c>
      <c r="G13" s="452" t="s">
        <v>419</v>
      </c>
      <c r="H13" s="452" t="s">
        <v>449</v>
      </c>
      <c r="I13" s="452" t="s">
        <v>450</v>
      </c>
      <c r="J13" s="452" t="s">
        <v>451</v>
      </c>
      <c r="K13" s="452" t="s">
        <v>452</v>
      </c>
      <c r="L13" s="454">
        <v>33.120070134741148</v>
      </c>
      <c r="M13" s="454">
        <v>2</v>
      </c>
      <c r="N13" s="455">
        <v>66.240140269482296</v>
      </c>
    </row>
    <row r="14" spans="1:14" ht="14.4" customHeight="1" x14ac:dyDescent="0.3">
      <c r="A14" s="450" t="s">
        <v>404</v>
      </c>
      <c r="B14" s="451" t="s">
        <v>405</v>
      </c>
      <c r="C14" s="452" t="s">
        <v>410</v>
      </c>
      <c r="D14" s="453" t="s">
        <v>504</v>
      </c>
      <c r="E14" s="452" t="s">
        <v>418</v>
      </c>
      <c r="F14" s="453" t="s">
        <v>506</v>
      </c>
      <c r="G14" s="452" t="s">
        <v>419</v>
      </c>
      <c r="H14" s="452" t="s">
        <v>453</v>
      </c>
      <c r="I14" s="452" t="s">
        <v>454</v>
      </c>
      <c r="J14" s="452" t="s">
        <v>455</v>
      </c>
      <c r="K14" s="452" t="s">
        <v>456</v>
      </c>
      <c r="L14" s="454">
        <v>69.719999999999985</v>
      </c>
      <c r="M14" s="454">
        <v>1</v>
      </c>
      <c r="N14" s="455">
        <v>69.719999999999985</v>
      </c>
    </row>
    <row r="15" spans="1:14" ht="14.4" customHeight="1" x14ac:dyDescent="0.3">
      <c r="A15" s="450" t="s">
        <v>404</v>
      </c>
      <c r="B15" s="451" t="s">
        <v>405</v>
      </c>
      <c r="C15" s="452" t="s">
        <v>410</v>
      </c>
      <c r="D15" s="453" t="s">
        <v>504</v>
      </c>
      <c r="E15" s="452" t="s">
        <v>418</v>
      </c>
      <c r="F15" s="453" t="s">
        <v>506</v>
      </c>
      <c r="G15" s="452" t="s">
        <v>419</v>
      </c>
      <c r="H15" s="452" t="s">
        <v>457</v>
      </c>
      <c r="I15" s="452" t="s">
        <v>447</v>
      </c>
      <c r="J15" s="452" t="s">
        <v>458</v>
      </c>
      <c r="K15" s="452"/>
      <c r="L15" s="454">
        <v>58.087259729491095</v>
      </c>
      <c r="M15" s="454">
        <v>4</v>
      </c>
      <c r="N15" s="455">
        <v>232.34903891796438</v>
      </c>
    </row>
    <row r="16" spans="1:14" ht="14.4" customHeight="1" x14ac:dyDescent="0.3">
      <c r="A16" s="450" t="s">
        <v>404</v>
      </c>
      <c r="B16" s="451" t="s">
        <v>405</v>
      </c>
      <c r="C16" s="452" t="s">
        <v>410</v>
      </c>
      <c r="D16" s="453" t="s">
        <v>504</v>
      </c>
      <c r="E16" s="452" t="s">
        <v>418</v>
      </c>
      <c r="F16" s="453" t="s">
        <v>506</v>
      </c>
      <c r="G16" s="452" t="s">
        <v>419</v>
      </c>
      <c r="H16" s="452" t="s">
        <v>459</v>
      </c>
      <c r="I16" s="452" t="s">
        <v>447</v>
      </c>
      <c r="J16" s="452" t="s">
        <v>460</v>
      </c>
      <c r="K16" s="452"/>
      <c r="L16" s="454">
        <v>259.30260295641602</v>
      </c>
      <c r="M16" s="454">
        <v>16</v>
      </c>
      <c r="N16" s="455">
        <v>4148.8416473026564</v>
      </c>
    </row>
    <row r="17" spans="1:14" ht="14.4" customHeight="1" x14ac:dyDescent="0.3">
      <c r="A17" s="450" t="s">
        <v>404</v>
      </c>
      <c r="B17" s="451" t="s">
        <v>405</v>
      </c>
      <c r="C17" s="452" t="s">
        <v>410</v>
      </c>
      <c r="D17" s="453" t="s">
        <v>504</v>
      </c>
      <c r="E17" s="452" t="s">
        <v>418</v>
      </c>
      <c r="F17" s="453" t="s">
        <v>506</v>
      </c>
      <c r="G17" s="452" t="s">
        <v>419</v>
      </c>
      <c r="H17" s="452" t="s">
        <v>461</v>
      </c>
      <c r="I17" s="452" t="s">
        <v>461</v>
      </c>
      <c r="J17" s="452" t="s">
        <v>462</v>
      </c>
      <c r="K17" s="452" t="s">
        <v>463</v>
      </c>
      <c r="L17" s="454">
        <v>3258.4285714285711</v>
      </c>
      <c r="M17" s="454">
        <v>7</v>
      </c>
      <c r="N17" s="455">
        <v>22808.999999999996</v>
      </c>
    </row>
    <row r="18" spans="1:14" ht="14.4" customHeight="1" x14ac:dyDescent="0.3">
      <c r="A18" s="450" t="s">
        <v>404</v>
      </c>
      <c r="B18" s="451" t="s">
        <v>405</v>
      </c>
      <c r="C18" s="452" t="s">
        <v>415</v>
      </c>
      <c r="D18" s="453" t="s">
        <v>505</v>
      </c>
      <c r="E18" s="452" t="s">
        <v>418</v>
      </c>
      <c r="F18" s="453" t="s">
        <v>506</v>
      </c>
      <c r="G18" s="452" t="s">
        <v>419</v>
      </c>
      <c r="H18" s="452" t="s">
        <v>464</v>
      </c>
      <c r="I18" s="452" t="s">
        <v>465</v>
      </c>
      <c r="J18" s="452" t="s">
        <v>466</v>
      </c>
      <c r="K18" s="452" t="s">
        <v>467</v>
      </c>
      <c r="L18" s="454">
        <v>1105.5840433220719</v>
      </c>
      <c r="M18" s="454">
        <v>54</v>
      </c>
      <c r="N18" s="455">
        <v>59701.538339391889</v>
      </c>
    </row>
    <row r="19" spans="1:14" ht="14.4" customHeight="1" x14ac:dyDescent="0.3">
      <c r="A19" s="450" t="s">
        <v>404</v>
      </c>
      <c r="B19" s="451" t="s">
        <v>405</v>
      </c>
      <c r="C19" s="452" t="s">
        <v>415</v>
      </c>
      <c r="D19" s="453" t="s">
        <v>505</v>
      </c>
      <c r="E19" s="452" t="s">
        <v>418</v>
      </c>
      <c r="F19" s="453" t="s">
        <v>506</v>
      </c>
      <c r="G19" s="452" t="s">
        <v>419</v>
      </c>
      <c r="H19" s="452" t="s">
        <v>468</v>
      </c>
      <c r="I19" s="452" t="s">
        <v>469</v>
      </c>
      <c r="J19" s="452" t="s">
        <v>470</v>
      </c>
      <c r="K19" s="452" t="s">
        <v>471</v>
      </c>
      <c r="L19" s="454">
        <v>755.76621383021518</v>
      </c>
      <c r="M19" s="454">
        <v>10</v>
      </c>
      <c r="N19" s="455">
        <v>7557.662138302152</v>
      </c>
    </row>
    <row r="20" spans="1:14" ht="14.4" customHeight="1" x14ac:dyDescent="0.3">
      <c r="A20" s="450" t="s">
        <v>404</v>
      </c>
      <c r="B20" s="451" t="s">
        <v>405</v>
      </c>
      <c r="C20" s="452" t="s">
        <v>415</v>
      </c>
      <c r="D20" s="453" t="s">
        <v>505</v>
      </c>
      <c r="E20" s="452" t="s">
        <v>418</v>
      </c>
      <c r="F20" s="453" t="s">
        <v>506</v>
      </c>
      <c r="G20" s="452" t="s">
        <v>419</v>
      </c>
      <c r="H20" s="452" t="s">
        <v>472</v>
      </c>
      <c r="I20" s="452" t="s">
        <v>473</v>
      </c>
      <c r="J20" s="452" t="s">
        <v>474</v>
      </c>
      <c r="K20" s="452" t="s">
        <v>475</v>
      </c>
      <c r="L20" s="454">
        <v>631.66569118192081</v>
      </c>
      <c r="M20" s="454">
        <v>61</v>
      </c>
      <c r="N20" s="455">
        <v>38531.607162097171</v>
      </c>
    </row>
    <row r="21" spans="1:14" ht="14.4" customHeight="1" x14ac:dyDescent="0.3">
      <c r="A21" s="450" t="s">
        <v>404</v>
      </c>
      <c r="B21" s="451" t="s">
        <v>405</v>
      </c>
      <c r="C21" s="452" t="s">
        <v>415</v>
      </c>
      <c r="D21" s="453" t="s">
        <v>505</v>
      </c>
      <c r="E21" s="452" t="s">
        <v>418</v>
      </c>
      <c r="F21" s="453" t="s">
        <v>506</v>
      </c>
      <c r="G21" s="452" t="s">
        <v>419</v>
      </c>
      <c r="H21" s="452" t="s">
        <v>476</v>
      </c>
      <c r="I21" s="452" t="s">
        <v>477</v>
      </c>
      <c r="J21" s="452" t="s">
        <v>478</v>
      </c>
      <c r="K21" s="452" t="s">
        <v>479</v>
      </c>
      <c r="L21" s="454">
        <v>877.12779726341932</v>
      </c>
      <c r="M21" s="454">
        <v>61</v>
      </c>
      <c r="N21" s="455">
        <v>53504.795633068577</v>
      </c>
    </row>
    <row r="22" spans="1:14" ht="14.4" customHeight="1" x14ac:dyDescent="0.3">
      <c r="A22" s="450" t="s">
        <v>404</v>
      </c>
      <c r="B22" s="451" t="s">
        <v>405</v>
      </c>
      <c r="C22" s="452" t="s">
        <v>415</v>
      </c>
      <c r="D22" s="453" t="s">
        <v>505</v>
      </c>
      <c r="E22" s="452" t="s">
        <v>418</v>
      </c>
      <c r="F22" s="453" t="s">
        <v>506</v>
      </c>
      <c r="G22" s="452" t="s">
        <v>419</v>
      </c>
      <c r="H22" s="452" t="s">
        <v>480</v>
      </c>
      <c r="I22" s="452" t="s">
        <v>481</v>
      </c>
      <c r="J22" s="452" t="s">
        <v>482</v>
      </c>
      <c r="K22" s="452" t="s">
        <v>483</v>
      </c>
      <c r="L22" s="454">
        <v>441.20337490560973</v>
      </c>
      <c r="M22" s="454">
        <v>83</v>
      </c>
      <c r="N22" s="455">
        <v>36619.880117165609</v>
      </c>
    </row>
    <row r="23" spans="1:14" ht="14.4" customHeight="1" x14ac:dyDescent="0.3">
      <c r="A23" s="450" t="s">
        <v>404</v>
      </c>
      <c r="B23" s="451" t="s">
        <v>405</v>
      </c>
      <c r="C23" s="452" t="s">
        <v>415</v>
      </c>
      <c r="D23" s="453" t="s">
        <v>505</v>
      </c>
      <c r="E23" s="452" t="s">
        <v>418</v>
      </c>
      <c r="F23" s="453" t="s">
        <v>506</v>
      </c>
      <c r="G23" s="452" t="s">
        <v>419</v>
      </c>
      <c r="H23" s="452" t="s">
        <v>484</v>
      </c>
      <c r="I23" s="452" t="s">
        <v>484</v>
      </c>
      <c r="J23" s="452" t="s">
        <v>485</v>
      </c>
      <c r="K23" s="452" t="s">
        <v>486</v>
      </c>
      <c r="L23" s="454">
        <v>1096.5186911240835</v>
      </c>
      <c r="M23" s="454">
        <v>3</v>
      </c>
      <c r="N23" s="455">
        <v>3289.5560733722505</v>
      </c>
    </row>
    <row r="24" spans="1:14" ht="14.4" customHeight="1" x14ac:dyDescent="0.3">
      <c r="A24" s="450" t="s">
        <v>404</v>
      </c>
      <c r="B24" s="451" t="s">
        <v>405</v>
      </c>
      <c r="C24" s="452" t="s">
        <v>415</v>
      </c>
      <c r="D24" s="453" t="s">
        <v>505</v>
      </c>
      <c r="E24" s="452" t="s">
        <v>418</v>
      </c>
      <c r="F24" s="453" t="s">
        <v>506</v>
      </c>
      <c r="G24" s="452" t="s">
        <v>419</v>
      </c>
      <c r="H24" s="452" t="s">
        <v>487</v>
      </c>
      <c r="I24" s="452" t="s">
        <v>488</v>
      </c>
      <c r="J24" s="452" t="s">
        <v>489</v>
      </c>
      <c r="K24" s="452" t="s">
        <v>490</v>
      </c>
      <c r="L24" s="454">
        <v>339.97572112860524</v>
      </c>
      <c r="M24" s="454">
        <v>34</v>
      </c>
      <c r="N24" s="455">
        <v>11559.174518372578</v>
      </c>
    </row>
    <row r="25" spans="1:14" ht="14.4" customHeight="1" x14ac:dyDescent="0.3">
      <c r="A25" s="450" t="s">
        <v>404</v>
      </c>
      <c r="B25" s="451" t="s">
        <v>405</v>
      </c>
      <c r="C25" s="452" t="s">
        <v>415</v>
      </c>
      <c r="D25" s="453" t="s">
        <v>505</v>
      </c>
      <c r="E25" s="452" t="s">
        <v>418</v>
      </c>
      <c r="F25" s="453" t="s">
        <v>506</v>
      </c>
      <c r="G25" s="452" t="s">
        <v>419</v>
      </c>
      <c r="H25" s="452" t="s">
        <v>491</v>
      </c>
      <c r="I25" s="452" t="s">
        <v>491</v>
      </c>
      <c r="J25" s="452" t="s">
        <v>492</v>
      </c>
      <c r="K25" s="452" t="s">
        <v>493</v>
      </c>
      <c r="L25" s="454">
        <v>551.65011050899852</v>
      </c>
      <c r="M25" s="454">
        <v>1</v>
      </c>
      <c r="N25" s="455">
        <v>551.65011050899852</v>
      </c>
    </row>
    <row r="26" spans="1:14" ht="14.4" customHeight="1" x14ac:dyDescent="0.3">
      <c r="A26" s="450" t="s">
        <v>404</v>
      </c>
      <c r="B26" s="451" t="s">
        <v>405</v>
      </c>
      <c r="C26" s="452" t="s">
        <v>415</v>
      </c>
      <c r="D26" s="453" t="s">
        <v>505</v>
      </c>
      <c r="E26" s="452" t="s">
        <v>418</v>
      </c>
      <c r="F26" s="453" t="s">
        <v>506</v>
      </c>
      <c r="G26" s="452" t="s">
        <v>419</v>
      </c>
      <c r="H26" s="452" t="s">
        <v>494</v>
      </c>
      <c r="I26" s="452" t="s">
        <v>495</v>
      </c>
      <c r="J26" s="452" t="s">
        <v>496</v>
      </c>
      <c r="K26" s="452"/>
      <c r="L26" s="454">
        <v>1235.2233333333334</v>
      </c>
      <c r="M26" s="454">
        <v>3</v>
      </c>
      <c r="N26" s="455">
        <v>3705.67</v>
      </c>
    </row>
    <row r="27" spans="1:14" ht="14.4" customHeight="1" x14ac:dyDescent="0.3">
      <c r="A27" s="450" t="s">
        <v>404</v>
      </c>
      <c r="B27" s="451" t="s">
        <v>405</v>
      </c>
      <c r="C27" s="452" t="s">
        <v>415</v>
      </c>
      <c r="D27" s="453" t="s">
        <v>505</v>
      </c>
      <c r="E27" s="452" t="s">
        <v>418</v>
      </c>
      <c r="F27" s="453" t="s">
        <v>506</v>
      </c>
      <c r="G27" s="452" t="s">
        <v>419</v>
      </c>
      <c r="H27" s="452" t="s">
        <v>497</v>
      </c>
      <c r="I27" s="452" t="s">
        <v>498</v>
      </c>
      <c r="J27" s="452" t="s">
        <v>499</v>
      </c>
      <c r="K27" s="452" t="s">
        <v>500</v>
      </c>
      <c r="L27" s="454">
        <v>792.9498426046456</v>
      </c>
      <c r="M27" s="454">
        <v>26</v>
      </c>
      <c r="N27" s="455">
        <v>20616.695907720787</v>
      </c>
    </row>
    <row r="28" spans="1:14" ht="14.4" customHeight="1" thickBot="1" x14ac:dyDescent="0.35">
      <c r="A28" s="456" t="s">
        <v>404</v>
      </c>
      <c r="B28" s="457" t="s">
        <v>405</v>
      </c>
      <c r="C28" s="458" t="s">
        <v>415</v>
      </c>
      <c r="D28" s="459" t="s">
        <v>505</v>
      </c>
      <c r="E28" s="458" t="s">
        <v>418</v>
      </c>
      <c r="F28" s="459" t="s">
        <v>506</v>
      </c>
      <c r="G28" s="458" t="s">
        <v>419</v>
      </c>
      <c r="H28" s="458" t="s">
        <v>501</v>
      </c>
      <c r="I28" s="458" t="s">
        <v>501</v>
      </c>
      <c r="J28" s="458" t="s">
        <v>502</v>
      </c>
      <c r="K28" s="458" t="s">
        <v>503</v>
      </c>
      <c r="L28" s="460">
        <v>639.86999999999989</v>
      </c>
      <c r="M28" s="460">
        <v>1</v>
      </c>
      <c r="N28" s="461">
        <v>639.86999999999989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00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50" t="s">
        <v>202</v>
      </c>
      <c r="B1" s="350"/>
      <c r="C1" s="350"/>
      <c r="D1" s="350"/>
      <c r="E1" s="350"/>
      <c r="F1" s="313"/>
      <c r="G1" s="313"/>
      <c r="H1" s="313"/>
      <c r="I1" s="313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34" t="s">
        <v>246</v>
      </c>
      <c r="B2" s="214"/>
      <c r="C2" s="214"/>
      <c r="D2" s="214"/>
      <c r="E2" s="214"/>
    </row>
    <row r="3" spans="1:17" ht="14.4" customHeight="1" thickBot="1" x14ac:dyDescent="0.35">
      <c r="A3" s="289" t="s">
        <v>3</v>
      </c>
      <c r="B3" s="293">
        <f>SUM(B6:B1048576)</f>
        <v>165</v>
      </c>
      <c r="C3" s="294">
        <f>SUM(C6:C1048576)</f>
        <v>0</v>
      </c>
      <c r="D3" s="294">
        <f>SUM(D6:D1048576)</f>
        <v>0</v>
      </c>
      <c r="E3" s="295">
        <f>SUM(E6:E1048576)</f>
        <v>0</v>
      </c>
      <c r="F3" s="292">
        <f>IF(SUM($B3:$E3)=0,"",B3/SUM($B3:$E3))</f>
        <v>1</v>
      </c>
      <c r="G3" s="290">
        <f t="shared" ref="G3:I3" si="0">IF(SUM($B3:$E3)=0,"",C3/SUM($B3:$E3))</f>
        <v>0</v>
      </c>
      <c r="H3" s="290">
        <f t="shared" si="0"/>
        <v>0</v>
      </c>
      <c r="I3" s="291">
        <f t="shared" si="0"/>
        <v>0</v>
      </c>
      <c r="J3" s="294">
        <f>SUM(J6:J1048576)</f>
        <v>70</v>
      </c>
      <c r="K3" s="294">
        <f>SUM(K6:K1048576)</f>
        <v>0</v>
      </c>
      <c r="L3" s="294">
        <f>SUM(L6:L1048576)</f>
        <v>0</v>
      </c>
      <c r="M3" s="295">
        <f>SUM(M6:M1048576)</f>
        <v>0</v>
      </c>
      <c r="N3" s="292">
        <f>IF(SUM($J3:$M3)=0,"",J3/SUM($J3:$M3))</f>
        <v>1</v>
      </c>
      <c r="O3" s="290">
        <f t="shared" ref="O3:Q3" si="1">IF(SUM($J3:$M3)=0,"",K3/SUM($J3:$M3))</f>
        <v>0</v>
      </c>
      <c r="P3" s="290">
        <f t="shared" si="1"/>
        <v>0</v>
      </c>
      <c r="Q3" s="291">
        <f t="shared" si="1"/>
        <v>0</v>
      </c>
    </row>
    <row r="4" spans="1:17" ht="14.4" customHeight="1" thickBot="1" x14ac:dyDescent="0.35">
      <c r="A4" s="288"/>
      <c r="B4" s="363" t="s">
        <v>204</v>
      </c>
      <c r="C4" s="364"/>
      <c r="D4" s="364"/>
      <c r="E4" s="365"/>
      <c r="F4" s="360" t="s">
        <v>209</v>
      </c>
      <c r="G4" s="361"/>
      <c r="H4" s="361"/>
      <c r="I4" s="362"/>
      <c r="J4" s="363" t="s">
        <v>210</v>
      </c>
      <c r="K4" s="364"/>
      <c r="L4" s="364"/>
      <c r="M4" s="365"/>
      <c r="N4" s="360" t="s">
        <v>211</v>
      </c>
      <c r="O4" s="361"/>
      <c r="P4" s="361"/>
      <c r="Q4" s="362"/>
    </row>
    <row r="5" spans="1:17" ht="14.4" customHeight="1" thickBot="1" x14ac:dyDescent="0.35">
      <c r="A5" s="462" t="s">
        <v>203</v>
      </c>
      <c r="B5" s="463" t="s">
        <v>205</v>
      </c>
      <c r="C5" s="463" t="s">
        <v>206</v>
      </c>
      <c r="D5" s="463" t="s">
        <v>207</v>
      </c>
      <c r="E5" s="464" t="s">
        <v>208</v>
      </c>
      <c r="F5" s="465" t="s">
        <v>205</v>
      </c>
      <c r="G5" s="466" t="s">
        <v>206</v>
      </c>
      <c r="H5" s="466" t="s">
        <v>207</v>
      </c>
      <c r="I5" s="467" t="s">
        <v>208</v>
      </c>
      <c r="J5" s="463" t="s">
        <v>205</v>
      </c>
      <c r="K5" s="463" t="s">
        <v>206</v>
      </c>
      <c r="L5" s="463" t="s">
        <v>207</v>
      </c>
      <c r="M5" s="464" t="s">
        <v>208</v>
      </c>
      <c r="N5" s="465" t="s">
        <v>205</v>
      </c>
      <c r="O5" s="466" t="s">
        <v>206</v>
      </c>
      <c r="P5" s="466" t="s">
        <v>207</v>
      </c>
      <c r="Q5" s="467" t="s">
        <v>208</v>
      </c>
    </row>
    <row r="6" spans="1:17" ht="14.4" customHeight="1" x14ac:dyDescent="0.3">
      <c r="A6" s="474" t="s">
        <v>507</v>
      </c>
      <c r="B6" s="480"/>
      <c r="C6" s="448"/>
      <c r="D6" s="448"/>
      <c r="E6" s="449"/>
      <c r="F6" s="477"/>
      <c r="G6" s="468"/>
      <c r="H6" s="468"/>
      <c r="I6" s="483"/>
      <c r="J6" s="480"/>
      <c r="K6" s="448"/>
      <c r="L6" s="448"/>
      <c r="M6" s="449"/>
      <c r="N6" s="477"/>
      <c r="O6" s="468"/>
      <c r="P6" s="468"/>
      <c r="Q6" s="469"/>
    </row>
    <row r="7" spans="1:17" ht="14.4" customHeight="1" x14ac:dyDescent="0.3">
      <c r="A7" s="475" t="s">
        <v>508</v>
      </c>
      <c r="B7" s="481">
        <v>111</v>
      </c>
      <c r="C7" s="454"/>
      <c r="D7" s="454"/>
      <c r="E7" s="455"/>
      <c r="F7" s="478">
        <v>1</v>
      </c>
      <c r="G7" s="470">
        <v>0</v>
      </c>
      <c r="H7" s="470">
        <v>0</v>
      </c>
      <c r="I7" s="484">
        <v>0</v>
      </c>
      <c r="J7" s="481">
        <v>52</v>
      </c>
      <c r="K7" s="454"/>
      <c r="L7" s="454"/>
      <c r="M7" s="455"/>
      <c r="N7" s="478">
        <v>1</v>
      </c>
      <c r="O7" s="470">
        <v>0</v>
      </c>
      <c r="P7" s="470">
        <v>0</v>
      </c>
      <c r="Q7" s="471">
        <v>0</v>
      </c>
    </row>
    <row r="8" spans="1:17" ht="14.4" customHeight="1" thickBot="1" x14ac:dyDescent="0.35">
      <c r="A8" s="476" t="s">
        <v>509</v>
      </c>
      <c r="B8" s="482">
        <v>54</v>
      </c>
      <c r="C8" s="460"/>
      <c r="D8" s="460"/>
      <c r="E8" s="461"/>
      <c r="F8" s="479">
        <v>1</v>
      </c>
      <c r="G8" s="472">
        <v>0</v>
      </c>
      <c r="H8" s="472">
        <v>0</v>
      </c>
      <c r="I8" s="485">
        <v>0</v>
      </c>
      <c r="J8" s="482">
        <v>18</v>
      </c>
      <c r="K8" s="460"/>
      <c r="L8" s="460"/>
      <c r="M8" s="461"/>
      <c r="N8" s="479">
        <v>1</v>
      </c>
      <c r="O8" s="472">
        <v>0</v>
      </c>
      <c r="P8" s="472">
        <v>0</v>
      </c>
      <c r="Q8" s="47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2016-07-27T14:07:28Z</dcterms:modified>
</cp:coreProperties>
</file>