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H20" i="419" l="1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H18" i="419" l="1"/>
  <c r="E18" i="419"/>
  <c r="C18" i="419"/>
  <c r="F18" i="419"/>
  <c r="D18" i="419"/>
  <c r="G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2" i="414" l="1"/>
  <c r="E22" i="414" s="1"/>
  <c r="D21" i="414"/>
  <c r="A29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H21" i="419" l="1"/>
  <c r="H22" i="419" s="1"/>
  <c r="G21" i="419"/>
  <c r="F21" i="419"/>
  <c r="H23" i="419" l="1"/>
  <c r="F23" i="419"/>
  <c r="G23" i="419"/>
  <c r="F22" i="419"/>
  <c r="G22" i="419"/>
  <c r="N3" i="418"/>
  <c r="E21" i="419" l="1"/>
  <c r="E22" i="419" s="1"/>
  <c r="D21" i="419"/>
  <c r="D23" i="419" l="1"/>
  <c r="E23" i="419"/>
  <c r="D22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G6" i="419"/>
  <c r="D6" i="419"/>
  <c r="F6" i="419"/>
  <c r="C6" i="419"/>
  <c r="H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Q3" i="345" l="1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<sst xmlns="http://schemas.openxmlformats.org/spreadsheetml/2006/main" count="4181" uniqueCount="919">
  <si>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</si>
  <si>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</si>
  <si>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</si>
  <si>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</si>
  <si>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</si>
  <si>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</si>
  <si>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</si>
  <si>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</si>
  <si>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</si>
  <si>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</si>
  <si>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</si>
  <si>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</si>
  <si>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</si>
  <si>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</si>
  <si>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</si>
  <si>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</si>
  <si>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</si>
  <si>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</si>
  <si>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</si>
  <si>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</si>
  <si>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</si>
  <si>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</si>
  <si>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</si>
  <si>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</si>
  <si>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</si>
  <si>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</si>
  <si>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</si>
  <si>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</si>
  <si>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</si>
  <si>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</si>
  <si>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</si>
  <si>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</si>
  <si>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</si>
  <si>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</si>
  <si>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</si>
  <si>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</si>
  <si>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</si>
  <si>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</si>
  <si>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</si>
  <si>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</si>
  <si>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</si>
  <si>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</si>
  <si>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</si>
  <si>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</si>
  <si>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</si>
  <si>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</si>
  <si>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</si>
  <si>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</si>
  <si>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</si>
  <si>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</si>
  <si>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</si>
  <si>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</si>
  <si>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</si>
  <si>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</si>
  <si>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</si>
  <si>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</si>
  <si>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</si>
  <si>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</si>
  <si>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</si>
  <si>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</si>
  <si>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</si>
  <si>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</si>
  <si>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</si>
  <si>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</si>
  <si>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</si>
  <si>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</si>
  <si>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</si>
  <si>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</si>
  <si>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</si>
  <si>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</si>
  <si>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</si>
  <si>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</si>
  <si>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</si>
  <si>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</si>
  <si>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</si>
  <si>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</si>
  <si>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</si>
  <si>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</si>
  <si>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</si>
  <si>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</si>
  <si>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</si>
  <si>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</si>
  <si>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</si>
  <si>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</si>
  <si>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</si>
  <si>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</si>
  <si>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</si>
  <si>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</si>
  <si>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</si>
  <si>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</si>
  <si>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</si>
  <si>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</si>
  <si>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</si>
  <si>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</si>
  <si>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</si>
  <si>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</si>
  <si>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</si>
  <si>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</si>
  <si>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</si>
  <si>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</si>
  <si>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</si>
  <si>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</si>
  <si>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</si>
  <si>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</si>
  <si>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</si>
  <si>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</si>
  <si>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</si>
  <si>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</si>
  <si>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</si>
  <si>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</si>
  <si>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</si>
  <si>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</si>
  <si>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</si>
  <si>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</si>
  <si>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</si>
  <si>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</si>
  <si>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</si>
  <si>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</si>
  <si>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</si>
  <si>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</si>
  <si>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</si>
  <si>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</si>
  <si>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</si>
  <si>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</si>
  <si>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</si>
  <si>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</si>
  <si>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</si>
  <si>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</si>
  <si>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</si>
  <si>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</si>
  <si>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</si>
  <si>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</si>
  <si>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</si>
  <si>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</si>
  <si>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</si>
  <si>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</si>
  <si>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</si>
  <si>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</si>
  <si>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</si>
  <si>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</si>
  <si>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</si>
  <si>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</si>
  <si>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</si>
  <si>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</si>
  <si>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</si>
  <si>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</si>
  <si>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</si>
  <si>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</si>
  <si>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</si>
  <si>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</si>
  <si>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</si>
  <si>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</si>
  <si>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</si>
  <si>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</si>
  <si>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</si>
  <si>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</si>
  <si>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</si>
  <si>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</si>
  <si>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</si>
  <si>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</si>
  <si>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</si>
  <si>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</si>
  <si>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</si>
  <si>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</si>
  <si>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</si>
  <si>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</si>
  <si>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</si>
  <si>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</si>
  <si>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</si>
  <si>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</si>
  <si>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</si>
  <si>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</si>
  <si>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</si>
  <si>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</si>
  <si>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</si>
  <si>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</si>
  <si>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</si>
  <si>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</si>
  <si>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</si>
  <si>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</si>
  <si>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</si>
  <si>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</si>
  <si>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</si>
  <si>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</si>
  <si>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</si>
  <si>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</si>
  <si>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</si>
  <si>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</si>
  <si>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</si>
  <si>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</si>
  <si>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</si>
  <si>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</si>
  <si>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</si>
  <si>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</si>
  <si>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</si>
  <si>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</si>
  <si>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</si>
  <si>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</si>
  <si>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</si>
  <si>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</si>
  <si>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</si>
  <si>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</si>
  <si>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</si>
  <si>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</si>
  <si>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</si>
  <si>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</si>
  <si>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</si>
  <si>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</si>
  <si>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</si>
  <si>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</si>
  <si>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</si>
  <si>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</si>
  <si>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</si>
  <si>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</si>
  <si>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</si>
  <si>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</si>
  <si>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</si>
  <si>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</si>
  <si>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</si>
  <si>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</si>
  <si>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</si>
  <si>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</si>
  <si>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</si>
  <si>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</si>
  <si>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</si>
  <si>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</si>
  <si>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</si>
  <si>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</si>
  <si>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</si>
  <si>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</si>
  <si>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</si>
  <si>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</si>
  <si>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</si>
  <si>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</si>
  <si>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</si>
  <si>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</si>
  <si>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</si>
  <si>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</si>
  <si>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</si>
  <si>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</si>
  <si>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</si>
  <si>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</si>
  <si>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</si>
  <si>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</si>
  <si>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</si>
  <si>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</si>
  <si>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</si>
  <si>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</si>
  <si>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</si>
  <si>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</si>
  <si>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</si>
  <si>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</si>
  <si>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</si>
  <si>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</si>
  <si>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</si>
  <si>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</si>
  <si>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</si>
  <si>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</si>
  <si>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</si>
  <si>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</si>
  <si>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</si>
  <si>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</si>
  <si>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</si>
  <si>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</si>
  <si>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</si>
  <si>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</si>
  <si>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</si>
  <si>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</si>
  <si>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</si>
  <si>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</si>
  <si>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</si>
  <si>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</si>
  <si>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</si>
  <si>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</si>
  <si>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</si>
  <si>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</si>
  <si>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</si>
  <si>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</si>
  <si>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</si>
  <si>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</si>
  <si>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</si>
  <si>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</si>
  <si>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</si>
  <si>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</si>
  <si>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</si>
  <si>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</si>
  <si>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</si>
  <si>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</si>
  <si>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</si>
  <si>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</si>
  <si>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</si>
  <si>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</si>
  <si>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</si>
  <si>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</si>
  <si>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</si>
  <si>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</si>
  <si>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</si>
  <si>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</si>
  <si>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</si>
  <si>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</si>
  <si>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</si>
  <si>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</si>
  <si>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</si>
  <si>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</si>
  <si>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</si>
  <si>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</si>
  <si>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</si>
  <si>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</si>
  <si>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</si>
  <si>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</si>
  <si>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</si>
  <si>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</si>
  <si>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</si>
  <si>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</si>
  <si>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</si>
  <si>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</si>
  <si>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</si>
  <si>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</si>
  <si>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</si>
  <si>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</si>
  <si>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</si>
  <si>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</si>
  <si>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</si>
  <si>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</si>
  <si>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</si>
  <si>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</si>
  <si>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</si>
  <si>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</si>
  <si>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</si>
  <si>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</si>
  <si>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</si>
  <si>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</si>
  <si>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</si>
  <si>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</si>
  <si>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</si>
  <si>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</si>
  <si>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</si>
  <si>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</si>
  <si>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</si>
  <si>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</si>
  <si>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</si>
  <si>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</si>
  <si>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</si>
  <si>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</si>
  <si>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</si>
  <si>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</si>
  <si>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</si>
  <si>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</si>
  <si>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</si>
  <si>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</si>
  <si>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</si>
  <si>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</si>
  <si>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</si>
  <si>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</si>
  <si>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</si>
  <si>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</si>
  <si>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</si>
  <si>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</si>
  <si>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</si>
  <si>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</si>
  <si>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</si>
  <si>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</si>
  <si>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</si>
  <si>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</si>
  <si>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</si>
  <si>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</si>
  <si>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</si>
  <si>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</si>
  <si>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</si>
  <si>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</si>
  <si>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</si>
  <si>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</si>
  <si>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</si>
  <si>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</si>
  <si>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</si>
  <si>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</si>
  <si>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</si>
  <si>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</si>
  <si>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</si>
  <si>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</si>
  <si>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</si>
  <si>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</si>
  <si>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</si>
  <si>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</si>
  <si>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</si>
  <si>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</si>
  <si>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</si>
  <si>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</si>
  <si>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</si>
  <si>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</si>
  <si>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</si>
  <si>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</si>
  <si>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</si>
  <si>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</si>
  <si>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</si>
  <si>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</si>
  <si>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</si>
  <si>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</si>
  <si>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</si>
  <si>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</si>
  <si>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</si>
  <si>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</si>
  <si>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</si>
  <si>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</si>
  <si>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</si>
  <si>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</si>
  <si>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</si>
  <si>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</si>
  <si>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</si>
  <si>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</si>
  <si>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</si>
  <si>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</si>
  <si>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</si>
  <si>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</si>
  <si>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</si>
  <si>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</si>
  <si>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</si>
  <si>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</si>
  <si>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</si>
  <si>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</si>
  <si>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</si>
  <si>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</si>
  <si>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</si>
  <si>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</si>
  <si>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</si>
  <si>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</si>
  <si>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</si>
  <si>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</si>
  <si>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</si>
  <si>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</si>
  <si>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</si>
  <si>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</si>
  <si>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</si>
  <si>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</si>
  <si>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ADRENALIN LECIVA</t>
  </si>
  <si>
    <t>INJ 5X1ML/1MG</t>
  </si>
  <si>
    <t>ARDEANUTRISOL G 40</t>
  </si>
  <si>
    <t>INF 1X80ML</t>
  </si>
  <si>
    <t>Carbosorb tbl.20-blistr</t>
  </si>
  <si>
    <t>Desprej 500ml</t>
  </si>
  <si>
    <t>GUAJACURAN « 5 % INJ</t>
  </si>
  <si>
    <t>HYDROCORTISON VUAB 100 MG</t>
  </si>
  <si>
    <t>INJ PLV SOL 1X100MG</t>
  </si>
  <si>
    <t>CHLORID SODNÝ 0,9% BRAUN</t>
  </si>
  <si>
    <t>INF SOL 20X100MLPELAH</t>
  </si>
  <si>
    <t>IBALGIN 400</t>
  </si>
  <si>
    <t>POR TBL FLM 48X400MG</t>
  </si>
  <si>
    <t>INJ PROCAINII CHLORATI 0,2% ARD 10x200ml</t>
  </si>
  <si>
    <t>2MG/ML INJ SOL 10X200ML</t>
  </si>
  <si>
    <t>INJECTIO PROCAIN.CHLOR.0.2% ARD</t>
  </si>
  <si>
    <t>INJ 1X200ML 0.2%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</si>
  <si>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</si>
  <si>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</si>
  <si>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</si>
  <si>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</si>
  <si>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</si>
  <si>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</si>
  <si>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NATRIUM SALICYLICUM BIOTIKA</t>
  </si>
  <si>
    <t>INJ 10X10ML 10%</t>
  </si>
  <si>
    <t>NITROGLYCERIN SLOVAKOFARMA</t>
  </si>
  <si>
    <t>TBL 20X0.5MG</t>
  </si>
  <si>
    <t>P</t>
  </si>
  <si>
    <t>NOVALGIN</t>
  </si>
  <si>
    <t>INJ 10X2ML/1000MG</t>
  </si>
  <si>
    <t>VENTOLIN INHALER N</t>
  </si>
  <si>
    <t>INHSUSPSS200X100RG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</si>
  <si>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</si>
  <si>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</si>
  <si>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</si>
  <si>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</si>
  <si>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</si>
  <si>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</si>
  <si>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</si>
  <si>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</si>
  <si>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</si>
  <si>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</si>
  <si>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FSME-IMMUN 0.5ML BAXTER</t>
  </si>
  <si>
    <t>INJ SUS1X0.5ML/DÁV</t>
  </si>
  <si>
    <t>HAVRIX 1440</t>
  </si>
  <si>
    <t>INJ SUS 1X1ML STŘ</t>
  </si>
  <si>
    <t>HAVRIX 720 JUNIOR MONODOSE</t>
  </si>
  <si>
    <t>INJSUS1X0.5ML STŘ</t>
  </si>
  <si>
    <t>IXIARO 6 MCG</t>
  </si>
  <si>
    <t>INJ SUS 1X0.5ML/DÁV</t>
  </si>
  <si>
    <t>NIMENRIX 5 MCG</t>
  </si>
  <si>
    <t>INJ PSO LQF 1+1X1.25ML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</si>
  <si>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</si>
  <si>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</si>
  <si>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</si>
  <si>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</si>
  <si>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</si>
  <si>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</si>
  <si>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</si>
  <si>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</si>
  <si>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VERORAB</t>
  </si>
  <si>
    <t>INJ PSU LQF 1DAV.+0.5ML ST</t>
  </si>
  <si>
    <t>1921 - PRAC: ambulance</t>
  </si>
  <si>
    <t>N02BB02 - SODNÁ SŮL METAMIZOLU</t>
  </si>
  <si>
    <t>R03AC02 - SALBUTAMOL</t>
  </si>
  <si>
    <t>N02BB02</t>
  </si>
  <si>
    <t>7981</t>
  </si>
  <si>
    <t>NOVALGIN INJEKCE</t>
  </si>
  <si>
    <t>500MG/ML INJ SOL 10X2ML</t>
  </si>
  <si>
    <t>R03AC02</t>
  </si>
  <si>
    <t>31934</t>
  </si>
  <si>
    <t>100MCG/DÁV INH SUS PSS 200DÁV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</si>
  <si>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</si>
  <si>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</si>
  <si>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</si>
  <si>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</si>
  <si>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</si>
  <si>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</si>
  <si>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</si>
  <si>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</si>
  <si>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</si>
  <si>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 xml:space="preserve"> 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</si>
  <si>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</si>
  <si>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</si>
  <si>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</si>
  <si>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</si>
  <si>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</si>
  <si>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</si>
  <si>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</si>
  <si>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DEXAMETHASON A ANTIINFEKTIVA</t>
  </si>
  <si>
    <t>2546</t>
  </si>
  <si>
    <t>MAXITROL</t>
  </si>
  <si>
    <t>OPH GTT SUS 1X5ML</t>
  </si>
  <si>
    <t>DIOSMIN, KOMBINACE</t>
  </si>
  <si>
    <t>97522</t>
  </si>
  <si>
    <t>DETRALEX</t>
  </si>
  <si>
    <t>500MG TBL FLM 30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</si>
  <si>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</si>
  <si>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</si>
  <si>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</si>
  <si>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</si>
  <si>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</si>
  <si>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</si>
  <si>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</si>
  <si>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</si>
  <si>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214593</t>
  </si>
  <si>
    <t>Pentoxifylin</t>
  </si>
  <si>
    <t>155875</t>
  </si>
  <si>
    <t>TRENTAL</t>
  </si>
  <si>
    <t>20MG/ML INF SOL 5X5ML</t>
  </si>
  <si>
    <t>214616</t>
  </si>
  <si>
    <t>PROGVANIL, KOMBINACE</t>
  </si>
  <si>
    <t>30690</t>
  </si>
  <si>
    <t>MALARONE</t>
  </si>
  <si>
    <t>250MG/100MG TBL FLM 12</t>
  </si>
  <si>
    <t>VÁPNÍK, KOMBINACE S VITAMINEM D A/NEBO JINÝMI LÉČIVY</t>
  </si>
  <si>
    <t>164888</t>
  </si>
  <si>
    <t>CALTRATE 600 MG/400 IU D3 POTAHOVANÁ TABLETA</t>
  </si>
  <si>
    <t>600MG/400IU TBL FLM 90</t>
  </si>
  <si>
    <t>NATRIUM-SALICYLÁT</t>
  </si>
  <si>
    <t>527</t>
  </si>
  <si>
    <t>100MG/ML INJ SOL 10X10ML</t>
  </si>
  <si>
    <t>CHOLERA, INAKTIVOVANÁ CELOBUNĚČNÁ VAKCÍNA</t>
  </si>
  <si>
    <t>28144</t>
  </si>
  <si>
    <t>DUKORAL</t>
  </si>
  <si>
    <t>POR SGE SUS 2X3ML+2X5,6G</t>
  </si>
  <si>
    <t>Alprazolam</t>
  </si>
  <si>
    <t>91788</t>
  </si>
  <si>
    <t>NEUROL 0,25</t>
  </si>
  <si>
    <t>0,25MG TBL NOB 30</t>
  </si>
  <si>
    <t>AMOXICILIN A ENZYMOVÝ INHIBITOR</t>
  </si>
  <si>
    <t>192854</t>
  </si>
  <si>
    <t>AUGMENTIN 1 G</t>
  </si>
  <si>
    <t>875MG/125MG TBL FLM 14</t>
  </si>
  <si>
    <t>5951</t>
  </si>
  <si>
    <t>AMOKSIKLAV 1 G</t>
  </si>
  <si>
    <t>203097</t>
  </si>
  <si>
    <t>875MG/125MG TBL FLM 21</t>
  </si>
  <si>
    <t>Cefuroxim</t>
  </si>
  <si>
    <t>192354</t>
  </si>
  <si>
    <t>ZINNAT</t>
  </si>
  <si>
    <t>500MG TBL FLM 10</t>
  </si>
  <si>
    <t>CETIRIZIN</t>
  </si>
  <si>
    <t>99600</t>
  </si>
  <si>
    <t>ZODAC</t>
  </si>
  <si>
    <t>10MG TBL FLM 90</t>
  </si>
  <si>
    <t>DIKLOFENAK</t>
  </si>
  <si>
    <t>119672</t>
  </si>
  <si>
    <t>DICLOFENAC DUO PHARMASWISS</t>
  </si>
  <si>
    <t>75MG CPS RDR 30 I</t>
  </si>
  <si>
    <t>GLIMEPIRID</t>
  </si>
  <si>
    <t>163077</t>
  </si>
  <si>
    <t>AMARYL</t>
  </si>
  <si>
    <t>2MG TBL NOB 30</t>
  </si>
  <si>
    <t>HYDROKORTISON-BUTYRÁT</t>
  </si>
  <si>
    <t>218236</t>
  </si>
  <si>
    <t>LOCOID 0,1%</t>
  </si>
  <si>
    <t>1MG/G CRM 30G</t>
  </si>
  <si>
    <t>CHLORID DRASELNÝ</t>
  </si>
  <si>
    <t>17188</t>
  </si>
  <si>
    <t>KALIUM CHLORATUM BIOMEDICA</t>
  </si>
  <si>
    <t>500MG TBL ENT 50</t>
  </si>
  <si>
    <t>Jiná antibiotika pro lokální aplikaci</t>
  </si>
  <si>
    <t>1066</t>
  </si>
  <si>
    <t>FRAMYKOIN</t>
  </si>
  <si>
    <t>250IU/G+5,2MG/G UNG 10G</t>
  </si>
  <si>
    <t>KLARITHROMYCIN</t>
  </si>
  <si>
    <t>53853</t>
  </si>
  <si>
    <t>KLACID 500</t>
  </si>
  <si>
    <t>500MG TBL FLM 14</t>
  </si>
  <si>
    <t>LEVOCETIRIZIN</t>
  </si>
  <si>
    <t>85142</t>
  </si>
  <si>
    <t>XYZAL</t>
  </si>
  <si>
    <t>5MG TBL FLM 90</t>
  </si>
  <si>
    <t>METFORMIN</t>
  </si>
  <si>
    <t>23797</t>
  </si>
  <si>
    <t>GLUCOPHAGE</t>
  </si>
  <si>
    <t>1000MG TBL FLM 60</t>
  </si>
  <si>
    <t>NIMESULID</t>
  </si>
  <si>
    <t>12892</t>
  </si>
  <si>
    <t>AULIN</t>
  </si>
  <si>
    <t>100MG TBL NOB 30</t>
  </si>
  <si>
    <t>12895</t>
  </si>
  <si>
    <t>100MG POR GRA SUS 30 I</t>
  </si>
  <si>
    <t>OMEPRAZOL</t>
  </si>
  <si>
    <t>173408</t>
  </si>
  <si>
    <t>OMEPRAZOL AL 20</t>
  </si>
  <si>
    <t>20MG CPS ETD 30</t>
  </si>
  <si>
    <t>PIKOSÍRAN SODNÝ, KOMBINACE</t>
  </si>
  <si>
    <t>196442</t>
  </si>
  <si>
    <t>CITRAFLEET PRÁŠEK PRO PERORÁLNÍ ROZTOK</t>
  </si>
  <si>
    <t>10MG/3,5G/10,97G POR PLV SOL S</t>
  </si>
  <si>
    <t>Pitofenon a analgetika</t>
  </si>
  <si>
    <t>176954</t>
  </si>
  <si>
    <t>ALGIFEN NEO</t>
  </si>
  <si>
    <t>500MG/ML+5MG/ML POR GTT SOL 1X</t>
  </si>
  <si>
    <t>SULFAMETHOXAZOL A TRIMETHOPRIM</t>
  </si>
  <si>
    <t>203954</t>
  </si>
  <si>
    <t>BISEPTOL 480</t>
  </si>
  <si>
    <t>400MG/80MG TBL NOB 28</t>
  </si>
  <si>
    <t>ZOLPIDEM</t>
  </si>
  <si>
    <t>146899</t>
  </si>
  <si>
    <t>ZOLPIDEM MYLAN</t>
  </si>
  <si>
    <t>10MG TBL FLM 50</t>
  </si>
  <si>
    <t>198058</t>
  </si>
  <si>
    <t>SANVAL</t>
  </si>
  <si>
    <t>10MG TBL FLM 100</t>
  </si>
  <si>
    <t>ATORVASTATIN</t>
  </si>
  <si>
    <t>93018</t>
  </si>
  <si>
    <t>SORTIS</t>
  </si>
  <si>
    <t>20MG TBL FLM 100</t>
  </si>
  <si>
    <t>201992</t>
  </si>
  <si>
    <t>500MG TBL FLM 120</t>
  </si>
  <si>
    <t>132908</t>
  </si>
  <si>
    <t>JINÁ IMUNOSTIMULANCIA</t>
  </si>
  <si>
    <t>55676</t>
  </si>
  <si>
    <t>RIBOMUNYL</t>
  </si>
  <si>
    <t>TBL NOB 20</t>
  </si>
  <si>
    <t>JODOVANÝ POVIDON</t>
  </si>
  <si>
    <t>62321</t>
  </si>
  <si>
    <t>BETADINE</t>
  </si>
  <si>
    <t>200MG SUP 14</t>
  </si>
  <si>
    <t>KLINDAMYCIN</t>
  </si>
  <si>
    <t>100339</t>
  </si>
  <si>
    <t>DALACIN C</t>
  </si>
  <si>
    <t>300MG CPS DUR 16</t>
  </si>
  <si>
    <t>KLOPIDOGREL</t>
  </si>
  <si>
    <t>149483</t>
  </si>
  <si>
    <t>ZYLLT</t>
  </si>
  <si>
    <t>75MG TBL FLM 56</t>
  </si>
  <si>
    <t>LEVOTHYROXIN, SODNÁ SŮL</t>
  </si>
  <si>
    <t>187425</t>
  </si>
  <si>
    <t>LETROX</t>
  </si>
  <si>
    <t>50MCG TBL NOB 100</t>
  </si>
  <si>
    <t>17187</t>
  </si>
  <si>
    <t>NIMESIL</t>
  </si>
  <si>
    <t>100MG POR GRA SUS 30</t>
  </si>
  <si>
    <t>146894</t>
  </si>
  <si>
    <t>10MG TBL FLM 20</t>
  </si>
  <si>
    <t>146895</t>
  </si>
  <si>
    <t>10MG TBL FLM 28</t>
  </si>
  <si>
    <t>2146</t>
  </si>
  <si>
    <t>DICLOFENAC AL RETARD</t>
  </si>
  <si>
    <t>100MG TBL PRO 30</t>
  </si>
  <si>
    <t>75632</t>
  </si>
  <si>
    <t>100MG TBL PRO 50</t>
  </si>
  <si>
    <t>14075</t>
  </si>
  <si>
    <t>500MG TBL FLM 60</t>
  </si>
  <si>
    <t>169548</t>
  </si>
  <si>
    <t>METFORMIN MYLAN</t>
  </si>
  <si>
    <t>METHYLPREDNISOLON</t>
  </si>
  <si>
    <t>40368</t>
  </si>
  <si>
    <t>MEDROL</t>
  </si>
  <si>
    <t>4MG TBL NOB 30 I</t>
  </si>
  <si>
    <t>METOPROLOL</t>
  </si>
  <si>
    <t>46980</t>
  </si>
  <si>
    <t>BETALOC SR</t>
  </si>
  <si>
    <t>200MG TBL PRO 100</t>
  </si>
  <si>
    <t>50335</t>
  </si>
  <si>
    <t>3377</t>
  </si>
  <si>
    <t>400MG/80MG TBL NOB 20</t>
  </si>
  <si>
    <t>TELMISARTAN A DIURETIKA</t>
  </si>
  <si>
    <t>26578</t>
  </si>
  <si>
    <t>MICARDISPLUS</t>
  </si>
  <si>
    <t>80MG/12,5MG TBL NOB 28</t>
  </si>
  <si>
    <t>MEFENOXALON</t>
  </si>
  <si>
    <t>85656</t>
  </si>
  <si>
    <t>DORSIFLEX</t>
  </si>
  <si>
    <t>200MG TBL NOB 30</t>
  </si>
  <si>
    <t>SODNÁ SŮL METAMIZOLU</t>
  </si>
  <si>
    <t>55823</t>
  </si>
  <si>
    <t>NOVALGIN TABLETY</t>
  </si>
  <si>
    <t>500MG TBL FLM 20</t>
  </si>
  <si>
    <t>146891</t>
  </si>
  <si>
    <t>10MG TBL FLM 14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</si>
  <si>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</si>
  <si>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</si>
  <si>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</si>
  <si>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</si>
  <si>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C10AA05 - ATORVASTATIN</t>
  </si>
  <si>
    <t>R06AE09 - LEVOCETIRIZIN</t>
  </si>
  <si>
    <t>J01DC02 - CEFUROXIM</t>
  </si>
  <si>
    <t>J01CR02 - AMOXICILIN A ENZYMOVÝ INHIBITOR</t>
  </si>
  <si>
    <t>M01AX17 - NIMESULID</t>
  </si>
  <si>
    <t>B01AC04 - KLOPIDOGREL</t>
  </si>
  <si>
    <t>R06AE07 - CETIRIZIN</t>
  </si>
  <si>
    <t>N05CF02 - ZOLPIDEM</t>
  </si>
  <si>
    <t>A10BB12 - GLIMEPIRID</t>
  </si>
  <si>
    <t>H02AB04 - METHYLPREDNISOLON</t>
  </si>
  <si>
    <t>H03AA01 - LEVOTHYROXIN, SODNÁ SŮL</t>
  </si>
  <si>
    <t>N05BA12 - ALPRAZOLAM</t>
  </si>
  <si>
    <t>A10BB12</t>
  </si>
  <si>
    <t>J01CR02</t>
  </si>
  <si>
    <t>J01DC02</t>
  </si>
  <si>
    <t>M01AX17</t>
  </si>
  <si>
    <t>N05BA12</t>
  </si>
  <si>
    <t>N05CF02</t>
  </si>
  <si>
    <t>R06AE07</t>
  </si>
  <si>
    <t>R06AE09</t>
  </si>
  <si>
    <t>B01AC04</t>
  </si>
  <si>
    <t>C10AA05</t>
  </si>
  <si>
    <t>H03AA01</t>
  </si>
  <si>
    <t>A10BA02</t>
  </si>
  <si>
    <t>H02AB04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</si>
  <si>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</si>
  <si>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</si>
  <si>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</si>
  <si>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</si>
  <si>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</si>
  <si>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</si>
  <si>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</si>
  <si>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</si>
  <si>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</si>
  <si>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</si>
  <si>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</si>
  <si>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</si>
  <si>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</si>
  <si>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</si>
  <si>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</si>
  <si>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</si>
  <si>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ZB404</t>
  </si>
  <si>
    <t>Náplast cosmos 8 cm x 1 m 5403353</t>
  </si>
  <si>
    <t>ZA318</t>
  </si>
  <si>
    <t>Náplast transpore 1,25 cm x 9,14 m 1527-0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</si>
  <si>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</si>
  <si>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</si>
  <si>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</si>
  <si>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</si>
  <si>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</si>
  <si>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</si>
  <si>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</si>
  <si>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</si>
  <si>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ZB724</t>
  </si>
  <si>
    <t>Kapilára sedimentační kalibrovaná 727111</t>
  </si>
  <si>
    <t>ZO930</t>
  </si>
  <si>
    <t>Kontejner 100 ml PP 72/62 mm s přiloženým uzávěrem bílé víčko sterilní na tekutý materiál 75.562.105</t>
  </si>
  <si>
    <t>ZF159</t>
  </si>
  <si>
    <t>Nádoba na kontaminovaný odpad 1 l 15-0002</t>
  </si>
  <si>
    <t>ZL105</t>
  </si>
  <si>
    <t>Nástavec pro odběr moče ke zkumavce vacuete 450251</t>
  </si>
  <si>
    <t>ZG466</t>
  </si>
  <si>
    <t>Náústek papírový pro spirometr 26/24 flowscreen bal. á 100 ks 400847690</t>
  </si>
  <si>
    <t>ZJ673</t>
  </si>
  <si>
    <t>Pohár na moč 100 ml UH GAMA204808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</si>
  <si>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</si>
  <si>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</si>
  <si>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</si>
  <si>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</si>
  <si>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</si>
  <si>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</si>
  <si>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ZB761</t>
  </si>
  <si>
    <t>Zkumavka červená 4 ml 454092</t>
  </si>
  <si>
    <t>ZB777</t>
  </si>
  <si>
    <t>Zkumavka červená 4 ml gel 454071</t>
  </si>
  <si>
    <t>ZB759</t>
  </si>
  <si>
    <t>Zkumavka červená 8 ml gel 455071</t>
  </si>
  <si>
    <t>ZB775</t>
  </si>
  <si>
    <t>Zkumavka koagulace 4 ml modrá 454329</t>
  </si>
  <si>
    <t>ZI182</t>
  </si>
  <si>
    <t>Zkumavka močová + aplikátor s chem.stabilizátorem UriSwab žlutá 802CE.A</t>
  </si>
  <si>
    <t>ZB533</t>
  </si>
  <si>
    <t>Zkumavka na kovy 6 ml 456080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</si>
  <si>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</si>
  <si>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</si>
  <si>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</si>
  <si>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ZB776</t>
  </si>
  <si>
    <t>Zkumavka zelená 3 ml 454082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</si>
  <si>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</si>
  <si>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</si>
  <si>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</si>
  <si>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</si>
  <si>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</si>
  <si>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</si>
  <si>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</si>
  <si>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</si>
  <si>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</si>
  <si>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</si>
  <si>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</si>
  <si>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</si>
  <si>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</si>
  <si>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</si>
  <si>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</si>
  <si>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</si>
  <si>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Zkumavka + aplikátor s chem.stabilizátorem UriSwab žlutá 802CE.A</t>
  </si>
  <si>
    <t>ZB774</t>
  </si>
  <si>
    <t>Zkumavka červená 5 ml gel 456071</t>
  </si>
  <si>
    <t>ZG515</t>
  </si>
  <si>
    <t>Zkumavka močová vacuette 10,5 ml bal. á 50 ks 455007</t>
  </si>
  <si>
    <t>ZB773</t>
  </si>
  <si>
    <t>Zkumavka šedá-glykemie 454085</t>
  </si>
  <si>
    <t>Spotřeba zdravotnického materiálu - orientační přehled</t>
  </si>
  <si>
    <t>ON Data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</si>
  <si>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</si>
  <si>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</si>
  <si>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</si>
  <si>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</si>
  <si>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</si>
  <si>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</si>
  <si>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</si>
  <si>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</si>
  <si>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Adamus Milan</t>
  </si>
  <si>
    <t>Fialová Jarmila</t>
  </si>
  <si>
    <t>Křibská Michaela</t>
  </si>
  <si>
    <t>Radiměřský Karel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</si>
  <si>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</si>
  <si>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</si>
  <si>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</si>
  <si>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</si>
  <si>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</si>
  <si>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</si>
  <si>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</si>
  <si>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</si>
  <si>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</si>
  <si>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0007981</t>
  </si>
  <si>
    <t>0032087</t>
  </si>
  <si>
    <t>TRALGIT 100 INJ</t>
  </si>
  <si>
    <t>0058249</t>
  </si>
  <si>
    <t>GUAJACURAN 5%</t>
  </si>
  <si>
    <t>0089212</t>
  </si>
  <si>
    <t>INJECTIO PROCAINII CHLORATI 0,2% ARDEAPHARMA</t>
  </si>
  <si>
    <t>0107295</t>
  </si>
  <si>
    <t>0,9% SODIUM CHLORIDE IN WATER FOR INJECTION FRESEN</t>
  </si>
  <si>
    <t>0096886</t>
  </si>
  <si>
    <t>0207313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</si>
  <si>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</si>
  <si>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</si>
  <si>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</si>
  <si>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</si>
  <si>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</si>
  <si>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</si>
  <si>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</si>
  <si>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</si>
  <si>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</si>
  <si>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</si>
  <si>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</si>
  <si>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</si>
  <si>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</si>
  <si>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</si>
  <si>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</si>
  <si>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</si>
  <si>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</si>
  <si>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</si>
  <si>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</si>
  <si>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</si>
  <si>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</si>
  <si>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</si>
  <si>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</si>
  <si>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</si>
  <si>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</si>
  <si>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</si>
  <si>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</si>
  <si>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</si>
  <si>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</si>
  <si>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</si>
  <si>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</si>
  <si>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</si>
  <si>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</si>
  <si>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</si>
  <si>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</si>
  <si>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</si>
  <si>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</si>
  <si>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</si>
  <si>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</si>
  <si>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</si>
  <si>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</si>
  <si>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</si>
  <si>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</si>
  <si>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</si>
  <si>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</si>
  <si>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</si>
  <si>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</si>
  <si>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11</t>
  </si>
  <si>
    <t>902</t>
  </si>
  <si>
    <t>21115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</si>
  <si>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</si>
  <si>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</si>
  <si>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</si>
  <si>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</si>
  <si>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06 - Neurochirurgická klinika</t>
  </si>
  <si>
    <t>10 - Dětská klinika</t>
  </si>
  <si>
    <t>16 - Klinika plicních nemocí a tuberkulózy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</si>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</sst>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3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4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0" fontId="32" fillId="2" borderId="130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0" xfId="0" applyNumberFormat="1" applyFont="1" applyFill="1" applyBorder="1"/>
    <xf numFmtId="3" fontId="33" fillId="0" borderId="131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0" fontId="33" fillId="0" borderId="90" xfId="0" applyNumberFormat="1" applyFont="1" applyFill="1" applyBorder="1"/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40" fillId="2" borderId="129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0" xfId="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9" xfId="0" applyFont="1" applyFill="1" applyBorder="1"/>
    <xf numFmtId="0" fontId="33" fillId="5" borderId="10" xfId="0" applyFont="1" applyFill="1" applyBorder="1" applyAlignment="1">
      <alignment wrapText="1"/>
    </xf>
    <xf numFmtId="9" fontId="33" fillId="0" borderId="90" xfId="0" applyNumberFormat="1" applyFont="1" applyFill="1" applyBorder="1"/>
    <xf numFmtId="3" fontId="33" fillId="0" borderId="96" xfId="0" applyNumberFormat="1" applyFont="1" applyFill="1" applyBorder="1"/>
    <xf numFmtId="9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40" fillId="0" borderId="79" xfId="0" applyFont="1" applyFill="1" applyBorder="1"/>
    <xf numFmtId="0" fontId="40" fillId="0" borderId="112" xfId="0" applyFont="1" applyFill="1" applyBorder="1"/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1" xfId="0" applyNumberFormat="1" applyFont="1" applyFill="1" applyBorder="1"/>
    <xf numFmtId="9" fontId="33" fillId="0" borderId="91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32" xfId="0" applyFont="1" applyFill="1" applyBorder="1" applyAlignment="1">
      <alignment horizontal="left" indent="1"/>
    </xf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33" xfId="0" applyNumberFormat="1" applyFont="1" applyFill="1" applyBorder="1"/>
    <xf numFmtId="9" fontId="33" fillId="0" borderId="104" xfId="0" applyNumberFormat="1" applyFont="1" applyFill="1" applyBorder="1"/>
    <xf numFmtId="9" fontId="33" fillId="0" borderId="134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2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133" xfId="0" applyNumberFormat="1" applyFont="1" applyFill="1" applyBorder="1"/>
    <xf numFmtId="3" fontId="33" fillId="0" borderId="104" xfId="0" applyNumberFormat="1" applyFont="1" applyFill="1" applyBorder="1"/>
    <xf numFmtId="3" fontId="33" fillId="0" borderId="134" xfId="0" applyNumberFormat="1" applyFont="1" applyFill="1" applyBorder="1"/>
    <xf numFmtId="0" fontId="33" fillId="0" borderId="107" xfId="0" applyFont="1" applyFill="1" applyBorder="1"/>
    <xf numFmtId="0" fontId="33" fillId="0" borderId="132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40" fillId="2" borderId="54" xfId="0" applyFont="1" applyFill="1" applyBorder="1"/>
    <xf numFmtId="3" fontId="33" fillId="0" borderId="25" xfId="0" applyNumberFormat="1" applyFont="1" applyFill="1" applyBorder="1"/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9" fontId="33" fillId="0" borderId="146" xfId="0" applyNumberFormat="1" applyFont="1" applyFill="1" applyBorder="1"/>
    <xf numFmtId="3" fontId="33" fillId="0" borderId="147" xfId="0" applyNumberFormat="1" applyFont="1" applyFill="1" applyBorder="1"/>
    <xf numFmtId="0" fontId="40" fillId="0" borderId="24" xfId="0" applyFont="1" applyFill="1" applyBorder="1"/>
    <xf numFmtId="0" fontId="40" fillId="0" borderId="139" xfId="0" applyFont="1" applyFill="1" applyBorder="1"/>
    <xf numFmtId="0" fontId="40" fillId="0" borderId="145" xfId="0" applyFont="1" applyFill="1" applyBorder="1"/>
    <xf numFmtId="0" fontId="40" fillId="2" borderId="56" xfId="0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164" fontId="33" fillId="0" borderId="143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40" xfId="0" applyNumberFormat="1" applyBorder="1"/>
    <xf numFmtId="9" fontId="0" fillId="0" borderId="140" xfId="0" applyNumberFormat="1" applyBorder="1"/>
    <xf numFmtId="9" fontId="0" fillId="0" borderId="141" xfId="0" applyNumberFormat="1" applyBorder="1"/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0" fillId="0" borderId="139" xfId="0" applyFont="1" applyBorder="1" applyAlignment="1">
      <alignment horizontal="left" indent="1"/>
    </xf>
    <xf numFmtId="0" fontId="60" fillId="0" borderId="142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41" xfId="0" applyNumberFormat="1" applyFont="1" applyFill="1" applyBorder="1"/>
    <xf numFmtId="169" fontId="33" fillId="0" borderId="143" xfId="0" applyNumberFormat="1" applyFont="1" applyFill="1" applyBorder="1"/>
    <xf numFmtId="169" fontId="33" fillId="0" borderId="144" xfId="0" applyNumberFormat="1" applyFont="1" applyFill="1" applyBorder="1"/>
    <xf numFmtId="0" fontId="40" fillId="0" borderId="142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0.2441596027800913</c:v>
                </c:pt>
                <c:pt idx="1">
                  <c:v>0.24367469756957569</c:v>
                </c:pt>
                <c:pt idx="2">
                  <c:v>0.25401271990748109</c:v>
                </c:pt>
                <c:pt idx="3">
                  <c:v>0.25837229806041823</c:v>
                </c:pt>
                <c:pt idx="4">
                  <c:v>0.26897101603563162</c:v>
                </c:pt>
                <c:pt idx="5">
                  <c:v>0.26926570561426272</c:v>
                </c:pt>
                <c:pt idx="6">
                  <c:v>0.2437147158638634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54866224"/>
        <c:axId val="-15548656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0.22675637707966839</c:v>
                </c:pt>
                <c:pt idx="1">
                  <c:v>0.22675637707966839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15312"/>
        <c:axId val="-822318576"/>
      </c:scatterChart>
      <c:catAx>
        <c:axId val="-155486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55486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54865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54866224"/>
        <c:crosses val="autoZero"/>
        <c:crossBetween val="between"/>
      </c:valAx>
      <c:valAx>
        <c:axId val="-8223153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18576"/>
        <c:crosses val="max"/>
        <c:crossBetween val="midCat"/>
      </c:valAx>
      <c:valAx>
        <c:axId val="-822318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153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43" t="s">
        <v>108</v>
      </c>
      <c r="B1" s="343"/>
    </row>
    <row r="2" spans="1:3" ht="14.4" customHeight="1" thickBot="1" x14ac:dyDescent="0.35">
      <c r="A2" s="235" t="s">
        <v>259</v>
      </c>
      <c r="B2" s="46"/>
    </row>
    <row r="3" spans="1:3" ht="14.4" customHeight="1" thickBot="1" x14ac:dyDescent="0.35">
      <c r="A3" s="339" t="s">
        <v>141</v>
      </c>
      <c r="B3" s="340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261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41" t="s">
        <v>109</v>
      </c>
      <c r="B10" s="340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6" t="str">
        <f t="shared" si="2"/>
        <v>LŽ PL</v>
      </c>
      <c r="B13" s="511" t="s">
        <v>165</v>
      </c>
      <c r="C13" s="47" t="s">
        <v>145</v>
      </c>
    </row>
    <row r="14" spans="1:3" ht="14.4" customHeight="1" x14ac:dyDescent="0.3">
      <c r="A14" s="146" t="str">
        <f t="shared" si="2"/>
        <v>LŽ PL Detail</v>
      </c>
      <c r="B14" s="90" t="s">
        <v>506</v>
      </c>
      <c r="C14" s="47" t="s">
        <v>147</v>
      </c>
    </row>
    <row r="15" spans="1:3" ht="14.4" customHeight="1" x14ac:dyDescent="0.3">
      <c r="A15" s="146" t="str">
        <f t="shared" si="2"/>
        <v>LŽ Statim</v>
      </c>
      <c r="B15" s="295" t="s">
        <v>206</v>
      </c>
      <c r="C15" s="47" t="s">
        <v>216</v>
      </c>
    </row>
    <row r="16" spans="1:3" ht="14.4" customHeight="1" x14ac:dyDescent="0.3">
      <c r="A16" s="146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6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6" t="str">
        <f t="shared" si="2"/>
        <v>LRp Detail</v>
      </c>
      <c r="B18" s="90" t="s">
        <v>710</v>
      </c>
      <c r="C18" s="47" t="s">
        <v>117</v>
      </c>
    </row>
    <row r="19" spans="1:3" ht="28.8" customHeight="1" x14ac:dyDescent="0.3">
      <c r="A19" s="146" t="str">
        <f t="shared" si="2"/>
        <v>LRp PL</v>
      </c>
      <c r="B19" s="511" t="s">
        <v>711</v>
      </c>
      <c r="C19" s="47" t="s">
        <v>146</v>
      </c>
    </row>
    <row r="20" spans="1:3" ht="14.4" customHeight="1" x14ac:dyDescent="0.3">
      <c r="A20" s="146" t="str">
        <f>HYPERLINK("#'"&amp;C20&amp;"'!A1",C20)</f>
        <v>LRp PL Detail</v>
      </c>
      <c r="B20" s="90" t="s">
        <v>738</v>
      </c>
      <c r="C20" s="47" t="s">
        <v>148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6" t="str">
        <f t="shared" si="2"/>
        <v>MŽ Detail</v>
      </c>
      <c r="B22" s="90" t="s">
        <v>824</v>
      </c>
      <c r="C22" s="47" t="s">
        <v>119</v>
      </c>
    </row>
    <row r="23" spans="1:3" ht="14.4" customHeight="1" thickBot="1" x14ac:dyDescent="0.35">
      <c r="A23" s="148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42" t="s">
        <v>110</v>
      </c>
      <c r="B25" s="340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829</v>
      </c>
      <c r="C26" s="47" t="s">
        <v>123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838</v>
      </c>
      <c r="C27" s="47" t="s">
        <v>219</v>
      </c>
    </row>
    <row r="28" spans="1:3" ht="14.4" customHeight="1" x14ac:dyDescent="0.3">
      <c r="A28" s="146" t="str">
        <f t="shared" si="4"/>
        <v>ZV Vykáz.-A Detail</v>
      </c>
      <c r="B28" s="90" t="s">
        <v>909</v>
      </c>
      <c r="C28" s="47" t="s">
        <v>124</v>
      </c>
    </row>
    <row r="29" spans="1:3" ht="14.4" customHeight="1" x14ac:dyDescent="0.3">
      <c r="A29" s="309" t="str">
        <f>HYPERLINK("#'"&amp;C29&amp;"'!A1",C29)</f>
        <v>ZV Vykáz.-A Det.Lék.</v>
      </c>
      <c r="B29" s="90" t="s">
        <v>910</v>
      </c>
      <c r="C29" s="47" t="s">
        <v>248</v>
      </c>
    </row>
    <row r="30" spans="1:3" ht="14.4" customHeight="1" x14ac:dyDescent="0.3">
      <c r="A30" s="146" t="str">
        <f t="shared" si="4"/>
        <v>ZV Vykáz.-H</v>
      </c>
      <c r="B30" s="90" t="s">
        <v>127</v>
      </c>
      <c r="C30" s="47" t="s">
        <v>125</v>
      </c>
    </row>
    <row r="31" spans="1:3" ht="14.4" customHeight="1" x14ac:dyDescent="0.3">
      <c r="A31" s="146" t="str">
        <f t="shared" si="4"/>
        <v>ZV Vykáz.-H Detail</v>
      </c>
      <c r="B31" s="90" t="s">
        <v>918</v>
      </c>
      <c r="C31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82" t="s">
        <v>506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43"/>
      <c r="M1" s="343"/>
    </row>
    <row r="2" spans="1:13" ht="14.4" customHeight="1" thickBot="1" x14ac:dyDescent="0.35">
      <c r="A2" s="235" t="s">
        <v>259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14</v>
      </c>
      <c r="J3" s="43">
        <f>SUBTOTAL(9,J6:J1048576)</f>
        <v>758.41000000000008</v>
      </c>
      <c r="K3" s="44">
        <f>IF(M3=0,0,J3/M3)</f>
        <v>1</v>
      </c>
      <c r="L3" s="43">
        <f>SUBTOTAL(9,L6:L1048576)</f>
        <v>14</v>
      </c>
      <c r="M3" s="45">
        <f>SUBTOTAL(9,M6:M1048576)</f>
        <v>758.41000000000008</v>
      </c>
    </row>
    <row r="4" spans="1:13" ht="14.4" customHeight="1" thickBot="1" x14ac:dyDescent="0.35">
      <c r="A4" s="41"/>
      <c r="B4" s="41"/>
      <c r="C4" s="41"/>
      <c r="D4" s="41"/>
      <c r="E4" s="42"/>
      <c r="F4" s="386" t="s">
        <v>130</v>
      </c>
      <c r="G4" s="387"/>
      <c r="H4" s="388"/>
      <c r="I4" s="389" t="s">
        <v>129</v>
      </c>
      <c r="J4" s="387"/>
      <c r="K4" s="388"/>
      <c r="L4" s="390" t="s">
        <v>3</v>
      </c>
      <c r="M4" s="391"/>
    </row>
    <row r="5" spans="1:13" ht="14.4" customHeight="1" thickBot="1" x14ac:dyDescent="0.35">
      <c r="A5" s="499" t="s">
        <v>131</v>
      </c>
      <c r="B5" s="518" t="s">
        <v>132</v>
      </c>
      <c r="C5" s="518" t="s">
        <v>71</v>
      </c>
      <c r="D5" s="518" t="s">
        <v>133</v>
      </c>
      <c r="E5" s="518" t="s">
        <v>134</v>
      </c>
      <c r="F5" s="519" t="s">
        <v>28</v>
      </c>
      <c r="G5" s="519" t="s">
        <v>14</v>
      </c>
      <c r="H5" s="501" t="s">
        <v>135</v>
      </c>
      <c r="I5" s="500" t="s">
        <v>28</v>
      </c>
      <c r="J5" s="519" t="s">
        <v>14</v>
      </c>
      <c r="K5" s="501" t="s">
        <v>135</v>
      </c>
      <c r="L5" s="500" t="s">
        <v>28</v>
      </c>
      <c r="M5" s="520" t="s">
        <v>14</v>
      </c>
    </row>
    <row r="6" spans="1:13" ht="14.4" customHeight="1" x14ac:dyDescent="0.3">
      <c r="A6" s="478" t="s">
        <v>424</v>
      </c>
      <c r="B6" s="479" t="s">
        <v>499</v>
      </c>
      <c r="C6" s="479" t="s">
        <v>500</v>
      </c>
      <c r="D6" s="479" t="s">
        <v>501</v>
      </c>
      <c r="E6" s="479" t="s">
        <v>502</v>
      </c>
      <c r="F6" s="483"/>
      <c r="G6" s="483"/>
      <c r="H6" s="504">
        <v>0</v>
      </c>
      <c r="I6" s="483">
        <v>13</v>
      </c>
      <c r="J6" s="483">
        <v>708.24</v>
      </c>
      <c r="K6" s="504">
        <v>1</v>
      </c>
      <c r="L6" s="483">
        <v>13</v>
      </c>
      <c r="M6" s="484">
        <v>708.24</v>
      </c>
    </row>
    <row r="7" spans="1:13" ht="14.4" customHeight="1" thickBot="1" x14ac:dyDescent="0.35">
      <c r="A7" s="492" t="s">
        <v>424</v>
      </c>
      <c r="B7" s="493" t="s">
        <v>503</v>
      </c>
      <c r="C7" s="493" t="s">
        <v>504</v>
      </c>
      <c r="D7" s="493" t="s">
        <v>464</v>
      </c>
      <c r="E7" s="493" t="s">
        <v>505</v>
      </c>
      <c r="F7" s="497"/>
      <c r="G7" s="497"/>
      <c r="H7" s="505">
        <v>0</v>
      </c>
      <c r="I7" s="497">
        <v>1</v>
      </c>
      <c r="J7" s="497">
        <v>50.170000000000051</v>
      </c>
      <c r="K7" s="505">
        <v>1</v>
      </c>
      <c r="L7" s="497">
        <v>1</v>
      </c>
      <c r="M7" s="498">
        <v>50.170000000000051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82" t="s">
        <v>206</v>
      </c>
      <c r="B1" s="382"/>
      <c r="C1" s="382"/>
      <c r="D1" s="382"/>
      <c r="E1" s="382"/>
      <c r="F1" s="344"/>
      <c r="G1" s="344"/>
      <c r="H1" s="344"/>
      <c r="I1" s="344"/>
      <c r="J1" s="375"/>
      <c r="K1" s="375"/>
      <c r="L1" s="375"/>
      <c r="M1" s="375"/>
      <c r="N1" s="375"/>
      <c r="O1" s="375"/>
      <c r="P1" s="375"/>
      <c r="Q1" s="375"/>
    </row>
    <row r="2" spans="1:17" ht="14.4" customHeight="1" thickBot="1" x14ac:dyDescent="0.35">
      <c r="A2" s="235" t="s">
        <v>259</v>
      </c>
      <c r="B2" s="214"/>
      <c r="C2" s="214"/>
      <c r="D2" s="214"/>
      <c r="E2" s="214"/>
    </row>
    <row r="3" spans="1:17" ht="14.4" customHeight="1" thickBot="1" x14ac:dyDescent="0.35">
      <c r="A3" s="288" t="s">
        <v>3</v>
      </c>
      <c r="B3" s="292">
        <f>SUM(B6:B1048576)</f>
        <v>195</v>
      </c>
      <c r="C3" s="293">
        <f>SUM(C6:C1048576)</f>
        <v>0</v>
      </c>
      <c r="D3" s="293">
        <f>SUM(D6:D1048576)</f>
        <v>0</v>
      </c>
      <c r="E3" s="294">
        <f>SUM(E6:E1048576)</f>
        <v>0</v>
      </c>
      <c r="F3" s="291">
        <f>IF(SUM($B3:$E3)=0,"",B3/SUM($B3:$E3))</f>
        <v>1</v>
      </c>
      <c r="G3" s="289">
        <f t="shared" ref="G3:I3" si="0">IF(SUM($B3:$E3)=0,"",C3/SUM($B3:$E3))</f>
        <v>0</v>
      </c>
      <c r="H3" s="289">
        <f t="shared" si="0"/>
        <v>0</v>
      </c>
      <c r="I3" s="290">
        <f t="shared" si="0"/>
        <v>0</v>
      </c>
      <c r="J3" s="293">
        <f>SUM(J6:J1048576)</f>
        <v>81</v>
      </c>
      <c r="K3" s="293">
        <f>SUM(K6:K1048576)</f>
        <v>0</v>
      </c>
      <c r="L3" s="293">
        <f>SUM(L6:L1048576)</f>
        <v>0</v>
      </c>
      <c r="M3" s="294">
        <f>SUM(M6:M1048576)</f>
        <v>0</v>
      </c>
      <c r="N3" s="291">
        <f>IF(SUM($J3:$M3)=0,"",J3/SUM($J3:$M3))</f>
        <v>1</v>
      </c>
      <c r="O3" s="289">
        <f t="shared" ref="O3:Q3" si="1">IF(SUM($J3:$M3)=0,"",K3/SUM($J3:$M3))</f>
        <v>0</v>
      </c>
      <c r="P3" s="289">
        <f t="shared" si="1"/>
        <v>0</v>
      </c>
      <c r="Q3" s="290">
        <f t="shared" si="1"/>
        <v>0</v>
      </c>
    </row>
    <row r="4" spans="1:17" ht="14.4" customHeight="1" thickBot="1" x14ac:dyDescent="0.35">
      <c r="A4" s="287"/>
      <c r="B4" s="395" t="s">
        <v>208</v>
      </c>
      <c r="C4" s="396"/>
      <c r="D4" s="396"/>
      <c r="E4" s="397"/>
      <c r="F4" s="392" t="s">
        <v>213</v>
      </c>
      <c r="G4" s="393"/>
      <c r="H4" s="393"/>
      <c r="I4" s="394"/>
      <c r="J4" s="395" t="s">
        <v>214</v>
      </c>
      <c r="K4" s="396"/>
      <c r="L4" s="396"/>
      <c r="M4" s="397"/>
      <c r="N4" s="392" t="s">
        <v>215</v>
      </c>
      <c r="O4" s="393"/>
      <c r="P4" s="393"/>
      <c r="Q4" s="394"/>
    </row>
    <row r="5" spans="1:17" ht="14.4" customHeight="1" thickBot="1" x14ac:dyDescent="0.35">
      <c r="A5" s="521" t="s">
        <v>207</v>
      </c>
      <c r="B5" s="522" t="s">
        <v>209</v>
      </c>
      <c r="C5" s="522" t="s">
        <v>210</v>
      </c>
      <c r="D5" s="522" t="s">
        <v>211</v>
      </c>
      <c r="E5" s="523" t="s">
        <v>212</v>
      </c>
      <c r="F5" s="524" t="s">
        <v>209</v>
      </c>
      <c r="G5" s="525" t="s">
        <v>210</v>
      </c>
      <c r="H5" s="525" t="s">
        <v>211</v>
      </c>
      <c r="I5" s="526" t="s">
        <v>212</v>
      </c>
      <c r="J5" s="522" t="s">
        <v>209</v>
      </c>
      <c r="K5" s="522" t="s">
        <v>210</v>
      </c>
      <c r="L5" s="522" t="s">
        <v>211</v>
      </c>
      <c r="M5" s="523" t="s">
        <v>212</v>
      </c>
      <c r="N5" s="524" t="s">
        <v>209</v>
      </c>
      <c r="O5" s="525" t="s">
        <v>210</v>
      </c>
      <c r="P5" s="525" t="s">
        <v>211</v>
      </c>
      <c r="Q5" s="526" t="s">
        <v>212</v>
      </c>
    </row>
    <row r="6" spans="1:17" ht="14.4" customHeight="1" x14ac:dyDescent="0.3">
      <c r="A6" s="530" t="s">
        <v>507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" customHeight="1" x14ac:dyDescent="0.3">
      <c r="A7" s="531" t="s">
        <v>508</v>
      </c>
      <c r="B7" s="537">
        <v>117</v>
      </c>
      <c r="C7" s="490"/>
      <c r="D7" s="490"/>
      <c r="E7" s="491"/>
      <c r="F7" s="534">
        <v>1</v>
      </c>
      <c r="G7" s="512">
        <v>0</v>
      </c>
      <c r="H7" s="512">
        <v>0</v>
      </c>
      <c r="I7" s="540">
        <v>0</v>
      </c>
      <c r="J7" s="537">
        <v>52</v>
      </c>
      <c r="K7" s="490"/>
      <c r="L7" s="490"/>
      <c r="M7" s="491"/>
      <c r="N7" s="534">
        <v>1</v>
      </c>
      <c r="O7" s="512">
        <v>0</v>
      </c>
      <c r="P7" s="512">
        <v>0</v>
      </c>
      <c r="Q7" s="528">
        <v>0</v>
      </c>
    </row>
    <row r="8" spans="1:17" ht="14.4" customHeight="1" thickBot="1" x14ac:dyDescent="0.35">
      <c r="A8" s="532" t="s">
        <v>509</v>
      </c>
      <c r="B8" s="538">
        <v>78</v>
      </c>
      <c r="C8" s="497"/>
      <c r="D8" s="497"/>
      <c r="E8" s="498"/>
      <c r="F8" s="535">
        <v>1</v>
      </c>
      <c r="G8" s="505">
        <v>0</v>
      </c>
      <c r="H8" s="505">
        <v>0</v>
      </c>
      <c r="I8" s="541">
        <v>0</v>
      </c>
      <c r="J8" s="538">
        <v>29</v>
      </c>
      <c r="K8" s="497"/>
      <c r="L8" s="497"/>
      <c r="M8" s="498"/>
      <c r="N8" s="535">
        <v>1</v>
      </c>
      <c r="O8" s="505">
        <v>0</v>
      </c>
      <c r="P8" s="505">
        <v>0</v>
      </c>
      <c r="Q8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82" t="s">
        <v>139</v>
      </c>
      <c r="B1" s="382"/>
      <c r="C1" s="382"/>
      <c r="D1" s="382"/>
      <c r="E1" s="382"/>
      <c r="F1" s="382"/>
      <c r="G1" s="382"/>
      <c r="H1" s="382"/>
      <c r="I1" s="344"/>
      <c r="J1" s="344"/>
      <c r="K1" s="344"/>
      <c r="L1" s="344"/>
    </row>
    <row r="2" spans="1:14" ht="14.4" customHeight="1" thickBot="1" x14ac:dyDescent="0.35">
      <c r="A2" s="235" t="s">
        <v>259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99" t="s">
        <v>15</v>
      </c>
      <c r="D3" s="398"/>
      <c r="E3" s="398" t="s">
        <v>16</v>
      </c>
      <c r="F3" s="398"/>
      <c r="G3" s="398"/>
      <c r="H3" s="398"/>
      <c r="I3" s="398" t="s">
        <v>149</v>
      </c>
      <c r="J3" s="398"/>
      <c r="K3" s="398"/>
      <c r="L3" s="40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5">
        <v>19</v>
      </c>
      <c r="B5" s="466" t="s">
        <v>510</v>
      </c>
      <c r="C5" s="469">
        <v>23304.259999999984</v>
      </c>
      <c r="D5" s="469">
        <v>205</v>
      </c>
      <c r="E5" s="469">
        <v>17951.259999999984</v>
      </c>
      <c r="F5" s="542">
        <v>0.77029950747202425</v>
      </c>
      <c r="G5" s="469">
        <v>167</v>
      </c>
      <c r="H5" s="542">
        <v>0.81463414634146336</v>
      </c>
      <c r="I5" s="469">
        <v>5353.0000000000009</v>
      </c>
      <c r="J5" s="542">
        <v>0.22970049252797578</v>
      </c>
      <c r="K5" s="469">
        <v>38</v>
      </c>
      <c r="L5" s="542">
        <v>0.18536585365853658</v>
      </c>
      <c r="M5" s="469" t="s">
        <v>69</v>
      </c>
      <c r="N5" s="150"/>
    </row>
    <row r="6" spans="1:14" ht="14.4" customHeight="1" x14ac:dyDescent="0.3">
      <c r="A6" s="465">
        <v>19</v>
      </c>
      <c r="B6" s="466" t="s">
        <v>511</v>
      </c>
      <c r="C6" s="469">
        <v>23304.259999999984</v>
      </c>
      <c r="D6" s="469">
        <v>205</v>
      </c>
      <c r="E6" s="469">
        <v>17951.259999999984</v>
      </c>
      <c r="F6" s="542">
        <v>0.77029950747202425</v>
      </c>
      <c r="G6" s="469">
        <v>167</v>
      </c>
      <c r="H6" s="542">
        <v>0.81463414634146336</v>
      </c>
      <c r="I6" s="469">
        <v>5353.0000000000009</v>
      </c>
      <c r="J6" s="542">
        <v>0.22970049252797578</v>
      </c>
      <c r="K6" s="469">
        <v>38</v>
      </c>
      <c r="L6" s="542">
        <v>0.18536585365853658</v>
      </c>
      <c r="M6" s="469" t="s">
        <v>1</v>
      </c>
      <c r="N6" s="150"/>
    </row>
    <row r="7" spans="1:14" ht="14.4" customHeight="1" x14ac:dyDescent="0.3">
      <c r="A7" s="465" t="s">
        <v>418</v>
      </c>
      <c r="B7" s="466" t="s">
        <v>3</v>
      </c>
      <c r="C7" s="469">
        <v>23304.259999999984</v>
      </c>
      <c r="D7" s="469">
        <v>205</v>
      </c>
      <c r="E7" s="469">
        <v>17951.259999999984</v>
      </c>
      <c r="F7" s="542">
        <v>0.77029950747202425</v>
      </c>
      <c r="G7" s="469">
        <v>167</v>
      </c>
      <c r="H7" s="542">
        <v>0.81463414634146336</v>
      </c>
      <c r="I7" s="469">
        <v>5353.0000000000009</v>
      </c>
      <c r="J7" s="542">
        <v>0.22970049252797578</v>
      </c>
      <c r="K7" s="469">
        <v>38</v>
      </c>
      <c r="L7" s="542">
        <v>0.18536585365853658</v>
      </c>
      <c r="M7" s="469" t="s">
        <v>423</v>
      </c>
      <c r="N7" s="150"/>
    </row>
    <row r="9" spans="1:14" ht="14.4" customHeight="1" x14ac:dyDescent="0.3">
      <c r="A9" s="465">
        <v>19</v>
      </c>
      <c r="B9" s="466" t="s">
        <v>510</v>
      </c>
      <c r="C9" s="469" t="s">
        <v>420</v>
      </c>
      <c r="D9" s="469" t="s">
        <v>420</v>
      </c>
      <c r="E9" s="469" t="s">
        <v>420</v>
      </c>
      <c r="F9" s="542" t="s">
        <v>420</v>
      </c>
      <c r="G9" s="469" t="s">
        <v>420</v>
      </c>
      <c r="H9" s="542" t="s">
        <v>420</v>
      </c>
      <c r="I9" s="469" t="s">
        <v>420</v>
      </c>
      <c r="J9" s="542" t="s">
        <v>420</v>
      </c>
      <c r="K9" s="469" t="s">
        <v>420</v>
      </c>
      <c r="L9" s="542" t="s">
        <v>420</v>
      </c>
      <c r="M9" s="469" t="s">
        <v>69</v>
      </c>
      <c r="N9" s="150"/>
    </row>
    <row r="10" spans="1:14" ht="14.4" customHeight="1" x14ac:dyDescent="0.3">
      <c r="A10" s="465" t="s">
        <v>512</v>
      </c>
      <c r="B10" s="466" t="s">
        <v>511</v>
      </c>
      <c r="C10" s="469">
        <v>23304.259999999984</v>
      </c>
      <c r="D10" s="469">
        <v>205</v>
      </c>
      <c r="E10" s="469">
        <v>17951.259999999984</v>
      </c>
      <c r="F10" s="542">
        <v>0.77029950747202425</v>
      </c>
      <c r="G10" s="469">
        <v>167</v>
      </c>
      <c r="H10" s="542">
        <v>0.81463414634146336</v>
      </c>
      <c r="I10" s="469">
        <v>5353.0000000000009</v>
      </c>
      <c r="J10" s="542">
        <v>0.22970049252797578</v>
      </c>
      <c r="K10" s="469">
        <v>38</v>
      </c>
      <c r="L10" s="542">
        <v>0.18536585365853658</v>
      </c>
      <c r="M10" s="469" t="s">
        <v>1</v>
      </c>
      <c r="N10" s="150"/>
    </row>
    <row r="11" spans="1:14" ht="14.4" customHeight="1" x14ac:dyDescent="0.3">
      <c r="A11" s="465" t="s">
        <v>512</v>
      </c>
      <c r="B11" s="466" t="s">
        <v>513</v>
      </c>
      <c r="C11" s="469">
        <v>23304.259999999984</v>
      </c>
      <c r="D11" s="469">
        <v>205</v>
      </c>
      <c r="E11" s="469">
        <v>17951.259999999984</v>
      </c>
      <c r="F11" s="542">
        <v>0.77029950747202425</v>
      </c>
      <c r="G11" s="469">
        <v>167</v>
      </c>
      <c r="H11" s="542">
        <v>0.81463414634146336</v>
      </c>
      <c r="I11" s="469">
        <v>5353.0000000000009</v>
      </c>
      <c r="J11" s="542">
        <v>0.22970049252797578</v>
      </c>
      <c r="K11" s="469">
        <v>38</v>
      </c>
      <c r="L11" s="542">
        <v>0.18536585365853658</v>
      </c>
      <c r="M11" s="469" t="s">
        <v>427</v>
      </c>
      <c r="N11" s="150"/>
    </row>
    <row r="12" spans="1:14" ht="14.4" customHeight="1" x14ac:dyDescent="0.3">
      <c r="A12" s="465" t="s">
        <v>420</v>
      </c>
      <c r="B12" s="466" t="s">
        <v>420</v>
      </c>
      <c r="C12" s="469" t="s">
        <v>420</v>
      </c>
      <c r="D12" s="469" t="s">
        <v>420</v>
      </c>
      <c r="E12" s="469" t="s">
        <v>420</v>
      </c>
      <c r="F12" s="542" t="s">
        <v>420</v>
      </c>
      <c r="G12" s="469" t="s">
        <v>420</v>
      </c>
      <c r="H12" s="542" t="s">
        <v>420</v>
      </c>
      <c r="I12" s="469" t="s">
        <v>420</v>
      </c>
      <c r="J12" s="542" t="s">
        <v>420</v>
      </c>
      <c r="K12" s="469" t="s">
        <v>420</v>
      </c>
      <c r="L12" s="542" t="s">
        <v>420</v>
      </c>
      <c r="M12" s="469" t="s">
        <v>428</v>
      </c>
      <c r="N12" s="150"/>
    </row>
    <row r="13" spans="1:14" ht="14.4" customHeight="1" x14ac:dyDescent="0.3">
      <c r="A13" s="465" t="s">
        <v>418</v>
      </c>
      <c r="B13" s="466" t="s">
        <v>514</v>
      </c>
      <c r="C13" s="469">
        <v>23304.259999999984</v>
      </c>
      <c r="D13" s="469">
        <v>205</v>
      </c>
      <c r="E13" s="469">
        <v>17951.259999999984</v>
      </c>
      <c r="F13" s="542">
        <v>0.77029950747202425</v>
      </c>
      <c r="G13" s="469">
        <v>167</v>
      </c>
      <c r="H13" s="542">
        <v>0.81463414634146336</v>
      </c>
      <c r="I13" s="469">
        <v>5353.0000000000009</v>
      </c>
      <c r="J13" s="542">
        <v>0.22970049252797578</v>
      </c>
      <c r="K13" s="469">
        <v>38</v>
      </c>
      <c r="L13" s="542">
        <v>0.18536585365853658</v>
      </c>
      <c r="M13" s="469" t="s">
        <v>423</v>
      </c>
      <c r="N13" s="150"/>
    </row>
    <row r="14" spans="1:14" ht="14.4" customHeight="1" x14ac:dyDescent="0.3">
      <c r="A14" s="543" t="s">
        <v>515</v>
      </c>
    </row>
    <row r="15" spans="1:14" ht="14.4" customHeight="1" x14ac:dyDescent="0.3">
      <c r="A15" s="544" t="s">
        <v>516</v>
      </c>
    </row>
    <row r="16" spans="1:14" ht="14.4" customHeight="1" x14ac:dyDescent="0.3">
      <c r="A16" s="543" t="s">
        <v>517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1" priority="15" stopIfTrue="1" operator="lessThan">
      <formula>0.6</formula>
    </cfRule>
  </conditionalFormatting>
  <conditionalFormatting sqref="B5:B7">
    <cfRule type="expression" dxfId="40" priority="10">
      <formula>AND(LEFT(M5,6)&lt;&gt;"mezera",M5&lt;&gt;"")</formula>
    </cfRule>
  </conditionalFormatting>
  <conditionalFormatting sqref="A5:A7">
    <cfRule type="expression" dxfId="39" priority="8">
      <formula>AND(M5&lt;&gt;"",M5&lt;&gt;"mezeraKL")</formula>
    </cfRule>
  </conditionalFormatting>
  <conditionalFormatting sqref="F5:F7">
    <cfRule type="cellIs" dxfId="38" priority="7" operator="lessThan">
      <formula>0.6</formula>
    </cfRule>
  </conditionalFormatting>
  <conditionalFormatting sqref="B5:L7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7">
    <cfRule type="expression" dxfId="35" priority="12">
      <formula>$M5&lt;&gt;""</formula>
    </cfRule>
  </conditionalFormatting>
  <conditionalFormatting sqref="B9:B13">
    <cfRule type="expression" dxfId="34" priority="4">
      <formula>AND(LEFT(M9,6)&lt;&gt;"mezera",M9&lt;&gt;"")</formula>
    </cfRule>
  </conditionalFormatting>
  <conditionalFormatting sqref="A9:A13">
    <cfRule type="expression" dxfId="33" priority="2">
      <formula>AND(M9&lt;&gt;"",M9&lt;&gt;"mezeraKL")</formula>
    </cfRule>
  </conditionalFormatting>
  <conditionalFormatting sqref="F9:F13">
    <cfRule type="cellIs" dxfId="32" priority="1" operator="lessThan">
      <formula>0.6</formula>
    </cfRule>
  </conditionalFormatting>
  <conditionalFormatting sqref="B9:L13">
    <cfRule type="expression" dxfId="31" priority="3">
      <formula>OR($M9="KL",$M9="SumaKL")</formula>
    </cfRule>
    <cfRule type="expression" dxfId="30" priority="5">
      <formula>$M9="SumaNS"</formula>
    </cfRule>
  </conditionalFormatting>
  <conditionalFormatting sqref="A9:L13">
    <cfRule type="expression" dxfId="2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82" t="s">
        <v>150</v>
      </c>
      <c r="B1" s="382"/>
      <c r="C1" s="382"/>
      <c r="D1" s="382"/>
      <c r="E1" s="382"/>
      <c r="F1" s="382"/>
      <c r="G1" s="382"/>
      <c r="H1" s="382"/>
      <c r="I1" s="382"/>
      <c r="J1" s="344"/>
      <c r="K1" s="344"/>
      <c r="L1" s="344"/>
      <c r="M1" s="344"/>
    </row>
    <row r="2" spans="1:13" ht="14.4" customHeight="1" thickBot="1" x14ac:dyDescent="0.35">
      <c r="A2" s="235" t="s">
        <v>259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99" t="s">
        <v>15</v>
      </c>
      <c r="C3" s="401"/>
      <c r="D3" s="398"/>
      <c r="E3" s="142"/>
      <c r="F3" s="398" t="s">
        <v>16</v>
      </c>
      <c r="G3" s="398"/>
      <c r="H3" s="398"/>
      <c r="I3" s="398"/>
      <c r="J3" s="398" t="s">
        <v>149</v>
      </c>
      <c r="K3" s="398"/>
      <c r="L3" s="398"/>
      <c r="M3" s="400"/>
    </row>
    <row r="4" spans="1:13" ht="14.4" customHeight="1" thickBot="1" x14ac:dyDescent="0.35">
      <c r="A4" s="521" t="s">
        <v>136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" customHeight="1" x14ac:dyDescent="0.3">
      <c r="A5" s="545" t="s">
        <v>518</v>
      </c>
      <c r="B5" s="536">
        <v>12553.109999999986</v>
      </c>
      <c r="C5" s="479">
        <v>1</v>
      </c>
      <c r="D5" s="549">
        <v>132</v>
      </c>
      <c r="E5" s="552" t="s">
        <v>518</v>
      </c>
      <c r="F5" s="536">
        <v>10955.589999999986</v>
      </c>
      <c r="G5" s="504">
        <v>0.87273910608606131</v>
      </c>
      <c r="H5" s="483">
        <v>113</v>
      </c>
      <c r="I5" s="527">
        <v>0.85606060606060608</v>
      </c>
      <c r="J5" s="555">
        <v>1597.5200000000002</v>
      </c>
      <c r="K5" s="504">
        <v>0.12726089391393861</v>
      </c>
      <c r="L5" s="483">
        <v>19</v>
      </c>
      <c r="M5" s="527">
        <v>0.14393939393939395</v>
      </c>
    </row>
    <row r="6" spans="1:13" ht="14.4" customHeight="1" x14ac:dyDescent="0.3">
      <c r="A6" s="546" t="s">
        <v>519</v>
      </c>
      <c r="B6" s="537">
        <v>2704.5200000000004</v>
      </c>
      <c r="C6" s="486">
        <v>1</v>
      </c>
      <c r="D6" s="550">
        <v>25</v>
      </c>
      <c r="E6" s="553" t="s">
        <v>519</v>
      </c>
      <c r="F6" s="537">
        <v>1976.7400000000002</v>
      </c>
      <c r="G6" s="512">
        <v>0.73090234126573284</v>
      </c>
      <c r="H6" s="490">
        <v>17</v>
      </c>
      <c r="I6" s="528">
        <v>0.68</v>
      </c>
      <c r="J6" s="556">
        <v>727.78</v>
      </c>
      <c r="K6" s="512">
        <v>0.269097658734267</v>
      </c>
      <c r="L6" s="490">
        <v>8</v>
      </c>
      <c r="M6" s="528">
        <v>0.32</v>
      </c>
    </row>
    <row r="7" spans="1:13" ht="14.4" customHeight="1" x14ac:dyDescent="0.3">
      <c r="A7" s="546" t="s">
        <v>520</v>
      </c>
      <c r="B7" s="537">
        <v>3461.1400000000003</v>
      </c>
      <c r="C7" s="486">
        <v>1</v>
      </c>
      <c r="D7" s="550">
        <v>18</v>
      </c>
      <c r="E7" s="553" t="s">
        <v>520</v>
      </c>
      <c r="F7" s="537">
        <v>2922.26</v>
      </c>
      <c r="G7" s="512">
        <v>0.84430563340402298</v>
      </c>
      <c r="H7" s="490">
        <v>12</v>
      </c>
      <c r="I7" s="528">
        <v>0.66666666666666663</v>
      </c>
      <c r="J7" s="556">
        <v>538.88</v>
      </c>
      <c r="K7" s="512">
        <v>0.15569436659597702</v>
      </c>
      <c r="L7" s="490">
        <v>6</v>
      </c>
      <c r="M7" s="528">
        <v>0.33333333333333331</v>
      </c>
    </row>
    <row r="8" spans="1:13" ht="14.4" customHeight="1" x14ac:dyDescent="0.3">
      <c r="A8" s="546" t="s">
        <v>521</v>
      </c>
      <c r="B8" s="537">
        <v>3142.5099999999998</v>
      </c>
      <c r="C8" s="486">
        <v>1</v>
      </c>
      <c r="D8" s="550">
        <v>11</v>
      </c>
      <c r="E8" s="553" t="s">
        <v>521</v>
      </c>
      <c r="F8" s="537">
        <v>653.68999999999994</v>
      </c>
      <c r="G8" s="512">
        <v>0.2080152489570439</v>
      </c>
      <c r="H8" s="490">
        <v>6</v>
      </c>
      <c r="I8" s="528">
        <v>0.54545454545454541</v>
      </c>
      <c r="J8" s="556">
        <v>2488.8199999999997</v>
      </c>
      <c r="K8" s="512">
        <v>0.79198475104295607</v>
      </c>
      <c r="L8" s="490">
        <v>5</v>
      </c>
      <c r="M8" s="528">
        <v>0.45454545454545453</v>
      </c>
    </row>
    <row r="9" spans="1:13" ht="14.4" customHeight="1" thickBot="1" x14ac:dyDescent="0.35">
      <c r="A9" s="547" t="s">
        <v>522</v>
      </c>
      <c r="B9" s="538">
        <v>1442.98</v>
      </c>
      <c r="C9" s="493">
        <v>1</v>
      </c>
      <c r="D9" s="551">
        <v>19</v>
      </c>
      <c r="E9" s="554" t="s">
        <v>522</v>
      </c>
      <c r="F9" s="538">
        <v>1442.98</v>
      </c>
      <c r="G9" s="505">
        <v>1</v>
      </c>
      <c r="H9" s="497">
        <v>19</v>
      </c>
      <c r="I9" s="529">
        <v>1</v>
      </c>
      <c r="J9" s="557"/>
      <c r="K9" s="505">
        <v>0</v>
      </c>
      <c r="L9" s="497"/>
      <c r="M9" s="52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73" t="s">
        <v>710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35" t="s">
        <v>259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05"/>
      <c r="B3" s="406"/>
      <c r="C3" s="406"/>
      <c r="D3" s="406"/>
      <c r="E3" s="406"/>
      <c r="F3" s="406"/>
      <c r="G3" s="406"/>
      <c r="H3" s="406"/>
      <c r="I3" s="406"/>
      <c r="J3" s="406"/>
      <c r="K3" s="407" t="s">
        <v>128</v>
      </c>
      <c r="L3" s="408"/>
      <c r="M3" s="66">
        <f>SUBTOTAL(9,M7:M1048576)</f>
        <v>23304.259999999984</v>
      </c>
      <c r="N3" s="66">
        <f>SUBTOTAL(9,N7:N1048576)</f>
        <v>409</v>
      </c>
      <c r="O3" s="66">
        <f>SUBTOTAL(9,O7:O1048576)</f>
        <v>205</v>
      </c>
      <c r="P3" s="66">
        <f>SUBTOTAL(9,P7:P1048576)</f>
        <v>17951.259999999984</v>
      </c>
      <c r="Q3" s="67">
        <f>IF(M3=0,0,P3/M3)</f>
        <v>0.77029950747202425</v>
      </c>
      <c r="R3" s="66">
        <f>SUBTOTAL(9,R7:R1048576)</f>
        <v>320</v>
      </c>
      <c r="S3" s="67">
        <f>IF(N3=0,0,R3/N3)</f>
        <v>0.78239608801955995</v>
      </c>
      <c r="T3" s="66">
        <f>SUBTOTAL(9,T7:T1048576)</f>
        <v>167</v>
      </c>
      <c r="U3" s="68">
        <f>IF(O3=0,0,T3/O3)</f>
        <v>0.81463414634146336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09" t="s">
        <v>15</v>
      </c>
      <c r="N4" s="410"/>
      <c r="O4" s="410"/>
      <c r="P4" s="411" t="s">
        <v>21</v>
      </c>
      <c r="Q4" s="410"/>
      <c r="R4" s="410"/>
      <c r="S4" s="410"/>
      <c r="T4" s="410"/>
      <c r="U4" s="412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2" t="s">
        <v>22</v>
      </c>
      <c r="Q5" s="403"/>
      <c r="R5" s="402" t="s">
        <v>13</v>
      </c>
      <c r="S5" s="403"/>
      <c r="T5" s="402" t="s">
        <v>20</v>
      </c>
      <c r="U5" s="404"/>
    </row>
    <row r="6" spans="1:21" s="208" customFormat="1" ht="14.4" customHeight="1" thickBot="1" x14ac:dyDescent="0.3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152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" customHeight="1" x14ac:dyDescent="0.3">
      <c r="A7" s="563">
        <v>19</v>
      </c>
      <c r="B7" s="564" t="s">
        <v>510</v>
      </c>
      <c r="C7" s="564" t="s">
        <v>512</v>
      </c>
      <c r="D7" s="565" t="s">
        <v>709</v>
      </c>
      <c r="E7" s="566" t="s">
        <v>518</v>
      </c>
      <c r="F7" s="564" t="s">
        <v>511</v>
      </c>
      <c r="G7" s="564" t="s">
        <v>523</v>
      </c>
      <c r="H7" s="564" t="s">
        <v>420</v>
      </c>
      <c r="I7" s="564" t="s">
        <v>524</v>
      </c>
      <c r="J7" s="564" t="s">
        <v>525</v>
      </c>
      <c r="K7" s="564" t="s">
        <v>526</v>
      </c>
      <c r="L7" s="567">
        <v>42.05</v>
      </c>
      <c r="M7" s="567">
        <v>42.05</v>
      </c>
      <c r="N7" s="564">
        <v>1</v>
      </c>
      <c r="O7" s="568">
        <v>1</v>
      </c>
      <c r="P7" s="567">
        <v>42.05</v>
      </c>
      <c r="Q7" s="569">
        <v>1</v>
      </c>
      <c r="R7" s="564">
        <v>1</v>
      </c>
      <c r="S7" s="569">
        <v>1</v>
      </c>
      <c r="T7" s="568">
        <v>1</v>
      </c>
      <c r="U7" s="122">
        <v>1</v>
      </c>
    </row>
    <row r="8" spans="1:21" ht="14.4" customHeight="1" x14ac:dyDescent="0.3">
      <c r="A8" s="570">
        <v>19</v>
      </c>
      <c r="B8" s="571" t="s">
        <v>510</v>
      </c>
      <c r="C8" s="571" t="s">
        <v>512</v>
      </c>
      <c r="D8" s="572" t="s">
        <v>709</v>
      </c>
      <c r="E8" s="573" t="s">
        <v>518</v>
      </c>
      <c r="F8" s="571" t="s">
        <v>511</v>
      </c>
      <c r="G8" s="571" t="s">
        <v>527</v>
      </c>
      <c r="H8" s="571" t="s">
        <v>420</v>
      </c>
      <c r="I8" s="571" t="s">
        <v>528</v>
      </c>
      <c r="J8" s="571" t="s">
        <v>529</v>
      </c>
      <c r="K8" s="571" t="s">
        <v>530</v>
      </c>
      <c r="L8" s="574">
        <v>45.56</v>
      </c>
      <c r="M8" s="574">
        <v>45.56</v>
      </c>
      <c r="N8" s="571">
        <v>1</v>
      </c>
      <c r="O8" s="575">
        <v>1</v>
      </c>
      <c r="P8" s="574"/>
      <c r="Q8" s="576">
        <v>0</v>
      </c>
      <c r="R8" s="571"/>
      <c r="S8" s="576">
        <v>0</v>
      </c>
      <c r="T8" s="575"/>
      <c r="U8" s="577">
        <v>0</v>
      </c>
    </row>
    <row r="9" spans="1:21" ht="14.4" customHeight="1" x14ac:dyDescent="0.3">
      <c r="A9" s="570">
        <v>19</v>
      </c>
      <c r="B9" s="571" t="s">
        <v>510</v>
      </c>
      <c r="C9" s="571" t="s">
        <v>512</v>
      </c>
      <c r="D9" s="572" t="s">
        <v>709</v>
      </c>
      <c r="E9" s="573" t="s">
        <v>518</v>
      </c>
      <c r="F9" s="571" t="s">
        <v>511</v>
      </c>
      <c r="G9" s="571" t="s">
        <v>531</v>
      </c>
      <c r="H9" s="571" t="s">
        <v>420</v>
      </c>
      <c r="I9" s="571" t="s">
        <v>532</v>
      </c>
      <c r="J9" s="571" t="s">
        <v>533</v>
      </c>
      <c r="K9" s="571" t="s">
        <v>534</v>
      </c>
      <c r="L9" s="574">
        <v>57.48</v>
      </c>
      <c r="M9" s="574">
        <v>11783.399999999987</v>
      </c>
      <c r="N9" s="571">
        <v>205</v>
      </c>
      <c r="O9" s="575">
        <v>103.5</v>
      </c>
      <c r="P9" s="574">
        <v>10231.439999999986</v>
      </c>
      <c r="Q9" s="576">
        <v>0.86829268292682904</v>
      </c>
      <c r="R9" s="571">
        <v>178</v>
      </c>
      <c r="S9" s="576">
        <v>0.86829268292682926</v>
      </c>
      <c r="T9" s="575">
        <v>90</v>
      </c>
      <c r="U9" s="577">
        <v>0.86956521739130432</v>
      </c>
    </row>
    <row r="10" spans="1:21" ht="14.4" customHeight="1" x14ac:dyDescent="0.3">
      <c r="A10" s="570">
        <v>19</v>
      </c>
      <c r="B10" s="571" t="s">
        <v>510</v>
      </c>
      <c r="C10" s="571" t="s">
        <v>512</v>
      </c>
      <c r="D10" s="572" t="s">
        <v>709</v>
      </c>
      <c r="E10" s="573" t="s">
        <v>518</v>
      </c>
      <c r="F10" s="571" t="s">
        <v>511</v>
      </c>
      <c r="G10" s="571" t="s">
        <v>535</v>
      </c>
      <c r="H10" s="571" t="s">
        <v>420</v>
      </c>
      <c r="I10" s="571" t="s">
        <v>536</v>
      </c>
      <c r="J10" s="571" t="s">
        <v>537</v>
      </c>
      <c r="K10" s="571" t="s">
        <v>538</v>
      </c>
      <c r="L10" s="574">
        <v>0</v>
      </c>
      <c r="M10" s="574">
        <v>0</v>
      </c>
      <c r="N10" s="571">
        <v>5</v>
      </c>
      <c r="O10" s="575">
        <v>2</v>
      </c>
      <c r="P10" s="574">
        <v>0</v>
      </c>
      <c r="Q10" s="576"/>
      <c r="R10" s="571">
        <v>5</v>
      </c>
      <c r="S10" s="576">
        <v>1</v>
      </c>
      <c r="T10" s="575">
        <v>2</v>
      </c>
      <c r="U10" s="577">
        <v>1</v>
      </c>
    </row>
    <row r="11" spans="1:21" ht="14.4" customHeight="1" x14ac:dyDescent="0.3">
      <c r="A11" s="570">
        <v>19</v>
      </c>
      <c r="B11" s="571" t="s">
        <v>510</v>
      </c>
      <c r="C11" s="571" t="s">
        <v>512</v>
      </c>
      <c r="D11" s="572" t="s">
        <v>709</v>
      </c>
      <c r="E11" s="573" t="s">
        <v>518</v>
      </c>
      <c r="F11" s="571" t="s">
        <v>511</v>
      </c>
      <c r="G11" s="571" t="s">
        <v>535</v>
      </c>
      <c r="H11" s="571" t="s">
        <v>420</v>
      </c>
      <c r="I11" s="571" t="s">
        <v>539</v>
      </c>
      <c r="J11" s="571" t="s">
        <v>537</v>
      </c>
      <c r="K11" s="571" t="s">
        <v>538</v>
      </c>
      <c r="L11" s="574">
        <v>0</v>
      </c>
      <c r="M11" s="574">
        <v>0</v>
      </c>
      <c r="N11" s="571">
        <v>2</v>
      </c>
      <c r="O11" s="575">
        <v>1</v>
      </c>
      <c r="P11" s="574"/>
      <c r="Q11" s="576"/>
      <c r="R11" s="571"/>
      <c r="S11" s="576">
        <v>0</v>
      </c>
      <c r="T11" s="575"/>
      <c r="U11" s="577">
        <v>0</v>
      </c>
    </row>
    <row r="12" spans="1:21" ht="14.4" customHeight="1" x14ac:dyDescent="0.3">
      <c r="A12" s="570">
        <v>19</v>
      </c>
      <c r="B12" s="571" t="s">
        <v>510</v>
      </c>
      <c r="C12" s="571" t="s">
        <v>512</v>
      </c>
      <c r="D12" s="572" t="s">
        <v>709</v>
      </c>
      <c r="E12" s="573" t="s">
        <v>518</v>
      </c>
      <c r="F12" s="571" t="s">
        <v>511</v>
      </c>
      <c r="G12" s="571" t="s">
        <v>540</v>
      </c>
      <c r="H12" s="571" t="s">
        <v>420</v>
      </c>
      <c r="I12" s="571" t="s">
        <v>541</v>
      </c>
      <c r="J12" s="571" t="s">
        <v>542</v>
      </c>
      <c r="K12" s="571" t="s">
        <v>543</v>
      </c>
      <c r="L12" s="574">
        <v>0</v>
      </c>
      <c r="M12" s="574">
        <v>0</v>
      </c>
      <c r="N12" s="571">
        <v>28</v>
      </c>
      <c r="O12" s="575">
        <v>13</v>
      </c>
      <c r="P12" s="574">
        <v>0</v>
      </c>
      <c r="Q12" s="576"/>
      <c r="R12" s="571">
        <v>26</v>
      </c>
      <c r="S12" s="576">
        <v>0.9285714285714286</v>
      </c>
      <c r="T12" s="575">
        <v>12.5</v>
      </c>
      <c r="U12" s="577">
        <v>0.96153846153846156</v>
      </c>
    </row>
    <row r="13" spans="1:21" ht="14.4" customHeight="1" x14ac:dyDescent="0.3">
      <c r="A13" s="570">
        <v>19</v>
      </c>
      <c r="B13" s="571" t="s">
        <v>510</v>
      </c>
      <c r="C13" s="571" t="s">
        <v>512</v>
      </c>
      <c r="D13" s="572" t="s">
        <v>709</v>
      </c>
      <c r="E13" s="573" t="s">
        <v>518</v>
      </c>
      <c r="F13" s="571" t="s">
        <v>511</v>
      </c>
      <c r="G13" s="571" t="s">
        <v>540</v>
      </c>
      <c r="H13" s="571" t="s">
        <v>420</v>
      </c>
      <c r="I13" s="571" t="s">
        <v>544</v>
      </c>
      <c r="J13" s="571" t="s">
        <v>542</v>
      </c>
      <c r="K13" s="571" t="s">
        <v>543</v>
      </c>
      <c r="L13" s="574">
        <v>0</v>
      </c>
      <c r="M13" s="574">
        <v>0</v>
      </c>
      <c r="N13" s="571">
        <v>4</v>
      </c>
      <c r="O13" s="575">
        <v>1.5</v>
      </c>
      <c r="P13" s="574">
        <v>0</v>
      </c>
      <c r="Q13" s="576"/>
      <c r="R13" s="571">
        <v>4</v>
      </c>
      <c r="S13" s="576">
        <v>1</v>
      </c>
      <c r="T13" s="575">
        <v>1.5</v>
      </c>
      <c r="U13" s="577">
        <v>1</v>
      </c>
    </row>
    <row r="14" spans="1:21" ht="14.4" customHeight="1" x14ac:dyDescent="0.3">
      <c r="A14" s="570">
        <v>19</v>
      </c>
      <c r="B14" s="571" t="s">
        <v>510</v>
      </c>
      <c r="C14" s="571" t="s">
        <v>512</v>
      </c>
      <c r="D14" s="572" t="s">
        <v>709</v>
      </c>
      <c r="E14" s="573" t="s">
        <v>518</v>
      </c>
      <c r="F14" s="571" t="s">
        <v>511</v>
      </c>
      <c r="G14" s="571" t="s">
        <v>545</v>
      </c>
      <c r="H14" s="571" t="s">
        <v>420</v>
      </c>
      <c r="I14" s="571" t="s">
        <v>546</v>
      </c>
      <c r="J14" s="571" t="s">
        <v>547</v>
      </c>
      <c r="K14" s="571" t="s">
        <v>548</v>
      </c>
      <c r="L14" s="574">
        <v>0</v>
      </c>
      <c r="M14" s="574">
        <v>0</v>
      </c>
      <c r="N14" s="571">
        <v>10</v>
      </c>
      <c r="O14" s="575">
        <v>4</v>
      </c>
      <c r="P14" s="574">
        <v>0</v>
      </c>
      <c r="Q14" s="576"/>
      <c r="R14" s="571">
        <v>4</v>
      </c>
      <c r="S14" s="576">
        <v>0.4</v>
      </c>
      <c r="T14" s="575">
        <v>2</v>
      </c>
      <c r="U14" s="577">
        <v>0.5</v>
      </c>
    </row>
    <row r="15" spans="1:21" ht="14.4" customHeight="1" x14ac:dyDescent="0.3">
      <c r="A15" s="570">
        <v>19</v>
      </c>
      <c r="B15" s="571" t="s">
        <v>510</v>
      </c>
      <c r="C15" s="571" t="s">
        <v>512</v>
      </c>
      <c r="D15" s="572" t="s">
        <v>709</v>
      </c>
      <c r="E15" s="573" t="s">
        <v>518</v>
      </c>
      <c r="F15" s="571" t="s">
        <v>511</v>
      </c>
      <c r="G15" s="571" t="s">
        <v>549</v>
      </c>
      <c r="H15" s="571" t="s">
        <v>420</v>
      </c>
      <c r="I15" s="571" t="s">
        <v>550</v>
      </c>
      <c r="J15" s="571" t="s">
        <v>551</v>
      </c>
      <c r="K15" s="571" t="s">
        <v>552</v>
      </c>
      <c r="L15" s="574">
        <v>271.94</v>
      </c>
      <c r="M15" s="574">
        <v>543.88</v>
      </c>
      <c r="N15" s="571">
        <v>2</v>
      </c>
      <c r="O15" s="575">
        <v>1</v>
      </c>
      <c r="P15" s="574">
        <v>543.88</v>
      </c>
      <c r="Q15" s="576">
        <v>1</v>
      </c>
      <c r="R15" s="571">
        <v>2</v>
      </c>
      <c r="S15" s="576">
        <v>1</v>
      </c>
      <c r="T15" s="575">
        <v>1</v>
      </c>
      <c r="U15" s="577">
        <v>1</v>
      </c>
    </row>
    <row r="16" spans="1:21" ht="14.4" customHeight="1" x14ac:dyDescent="0.3">
      <c r="A16" s="570">
        <v>19</v>
      </c>
      <c r="B16" s="571" t="s">
        <v>510</v>
      </c>
      <c r="C16" s="571" t="s">
        <v>512</v>
      </c>
      <c r="D16" s="572" t="s">
        <v>709</v>
      </c>
      <c r="E16" s="573" t="s">
        <v>518</v>
      </c>
      <c r="F16" s="571" t="s">
        <v>511</v>
      </c>
      <c r="G16" s="571" t="s">
        <v>553</v>
      </c>
      <c r="H16" s="571" t="s">
        <v>420</v>
      </c>
      <c r="I16" s="571" t="s">
        <v>554</v>
      </c>
      <c r="J16" s="571" t="s">
        <v>457</v>
      </c>
      <c r="K16" s="571" t="s">
        <v>555</v>
      </c>
      <c r="L16" s="574">
        <v>138.22</v>
      </c>
      <c r="M16" s="574">
        <v>138.22</v>
      </c>
      <c r="N16" s="571">
        <v>1</v>
      </c>
      <c r="O16" s="575">
        <v>1</v>
      </c>
      <c r="P16" s="574">
        <v>138.22</v>
      </c>
      <c r="Q16" s="576">
        <v>1</v>
      </c>
      <c r="R16" s="571">
        <v>1</v>
      </c>
      <c r="S16" s="576">
        <v>1</v>
      </c>
      <c r="T16" s="575">
        <v>1</v>
      </c>
      <c r="U16" s="577">
        <v>1</v>
      </c>
    </row>
    <row r="17" spans="1:21" ht="14.4" customHeight="1" x14ac:dyDescent="0.3">
      <c r="A17" s="570">
        <v>19</v>
      </c>
      <c r="B17" s="571" t="s">
        <v>510</v>
      </c>
      <c r="C17" s="571" t="s">
        <v>512</v>
      </c>
      <c r="D17" s="572" t="s">
        <v>709</v>
      </c>
      <c r="E17" s="573" t="s">
        <v>518</v>
      </c>
      <c r="F17" s="571" t="s">
        <v>511</v>
      </c>
      <c r="G17" s="571" t="s">
        <v>556</v>
      </c>
      <c r="H17" s="571" t="s">
        <v>420</v>
      </c>
      <c r="I17" s="571" t="s">
        <v>557</v>
      </c>
      <c r="J17" s="571" t="s">
        <v>558</v>
      </c>
      <c r="K17" s="571" t="s">
        <v>559</v>
      </c>
      <c r="L17" s="574">
        <v>0</v>
      </c>
      <c r="M17" s="574">
        <v>0</v>
      </c>
      <c r="N17" s="571">
        <v>3</v>
      </c>
      <c r="O17" s="575">
        <v>3</v>
      </c>
      <c r="P17" s="574">
        <v>0</v>
      </c>
      <c r="Q17" s="576"/>
      <c r="R17" s="571">
        <v>2</v>
      </c>
      <c r="S17" s="576">
        <v>0.66666666666666663</v>
      </c>
      <c r="T17" s="575">
        <v>2</v>
      </c>
      <c r="U17" s="577">
        <v>0.66666666666666663</v>
      </c>
    </row>
    <row r="18" spans="1:21" ht="14.4" customHeight="1" x14ac:dyDescent="0.3">
      <c r="A18" s="570">
        <v>19</v>
      </c>
      <c r="B18" s="571" t="s">
        <v>510</v>
      </c>
      <c r="C18" s="571" t="s">
        <v>512</v>
      </c>
      <c r="D18" s="572" t="s">
        <v>709</v>
      </c>
      <c r="E18" s="573" t="s">
        <v>519</v>
      </c>
      <c r="F18" s="571" t="s">
        <v>511</v>
      </c>
      <c r="G18" s="571" t="s">
        <v>560</v>
      </c>
      <c r="H18" s="571" t="s">
        <v>461</v>
      </c>
      <c r="I18" s="571" t="s">
        <v>561</v>
      </c>
      <c r="J18" s="571" t="s">
        <v>562</v>
      </c>
      <c r="K18" s="571" t="s">
        <v>563</v>
      </c>
      <c r="L18" s="574">
        <v>4.7</v>
      </c>
      <c r="M18" s="574">
        <v>4.7</v>
      </c>
      <c r="N18" s="571">
        <v>1</v>
      </c>
      <c r="O18" s="575">
        <v>1</v>
      </c>
      <c r="P18" s="574">
        <v>4.7</v>
      </c>
      <c r="Q18" s="576">
        <v>1</v>
      </c>
      <c r="R18" s="571">
        <v>1</v>
      </c>
      <c r="S18" s="576">
        <v>1</v>
      </c>
      <c r="T18" s="575">
        <v>1</v>
      </c>
      <c r="U18" s="577">
        <v>1</v>
      </c>
    </row>
    <row r="19" spans="1:21" ht="14.4" customHeight="1" x14ac:dyDescent="0.3">
      <c r="A19" s="570">
        <v>19</v>
      </c>
      <c r="B19" s="571" t="s">
        <v>510</v>
      </c>
      <c r="C19" s="571" t="s">
        <v>512</v>
      </c>
      <c r="D19" s="572" t="s">
        <v>709</v>
      </c>
      <c r="E19" s="573" t="s">
        <v>519</v>
      </c>
      <c r="F19" s="571" t="s">
        <v>511</v>
      </c>
      <c r="G19" s="571" t="s">
        <v>564</v>
      </c>
      <c r="H19" s="571" t="s">
        <v>420</v>
      </c>
      <c r="I19" s="571" t="s">
        <v>565</v>
      </c>
      <c r="J19" s="571" t="s">
        <v>566</v>
      </c>
      <c r="K19" s="571" t="s">
        <v>567</v>
      </c>
      <c r="L19" s="574">
        <v>154.36000000000001</v>
      </c>
      <c r="M19" s="574">
        <v>154.36000000000001</v>
      </c>
      <c r="N19" s="571">
        <v>1</v>
      </c>
      <c r="O19" s="575">
        <v>1</v>
      </c>
      <c r="P19" s="574">
        <v>154.36000000000001</v>
      </c>
      <c r="Q19" s="576">
        <v>1</v>
      </c>
      <c r="R19" s="571">
        <v>1</v>
      </c>
      <c r="S19" s="576">
        <v>1</v>
      </c>
      <c r="T19" s="575">
        <v>1</v>
      </c>
      <c r="U19" s="577">
        <v>1</v>
      </c>
    </row>
    <row r="20" spans="1:21" ht="14.4" customHeight="1" x14ac:dyDescent="0.3">
      <c r="A20" s="570">
        <v>19</v>
      </c>
      <c r="B20" s="571" t="s">
        <v>510</v>
      </c>
      <c r="C20" s="571" t="s">
        <v>512</v>
      </c>
      <c r="D20" s="572" t="s">
        <v>709</v>
      </c>
      <c r="E20" s="573" t="s">
        <v>519</v>
      </c>
      <c r="F20" s="571" t="s">
        <v>511</v>
      </c>
      <c r="G20" s="571" t="s">
        <v>564</v>
      </c>
      <c r="H20" s="571" t="s">
        <v>461</v>
      </c>
      <c r="I20" s="571" t="s">
        <v>568</v>
      </c>
      <c r="J20" s="571" t="s">
        <v>569</v>
      </c>
      <c r="K20" s="571" t="s">
        <v>567</v>
      </c>
      <c r="L20" s="574">
        <v>154.36000000000001</v>
      </c>
      <c r="M20" s="574">
        <v>154.36000000000001</v>
      </c>
      <c r="N20" s="571">
        <v>1</v>
      </c>
      <c r="O20" s="575">
        <v>1</v>
      </c>
      <c r="P20" s="574"/>
      <c r="Q20" s="576">
        <v>0</v>
      </c>
      <c r="R20" s="571"/>
      <c r="S20" s="576">
        <v>0</v>
      </c>
      <c r="T20" s="575"/>
      <c r="U20" s="577">
        <v>0</v>
      </c>
    </row>
    <row r="21" spans="1:21" ht="14.4" customHeight="1" x14ac:dyDescent="0.3">
      <c r="A21" s="570">
        <v>19</v>
      </c>
      <c r="B21" s="571" t="s">
        <v>510</v>
      </c>
      <c r="C21" s="571" t="s">
        <v>512</v>
      </c>
      <c r="D21" s="572" t="s">
        <v>709</v>
      </c>
      <c r="E21" s="573" t="s">
        <v>519</v>
      </c>
      <c r="F21" s="571" t="s">
        <v>511</v>
      </c>
      <c r="G21" s="571" t="s">
        <v>564</v>
      </c>
      <c r="H21" s="571" t="s">
        <v>461</v>
      </c>
      <c r="I21" s="571" t="s">
        <v>570</v>
      </c>
      <c r="J21" s="571" t="s">
        <v>569</v>
      </c>
      <c r="K21" s="571" t="s">
        <v>571</v>
      </c>
      <c r="L21" s="574">
        <v>225.06</v>
      </c>
      <c r="M21" s="574">
        <v>225.06</v>
      </c>
      <c r="N21" s="571">
        <v>1</v>
      </c>
      <c r="O21" s="575">
        <v>0.5</v>
      </c>
      <c r="P21" s="574">
        <v>225.06</v>
      </c>
      <c r="Q21" s="576">
        <v>1</v>
      </c>
      <c r="R21" s="571">
        <v>1</v>
      </c>
      <c r="S21" s="576">
        <v>1</v>
      </c>
      <c r="T21" s="575">
        <v>0.5</v>
      </c>
      <c r="U21" s="577">
        <v>1</v>
      </c>
    </row>
    <row r="22" spans="1:21" ht="14.4" customHeight="1" x14ac:dyDescent="0.3">
      <c r="A22" s="570">
        <v>19</v>
      </c>
      <c r="B22" s="571" t="s">
        <v>510</v>
      </c>
      <c r="C22" s="571" t="s">
        <v>512</v>
      </c>
      <c r="D22" s="572" t="s">
        <v>709</v>
      </c>
      <c r="E22" s="573" t="s">
        <v>519</v>
      </c>
      <c r="F22" s="571" t="s">
        <v>511</v>
      </c>
      <c r="G22" s="571" t="s">
        <v>572</v>
      </c>
      <c r="H22" s="571" t="s">
        <v>420</v>
      </c>
      <c r="I22" s="571" t="s">
        <v>573</v>
      </c>
      <c r="J22" s="571" t="s">
        <v>574</v>
      </c>
      <c r="K22" s="571" t="s">
        <v>575</v>
      </c>
      <c r="L22" s="574">
        <v>170.52</v>
      </c>
      <c r="M22" s="574">
        <v>170.52</v>
      </c>
      <c r="N22" s="571">
        <v>1</v>
      </c>
      <c r="O22" s="575">
        <v>1</v>
      </c>
      <c r="P22" s="574">
        <v>170.52</v>
      </c>
      <c r="Q22" s="576">
        <v>1</v>
      </c>
      <c r="R22" s="571">
        <v>1</v>
      </c>
      <c r="S22" s="576">
        <v>1</v>
      </c>
      <c r="T22" s="575">
        <v>1</v>
      </c>
      <c r="U22" s="577">
        <v>1</v>
      </c>
    </row>
    <row r="23" spans="1:21" ht="14.4" customHeight="1" x14ac:dyDescent="0.3">
      <c r="A23" s="570">
        <v>19</v>
      </c>
      <c r="B23" s="571" t="s">
        <v>510</v>
      </c>
      <c r="C23" s="571" t="s">
        <v>512</v>
      </c>
      <c r="D23" s="572" t="s">
        <v>709</v>
      </c>
      <c r="E23" s="573" t="s">
        <v>519</v>
      </c>
      <c r="F23" s="571" t="s">
        <v>511</v>
      </c>
      <c r="G23" s="571" t="s">
        <v>576</v>
      </c>
      <c r="H23" s="571" t="s">
        <v>461</v>
      </c>
      <c r="I23" s="571" t="s">
        <v>577</v>
      </c>
      <c r="J23" s="571" t="s">
        <v>578</v>
      </c>
      <c r="K23" s="571" t="s">
        <v>579</v>
      </c>
      <c r="L23" s="574">
        <v>207.45</v>
      </c>
      <c r="M23" s="574">
        <v>207.45</v>
      </c>
      <c r="N23" s="571">
        <v>1</v>
      </c>
      <c r="O23" s="575">
        <v>0.5</v>
      </c>
      <c r="P23" s="574">
        <v>207.45</v>
      </c>
      <c r="Q23" s="576">
        <v>1</v>
      </c>
      <c r="R23" s="571">
        <v>1</v>
      </c>
      <c r="S23" s="576">
        <v>1</v>
      </c>
      <c r="T23" s="575">
        <v>0.5</v>
      </c>
      <c r="U23" s="577">
        <v>1</v>
      </c>
    </row>
    <row r="24" spans="1:21" ht="14.4" customHeight="1" x14ac:dyDescent="0.3">
      <c r="A24" s="570">
        <v>19</v>
      </c>
      <c r="B24" s="571" t="s">
        <v>510</v>
      </c>
      <c r="C24" s="571" t="s">
        <v>512</v>
      </c>
      <c r="D24" s="572" t="s">
        <v>709</v>
      </c>
      <c r="E24" s="573" t="s">
        <v>519</v>
      </c>
      <c r="F24" s="571" t="s">
        <v>511</v>
      </c>
      <c r="G24" s="571" t="s">
        <v>580</v>
      </c>
      <c r="H24" s="571" t="s">
        <v>420</v>
      </c>
      <c r="I24" s="571" t="s">
        <v>581</v>
      </c>
      <c r="J24" s="571" t="s">
        <v>582</v>
      </c>
      <c r="K24" s="571" t="s">
        <v>583</v>
      </c>
      <c r="L24" s="574">
        <v>72.64</v>
      </c>
      <c r="M24" s="574">
        <v>72.64</v>
      </c>
      <c r="N24" s="571">
        <v>1</v>
      </c>
      <c r="O24" s="575">
        <v>1</v>
      </c>
      <c r="P24" s="574"/>
      <c r="Q24" s="576">
        <v>0</v>
      </c>
      <c r="R24" s="571"/>
      <c r="S24" s="576">
        <v>0</v>
      </c>
      <c r="T24" s="575"/>
      <c r="U24" s="577">
        <v>0</v>
      </c>
    </row>
    <row r="25" spans="1:21" ht="14.4" customHeight="1" x14ac:dyDescent="0.3">
      <c r="A25" s="570">
        <v>19</v>
      </c>
      <c r="B25" s="571" t="s">
        <v>510</v>
      </c>
      <c r="C25" s="571" t="s">
        <v>512</v>
      </c>
      <c r="D25" s="572" t="s">
        <v>709</v>
      </c>
      <c r="E25" s="573" t="s">
        <v>519</v>
      </c>
      <c r="F25" s="571" t="s">
        <v>511</v>
      </c>
      <c r="G25" s="571" t="s">
        <v>584</v>
      </c>
      <c r="H25" s="571" t="s">
        <v>461</v>
      </c>
      <c r="I25" s="571" t="s">
        <v>585</v>
      </c>
      <c r="J25" s="571" t="s">
        <v>586</v>
      </c>
      <c r="K25" s="571" t="s">
        <v>587</v>
      </c>
      <c r="L25" s="574">
        <v>30.83</v>
      </c>
      <c r="M25" s="574">
        <v>61.66</v>
      </c>
      <c r="N25" s="571">
        <v>2</v>
      </c>
      <c r="O25" s="575">
        <v>0.5</v>
      </c>
      <c r="P25" s="574"/>
      <c r="Q25" s="576">
        <v>0</v>
      </c>
      <c r="R25" s="571"/>
      <c r="S25" s="576">
        <v>0</v>
      </c>
      <c r="T25" s="575"/>
      <c r="U25" s="577">
        <v>0</v>
      </c>
    </row>
    <row r="26" spans="1:21" ht="14.4" customHeight="1" x14ac:dyDescent="0.3">
      <c r="A26" s="570">
        <v>19</v>
      </c>
      <c r="B26" s="571" t="s">
        <v>510</v>
      </c>
      <c r="C26" s="571" t="s">
        <v>512</v>
      </c>
      <c r="D26" s="572" t="s">
        <v>709</v>
      </c>
      <c r="E26" s="573" t="s">
        <v>519</v>
      </c>
      <c r="F26" s="571" t="s">
        <v>511</v>
      </c>
      <c r="G26" s="571" t="s">
        <v>588</v>
      </c>
      <c r="H26" s="571" t="s">
        <v>420</v>
      </c>
      <c r="I26" s="571" t="s">
        <v>589</v>
      </c>
      <c r="J26" s="571" t="s">
        <v>590</v>
      </c>
      <c r="K26" s="571" t="s">
        <v>591</v>
      </c>
      <c r="L26" s="574">
        <v>79.64</v>
      </c>
      <c r="M26" s="574">
        <v>79.64</v>
      </c>
      <c r="N26" s="571">
        <v>1</v>
      </c>
      <c r="O26" s="575">
        <v>0.5</v>
      </c>
      <c r="P26" s="574">
        <v>79.64</v>
      </c>
      <c r="Q26" s="576">
        <v>1</v>
      </c>
      <c r="R26" s="571">
        <v>1</v>
      </c>
      <c r="S26" s="576">
        <v>1</v>
      </c>
      <c r="T26" s="575">
        <v>0.5</v>
      </c>
      <c r="U26" s="577">
        <v>1</v>
      </c>
    </row>
    <row r="27" spans="1:21" ht="14.4" customHeight="1" x14ac:dyDescent="0.3">
      <c r="A27" s="570">
        <v>19</v>
      </c>
      <c r="B27" s="571" t="s">
        <v>510</v>
      </c>
      <c r="C27" s="571" t="s">
        <v>512</v>
      </c>
      <c r="D27" s="572" t="s">
        <v>709</v>
      </c>
      <c r="E27" s="573" t="s">
        <v>519</v>
      </c>
      <c r="F27" s="571" t="s">
        <v>511</v>
      </c>
      <c r="G27" s="571" t="s">
        <v>592</v>
      </c>
      <c r="H27" s="571" t="s">
        <v>420</v>
      </c>
      <c r="I27" s="571" t="s">
        <v>593</v>
      </c>
      <c r="J27" s="571" t="s">
        <v>594</v>
      </c>
      <c r="K27" s="571" t="s">
        <v>595</v>
      </c>
      <c r="L27" s="574">
        <v>0</v>
      </c>
      <c r="M27" s="574">
        <v>0</v>
      </c>
      <c r="N27" s="571">
        <v>1</v>
      </c>
      <c r="O27" s="575">
        <v>1</v>
      </c>
      <c r="P27" s="574"/>
      <c r="Q27" s="576"/>
      <c r="R27" s="571"/>
      <c r="S27" s="576">
        <v>0</v>
      </c>
      <c r="T27" s="575"/>
      <c r="U27" s="577">
        <v>0</v>
      </c>
    </row>
    <row r="28" spans="1:21" ht="14.4" customHeight="1" x14ac:dyDescent="0.3">
      <c r="A28" s="570">
        <v>19</v>
      </c>
      <c r="B28" s="571" t="s">
        <v>510</v>
      </c>
      <c r="C28" s="571" t="s">
        <v>512</v>
      </c>
      <c r="D28" s="572" t="s">
        <v>709</v>
      </c>
      <c r="E28" s="573" t="s">
        <v>519</v>
      </c>
      <c r="F28" s="571" t="s">
        <v>511</v>
      </c>
      <c r="G28" s="571" t="s">
        <v>596</v>
      </c>
      <c r="H28" s="571" t="s">
        <v>420</v>
      </c>
      <c r="I28" s="571" t="s">
        <v>597</v>
      </c>
      <c r="J28" s="571" t="s">
        <v>598</v>
      </c>
      <c r="K28" s="571" t="s">
        <v>599</v>
      </c>
      <c r="L28" s="574">
        <v>48.09</v>
      </c>
      <c r="M28" s="574">
        <v>48.09</v>
      </c>
      <c r="N28" s="571">
        <v>1</v>
      </c>
      <c r="O28" s="575">
        <v>1</v>
      </c>
      <c r="P28" s="574">
        <v>48.09</v>
      </c>
      <c r="Q28" s="576">
        <v>1</v>
      </c>
      <c r="R28" s="571">
        <v>1</v>
      </c>
      <c r="S28" s="576">
        <v>1</v>
      </c>
      <c r="T28" s="575">
        <v>1</v>
      </c>
      <c r="U28" s="577">
        <v>1</v>
      </c>
    </row>
    <row r="29" spans="1:21" ht="14.4" customHeight="1" x14ac:dyDescent="0.3">
      <c r="A29" s="570">
        <v>19</v>
      </c>
      <c r="B29" s="571" t="s">
        <v>510</v>
      </c>
      <c r="C29" s="571" t="s">
        <v>512</v>
      </c>
      <c r="D29" s="572" t="s">
        <v>709</v>
      </c>
      <c r="E29" s="573" t="s">
        <v>519</v>
      </c>
      <c r="F29" s="571" t="s">
        <v>511</v>
      </c>
      <c r="G29" s="571" t="s">
        <v>600</v>
      </c>
      <c r="H29" s="571" t="s">
        <v>420</v>
      </c>
      <c r="I29" s="571" t="s">
        <v>601</v>
      </c>
      <c r="J29" s="571" t="s">
        <v>602</v>
      </c>
      <c r="K29" s="571" t="s">
        <v>603</v>
      </c>
      <c r="L29" s="574">
        <v>98.75</v>
      </c>
      <c r="M29" s="574">
        <v>98.75</v>
      </c>
      <c r="N29" s="571">
        <v>1</v>
      </c>
      <c r="O29" s="575">
        <v>0.5</v>
      </c>
      <c r="P29" s="574">
        <v>98.75</v>
      </c>
      <c r="Q29" s="576">
        <v>1</v>
      </c>
      <c r="R29" s="571">
        <v>1</v>
      </c>
      <c r="S29" s="576">
        <v>1</v>
      </c>
      <c r="T29" s="575">
        <v>0.5</v>
      </c>
      <c r="U29" s="577">
        <v>1</v>
      </c>
    </row>
    <row r="30" spans="1:21" ht="14.4" customHeight="1" x14ac:dyDescent="0.3">
      <c r="A30" s="570">
        <v>19</v>
      </c>
      <c r="B30" s="571" t="s">
        <v>510</v>
      </c>
      <c r="C30" s="571" t="s">
        <v>512</v>
      </c>
      <c r="D30" s="572" t="s">
        <v>709</v>
      </c>
      <c r="E30" s="573" t="s">
        <v>519</v>
      </c>
      <c r="F30" s="571" t="s">
        <v>511</v>
      </c>
      <c r="G30" s="571" t="s">
        <v>531</v>
      </c>
      <c r="H30" s="571" t="s">
        <v>420</v>
      </c>
      <c r="I30" s="571" t="s">
        <v>532</v>
      </c>
      <c r="J30" s="571" t="s">
        <v>533</v>
      </c>
      <c r="K30" s="571" t="s">
        <v>534</v>
      </c>
      <c r="L30" s="574">
        <v>57.48</v>
      </c>
      <c r="M30" s="574">
        <v>344.88</v>
      </c>
      <c r="N30" s="571">
        <v>6</v>
      </c>
      <c r="O30" s="575">
        <v>3</v>
      </c>
      <c r="P30" s="574">
        <v>344.88</v>
      </c>
      <c r="Q30" s="576">
        <v>1</v>
      </c>
      <c r="R30" s="571">
        <v>6</v>
      </c>
      <c r="S30" s="576">
        <v>1</v>
      </c>
      <c r="T30" s="575">
        <v>3</v>
      </c>
      <c r="U30" s="577">
        <v>1</v>
      </c>
    </row>
    <row r="31" spans="1:21" ht="14.4" customHeight="1" x14ac:dyDescent="0.3">
      <c r="A31" s="570">
        <v>19</v>
      </c>
      <c r="B31" s="571" t="s">
        <v>510</v>
      </c>
      <c r="C31" s="571" t="s">
        <v>512</v>
      </c>
      <c r="D31" s="572" t="s">
        <v>709</v>
      </c>
      <c r="E31" s="573" t="s">
        <v>519</v>
      </c>
      <c r="F31" s="571" t="s">
        <v>511</v>
      </c>
      <c r="G31" s="571" t="s">
        <v>604</v>
      </c>
      <c r="H31" s="571" t="s">
        <v>420</v>
      </c>
      <c r="I31" s="571" t="s">
        <v>605</v>
      </c>
      <c r="J31" s="571" t="s">
        <v>606</v>
      </c>
      <c r="K31" s="571" t="s">
        <v>607</v>
      </c>
      <c r="L31" s="574">
        <v>207.45</v>
      </c>
      <c r="M31" s="574">
        <v>207.45</v>
      </c>
      <c r="N31" s="571">
        <v>1</v>
      </c>
      <c r="O31" s="575">
        <v>1</v>
      </c>
      <c r="P31" s="574"/>
      <c r="Q31" s="576">
        <v>0</v>
      </c>
      <c r="R31" s="571"/>
      <c r="S31" s="576">
        <v>0</v>
      </c>
      <c r="T31" s="575"/>
      <c r="U31" s="577">
        <v>0</v>
      </c>
    </row>
    <row r="32" spans="1:21" ht="14.4" customHeight="1" x14ac:dyDescent="0.3">
      <c r="A32" s="570">
        <v>19</v>
      </c>
      <c r="B32" s="571" t="s">
        <v>510</v>
      </c>
      <c r="C32" s="571" t="s">
        <v>512</v>
      </c>
      <c r="D32" s="572" t="s">
        <v>709</v>
      </c>
      <c r="E32" s="573" t="s">
        <v>519</v>
      </c>
      <c r="F32" s="571" t="s">
        <v>511</v>
      </c>
      <c r="G32" s="571" t="s">
        <v>608</v>
      </c>
      <c r="H32" s="571" t="s">
        <v>420</v>
      </c>
      <c r="I32" s="571" t="s">
        <v>609</v>
      </c>
      <c r="J32" s="571" t="s">
        <v>610</v>
      </c>
      <c r="K32" s="571" t="s">
        <v>611</v>
      </c>
      <c r="L32" s="574">
        <v>86.41</v>
      </c>
      <c r="M32" s="574">
        <v>86.41</v>
      </c>
      <c r="N32" s="571">
        <v>1</v>
      </c>
      <c r="O32" s="575">
        <v>0.5</v>
      </c>
      <c r="P32" s="574"/>
      <c r="Q32" s="576">
        <v>0</v>
      </c>
      <c r="R32" s="571"/>
      <c r="S32" s="576">
        <v>0</v>
      </c>
      <c r="T32" s="575"/>
      <c r="U32" s="577">
        <v>0</v>
      </c>
    </row>
    <row r="33" spans="1:21" ht="14.4" customHeight="1" x14ac:dyDescent="0.3">
      <c r="A33" s="570">
        <v>19</v>
      </c>
      <c r="B33" s="571" t="s">
        <v>510</v>
      </c>
      <c r="C33" s="571" t="s">
        <v>512</v>
      </c>
      <c r="D33" s="572" t="s">
        <v>709</v>
      </c>
      <c r="E33" s="573" t="s">
        <v>519</v>
      </c>
      <c r="F33" s="571" t="s">
        <v>511</v>
      </c>
      <c r="G33" s="571" t="s">
        <v>612</v>
      </c>
      <c r="H33" s="571" t="s">
        <v>461</v>
      </c>
      <c r="I33" s="571" t="s">
        <v>613</v>
      </c>
      <c r="J33" s="571" t="s">
        <v>614</v>
      </c>
      <c r="K33" s="571" t="s">
        <v>615</v>
      </c>
      <c r="L33" s="574">
        <v>48.42</v>
      </c>
      <c r="M33" s="574">
        <v>48.42</v>
      </c>
      <c r="N33" s="571">
        <v>1</v>
      </c>
      <c r="O33" s="575">
        <v>1</v>
      </c>
      <c r="P33" s="574"/>
      <c r="Q33" s="576">
        <v>0</v>
      </c>
      <c r="R33" s="571"/>
      <c r="S33" s="576">
        <v>0</v>
      </c>
      <c r="T33" s="575"/>
      <c r="U33" s="577">
        <v>0</v>
      </c>
    </row>
    <row r="34" spans="1:21" ht="14.4" customHeight="1" x14ac:dyDescent="0.3">
      <c r="A34" s="570">
        <v>19</v>
      </c>
      <c r="B34" s="571" t="s">
        <v>510</v>
      </c>
      <c r="C34" s="571" t="s">
        <v>512</v>
      </c>
      <c r="D34" s="572" t="s">
        <v>709</v>
      </c>
      <c r="E34" s="573" t="s">
        <v>519</v>
      </c>
      <c r="F34" s="571" t="s">
        <v>511</v>
      </c>
      <c r="G34" s="571" t="s">
        <v>612</v>
      </c>
      <c r="H34" s="571" t="s">
        <v>420</v>
      </c>
      <c r="I34" s="571" t="s">
        <v>616</v>
      </c>
      <c r="J34" s="571" t="s">
        <v>614</v>
      </c>
      <c r="K34" s="571" t="s">
        <v>617</v>
      </c>
      <c r="L34" s="574">
        <v>48.42</v>
      </c>
      <c r="M34" s="574">
        <v>145.26</v>
      </c>
      <c r="N34" s="571">
        <v>3</v>
      </c>
      <c r="O34" s="575">
        <v>3</v>
      </c>
      <c r="P34" s="574">
        <v>48.42</v>
      </c>
      <c r="Q34" s="576">
        <v>0.33333333333333337</v>
      </c>
      <c r="R34" s="571">
        <v>1</v>
      </c>
      <c r="S34" s="576">
        <v>0.33333333333333331</v>
      </c>
      <c r="T34" s="575">
        <v>1</v>
      </c>
      <c r="U34" s="577">
        <v>0.33333333333333331</v>
      </c>
    </row>
    <row r="35" spans="1:21" ht="14.4" customHeight="1" x14ac:dyDescent="0.3">
      <c r="A35" s="570">
        <v>19</v>
      </c>
      <c r="B35" s="571" t="s">
        <v>510</v>
      </c>
      <c r="C35" s="571" t="s">
        <v>512</v>
      </c>
      <c r="D35" s="572" t="s">
        <v>709</v>
      </c>
      <c r="E35" s="573" t="s">
        <v>519</v>
      </c>
      <c r="F35" s="571" t="s">
        <v>511</v>
      </c>
      <c r="G35" s="571" t="s">
        <v>618</v>
      </c>
      <c r="H35" s="571" t="s">
        <v>420</v>
      </c>
      <c r="I35" s="571" t="s">
        <v>619</v>
      </c>
      <c r="J35" s="571" t="s">
        <v>620</v>
      </c>
      <c r="K35" s="571" t="s">
        <v>621</v>
      </c>
      <c r="L35" s="574">
        <v>61.76</v>
      </c>
      <c r="M35" s="574">
        <v>61.76</v>
      </c>
      <c r="N35" s="571">
        <v>1</v>
      </c>
      <c r="O35" s="575">
        <v>1</v>
      </c>
      <c r="P35" s="574">
        <v>61.76</v>
      </c>
      <c r="Q35" s="576">
        <v>1</v>
      </c>
      <c r="R35" s="571">
        <v>1</v>
      </c>
      <c r="S35" s="576">
        <v>1</v>
      </c>
      <c r="T35" s="575">
        <v>1</v>
      </c>
      <c r="U35" s="577">
        <v>1</v>
      </c>
    </row>
    <row r="36" spans="1:21" ht="14.4" customHeight="1" x14ac:dyDescent="0.3">
      <c r="A36" s="570">
        <v>19</v>
      </c>
      <c r="B36" s="571" t="s">
        <v>510</v>
      </c>
      <c r="C36" s="571" t="s">
        <v>512</v>
      </c>
      <c r="D36" s="572" t="s">
        <v>709</v>
      </c>
      <c r="E36" s="573" t="s">
        <v>519</v>
      </c>
      <c r="F36" s="571" t="s">
        <v>511</v>
      </c>
      <c r="G36" s="571" t="s">
        <v>622</v>
      </c>
      <c r="H36" s="571" t="s">
        <v>420</v>
      </c>
      <c r="I36" s="571" t="s">
        <v>623</v>
      </c>
      <c r="J36" s="571" t="s">
        <v>624</v>
      </c>
      <c r="K36" s="571" t="s">
        <v>625</v>
      </c>
      <c r="L36" s="574">
        <v>256.67</v>
      </c>
      <c r="M36" s="574">
        <v>256.67</v>
      </c>
      <c r="N36" s="571">
        <v>1</v>
      </c>
      <c r="O36" s="575">
        <v>1</v>
      </c>
      <c r="P36" s="574">
        <v>256.67</v>
      </c>
      <c r="Q36" s="576">
        <v>1</v>
      </c>
      <c r="R36" s="571">
        <v>1</v>
      </c>
      <c r="S36" s="576">
        <v>1</v>
      </c>
      <c r="T36" s="575">
        <v>1</v>
      </c>
      <c r="U36" s="577">
        <v>1</v>
      </c>
    </row>
    <row r="37" spans="1:21" ht="14.4" customHeight="1" x14ac:dyDescent="0.3">
      <c r="A37" s="570">
        <v>19</v>
      </c>
      <c r="B37" s="571" t="s">
        <v>510</v>
      </c>
      <c r="C37" s="571" t="s">
        <v>512</v>
      </c>
      <c r="D37" s="572" t="s">
        <v>709</v>
      </c>
      <c r="E37" s="573" t="s">
        <v>519</v>
      </c>
      <c r="F37" s="571" t="s">
        <v>511</v>
      </c>
      <c r="G37" s="571" t="s">
        <v>626</v>
      </c>
      <c r="H37" s="571" t="s">
        <v>420</v>
      </c>
      <c r="I37" s="571" t="s">
        <v>627</v>
      </c>
      <c r="J37" s="571" t="s">
        <v>628</v>
      </c>
      <c r="K37" s="571" t="s">
        <v>629</v>
      </c>
      <c r="L37" s="574">
        <v>108.44</v>
      </c>
      <c r="M37" s="574">
        <v>216.88</v>
      </c>
      <c r="N37" s="571">
        <v>2</v>
      </c>
      <c r="O37" s="575">
        <v>2</v>
      </c>
      <c r="P37" s="574">
        <v>216.88</v>
      </c>
      <c r="Q37" s="576">
        <v>1</v>
      </c>
      <c r="R37" s="571">
        <v>2</v>
      </c>
      <c r="S37" s="576">
        <v>1</v>
      </c>
      <c r="T37" s="575">
        <v>2</v>
      </c>
      <c r="U37" s="577">
        <v>1</v>
      </c>
    </row>
    <row r="38" spans="1:21" ht="14.4" customHeight="1" x14ac:dyDescent="0.3">
      <c r="A38" s="570">
        <v>19</v>
      </c>
      <c r="B38" s="571" t="s">
        <v>510</v>
      </c>
      <c r="C38" s="571" t="s">
        <v>512</v>
      </c>
      <c r="D38" s="572" t="s">
        <v>709</v>
      </c>
      <c r="E38" s="573" t="s">
        <v>519</v>
      </c>
      <c r="F38" s="571" t="s">
        <v>511</v>
      </c>
      <c r="G38" s="571" t="s">
        <v>630</v>
      </c>
      <c r="H38" s="571" t="s">
        <v>420</v>
      </c>
      <c r="I38" s="571" t="s">
        <v>631</v>
      </c>
      <c r="J38" s="571" t="s">
        <v>632</v>
      </c>
      <c r="K38" s="571" t="s">
        <v>633</v>
      </c>
      <c r="L38" s="574">
        <v>59.56</v>
      </c>
      <c r="M38" s="574">
        <v>59.56</v>
      </c>
      <c r="N38" s="571">
        <v>1</v>
      </c>
      <c r="O38" s="575">
        <v>1</v>
      </c>
      <c r="P38" s="574">
        <v>59.56</v>
      </c>
      <c r="Q38" s="576">
        <v>1</v>
      </c>
      <c r="R38" s="571">
        <v>1</v>
      </c>
      <c r="S38" s="576">
        <v>1</v>
      </c>
      <c r="T38" s="575">
        <v>1</v>
      </c>
      <c r="U38" s="577">
        <v>1</v>
      </c>
    </row>
    <row r="39" spans="1:21" ht="14.4" customHeight="1" x14ac:dyDescent="0.3">
      <c r="A39" s="570">
        <v>19</v>
      </c>
      <c r="B39" s="571" t="s">
        <v>510</v>
      </c>
      <c r="C39" s="571" t="s">
        <v>512</v>
      </c>
      <c r="D39" s="572" t="s">
        <v>709</v>
      </c>
      <c r="E39" s="573" t="s">
        <v>519</v>
      </c>
      <c r="F39" s="571" t="s">
        <v>511</v>
      </c>
      <c r="G39" s="571" t="s">
        <v>634</v>
      </c>
      <c r="H39" s="571" t="s">
        <v>461</v>
      </c>
      <c r="I39" s="571" t="s">
        <v>635</v>
      </c>
      <c r="J39" s="571" t="s">
        <v>636</v>
      </c>
      <c r="K39" s="571" t="s">
        <v>637</v>
      </c>
      <c r="L39" s="574">
        <v>0</v>
      </c>
      <c r="M39" s="574">
        <v>0</v>
      </c>
      <c r="N39" s="571">
        <v>1</v>
      </c>
      <c r="O39" s="575">
        <v>1</v>
      </c>
      <c r="P39" s="574">
        <v>0</v>
      </c>
      <c r="Q39" s="576"/>
      <c r="R39" s="571">
        <v>1</v>
      </c>
      <c r="S39" s="576">
        <v>1</v>
      </c>
      <c r="T39" s="575">
        <v>1</v>
      </c>
      <c r="U39" s="577">
        <v>1</v>
      </c>
    </row>
    <row r="40" spans="1:21" ht="14.4" customHeight="1" x14ac:dyDescent="0.3">
      <c r="A40" s="570">
        <v>19</v>
      </c>
      <c r="B40" s="571" t="s">
        <v>510</v>
      </c>
      <c r="C40" s="571" t="s">
        <v>512</v>
      </c>
      <c r="D40" s="572" t="s">
        <v>709</v>
      </c>
      <c r="E40" s="573" t="s">
        <v>519</v>
      </c>
      <c r="F40" s="571" t="s">
        <v>511</v>
      </c>
      <c r="G40" s="571" t="s">
        <v>634</v>
      </c>
      <c r="H40" s="571" t="s">
        <v>420</v>
      </c>
      <c r="I40" s="571" t="s">
        <v>638</v>
      </c>
      <c r="J40" s="571" t="s">
        <v>639</v>
      </c>
      <c r="K40" s="571" t="s">
        <v>640</v>
      </c>
      <c r="L40" s="574">
        <v>0</v>
      </c>
      <c r="M40" s="574">
        <v>0</v>
      </c>
      <c r="N40" s="571">
        <v>1</v>
      </c>
      <c r="O40" s="575">
        <v>1</v>
      </c>
      <c r="P40" s="574">
        <v>0</v>
      </c>
      <c r="Q40" s="576"/>
      <c r="R40" s="571">
        <v>1</v>
      </c>
      <c r="S40" s="576">
        <v>1</v>
      </c>
      <c r="T40" s="575">
        <v>1</v>
      </c>
      <c r="U40" s="577">
        <v>1</v>
      </c>
    </row>
    <row r="41" spans="1:21" ht="14.4" customHeight="1" x14ac:dyDescent="0.3">
      <c r="A41" s="570">
        <v>19</v>
      </c>
      <c r="B41" s="571" t="s">
        <v>510</v>
      </c>
      <c r="C41" s="571" t="s">
        <v>512</v>
      </c>
      <c r="D41" s="572" t="s">
        <v>709</v>
      </c>
      <c r="E41" s="573" t="s">
        <v>520</v>
      </c>
      <c r="F41" s="571" t="s">
        <v>511</v>
      </c>
      <c r="G41" s="571" t="s">
        <v>641</v>
      </c>
      <c r="H41" s="571" t="s">
        <v>420</v>
      </c>
      <c r="I41" s="571" t="s">
        <v>642</v>
      </c>
      <c r="J41" s="571" t="s">
        <v>643</v>
      </c>
      <c r="K41" s="571" t="s">
        <v>644</v>
      </c>
      <c r="L41" s="574">
        <v>392.42</v>
      </c>
      <c r="M41" s="574">
        <v>392.42</v>
      </c>
      <c r="N41" s="571">
        <v>1</v>
      </c>
      <c r="O41" s="575">
        <v>0.5</v>
      </c>
      <c r="P41" s="574">
        <v>392.42</v>
      </c>
      <c r="Q41" s="576">
        <v>1</v>
      </c>
      <c r="R41" s="571">
        <v>1</v>
      </c>
      <c r="S41" s="576">
        <v>1</v>
      </c>
      <c r="T41" s="575">
        <v>0.5</v>
      </c>
      <c r="U41" s="577">
        <v>1</v>
      </c>
    </row>
    <row r="42" spans="1:21" ht="14.4" customHeight="1" x14ac:dyDescent="0.3">
      <c r="A42" s="570">
        <v>19</v>
      </c>
      <c r="B42" s="571" t="s">
        <v>510</v>
      </c>
      <c r="C42" s="571" t="s">
        <v>512</v>
      </c>
      <c r="D42" s="572" t="s">
        <v>709</v>
      </c>
      <c r="E42" s="573" t="s">
        <v>520</v>
      </c>
      <c r="F42" s="571" t="s">
        <v>511</v>
      </c>
      <c r="G42" s="571" t="s">
        <v>641</v>
      </c>
      <c r="H42" s="571" t="s">
        <v>420</v>
      </c>
      <c r="I42" s="571" t="s">
        <v>642</v>
      </c>
      <c r="J42" s="571" t="s">
        <v>643</v>
      </c>
      <c r="K42" s="571" t="s">
        <v>644</v>
      </c>
      <c r="L42" s="574">
        <v>310.58999999999997</v>
      </c>
      <c r="M42" s="574">
        <v>310.58999999999997</v>
      </c>
      <c r="N42" s="571">
        <v>1</v>
      </c>
      <c r="O42" s="575">
        <v>0.5</v>
      </c>
      <c r="P42" s="574"/>
      <c r="Q42" s="576">
        <v>0</v>
      </c>
      <c r="R42" s="571"/>
      <c r="S42" s="576">
        <v>0</v>
      </c>
      <c r="T42" s="575"/>
      <c r="U42" s="577">
        <v>0</v>
      </c>
    </row>
    <row r="43" spans="1:21" ht="14.4" customHeight="1" x14ac:dyDescent="0.3">
      <c r="A43" s="570">
        <v>19</v>
      </c>
      <c r="B43" s="571" t="s">
        <v>510</v>
      </c>
      <c r="C43" s="571" t="s">
        <v>512</v>
      </c>
      <c r="D43" s="572" t="s">
        <v>709</v>
      </c>
      <c r="E43" s="573" t="s">
        <v>520</v>
      </c>
      <c r="F43" s="571" t="s">
        <v>511</v>
      </c>
      <c r="G43" s="571" t="s">
        <v>527</v>
      </c>
      <c r="H43" s="571" t="s">
        <v>420</v>
      </c>
      <c r="I43" s="571" t="s">
        <v>645</v>
      </c>
      <c r="J43" s="571" t="s">
        <v>529</v>
      </c>
      <c r="K43" s="571" t="s">
        <v>646</v>
      </c>
      <c r="L43" s="574">
        <v>182.22</v>
      </c>
      <c r="M43" s="574">
        <v>182.22</v>
      </c>
      <c r="N43" s="571">
        <v>1</v>
      </c>
      <c r="O43" s="575">
        <v>1</v>
      </c>
      <c r="P43" s="574">
        <v>182.22</v>
      </c>
      <c r="Q43" s="576">
        <v>1</v>
      </c>
      <c r="R43" s="571">
        <v>1</v>
      </c>
      <c r="S43" s="576">
        <v>1</v>
      </c>
      <c r="T43" s="575">
        <v>1</v>
      </c>
      <c r="U43" s="577">
        <v>1</v>
      </c>
    </row>
    <row r="44" spans="1:21" ht="14.4" customHeight="1" x14ac:dyDescent="0.3">
      <c r="A44" s="570">
        <v>19</v>
      </c>
      <c r="B44" s="571" t="s">
        <v>510</v>
      </c>
      <c r="C44" s="571" t="s">
        <v>512</v>
      </c>
      <c r="D44" s="572" t="s">
        <v>709</v>
      </c>
      <c r="E44" s="573" t="s">
        <v>520</v>
      </c>
      <c r="F44" s="571" t="s">
        <v>511</v>
      </c>
      <c r="G44" s="571" t="s">
        <v>527</v>
      </c>
      <c r="H44" s="571" t="s">
        <v>420</v>
      </c>
      <c r="I44" s="571" t="s">
        <v>647</v>
      </c>
      <c r="J44" s="571" t="s">
        <v>529</v>
      </c>
      <c r="K44" s="571" t="s">
        <v>646</v>
      </c>
      <c r="L44" s="574">
        <v>182.22</v>
      </c>
      <c r="M44" s="574">
        <v>728.88</v>
      </c>
      <c r="N44" s="571">
        <v>4</v>
      </c>
      <c r="O44" s="575">
        <v>3</v>
      </c>
      <c r="P44" s="574">
        <v>546.66</v>
      </c>
      <c r="Q44" s="576">
        <v>0.75</v>
      </c>
      <c r="R44" s="571">
        <v>3</v>
      </c>
      <c r="S44" s="576">
        <v>0.75</v>
      </c>
      <c r="T44" s="575">
        <v>2.5</v>
      </c>
      <c r="U44" s="577">
        <v>0.83333333333333337</v>
      </c>
    </row>
    <row r="45" spans="1:21" ht="14.4" customHeight="1" x14ac:dyDescent="0.3">
      <c r="A45" s="570">
        <v>19</v>
      </c>
      <c r="B45" s="571" t="s">
        <v>510</v>
      </c>
      <c r="C45" s="571" t="s">
        <v>512</v>
      </c>
      <c r="D45" s="572" t="s">
        <v>709</v>
      </c>
      <c r="E45" s="573" t="s">
        <v>520</v>
      </c>
      <c r="F45" s="571" t="s">
        <v>511</v>
      </c>
      <c r="G45" s="571" t="s">
        <v>648</v>
      </c>
      <c r="H45" s="571" t="s">
        <v>420</v>
      </c>
      <c r="I45" s="571" t="s">
        <v>649</v>
      </c>
      <c r="J45" s="571" t="s">
        <v>650</v>
      </c>
      <c r="K45" s="571" t="s">
        <v>651</v>
      </c>
      <c r="L45" s="574">
        <v>217.4</v>
      </c>
      <c r="M45" s="574">
        <v>434.8</v>
      </c>
      <c r="N45" s="571">
        <v>2</v>
      </c>
      <c r="O45" s="575">
        <v>1</v>
      </c>
      <c r="P45" s="574">
        <v>434.8</v>
      </c>
      <c r="Q45" s="576">
        <v>1</v>
      </c>
      <c r="R45" s="571">
        <v>2</v>
      </c>
      <c r="S45" s="576">
        <v>1</v>
      </c>
      <c r="T45" s="575">
        <v>1</v>
      </c>
      <c r="U45" s="577">
        <v>1</v>
      </c>
    </row>
    <row r="46" spans="1:21" ht="14.4" customHeight="1" x14ac:dyDescent="0.3">
      <c r="A46" s="570">
        <v>19</v>
      </c>
      <c r="B46" s="571" t="s">
        <v>510</v>
      </c>
      <c r="C46" s="571" t="s">
        <v>512</v>
      </c>
      <c r="D46" s="572" t="s">
        <v>709</v>
      </c>
      <c r="E46" s="573" t="s">
        <v>520</v>
      </c>
      <c r="F46" s="571" t="s">
        <v>511</v>
      </c>
      <c r="G46" s="571" t="s">
        <v>652</v>
      </c>
      <c r="H46" s="571" t="s">
        <v>420</v>
      </c>
      <c r="I46" s="571" t="s">
        <v>653</v>
      </c>
      <c r="J46" s="571" t="s">
        <v>654</v>
      </c>
      <c r="K46" s="571" t="s">
        <v>655</v>
      </c>
      <c r="L46" s="574">
        <v>132.19</v>
      </c>
      <c r="M46" s="574">
        <v>132.19</v>
      </c>
      <c r="N46" s="571">
        <v>1</v>
      </c>
      <c r="O46" s="575">
        <v>0.5</v>
      </c>
      <c r="P46" s="574">
        <v>132.19</v>
      </c>
      <c r="Q46" s="576">
        <v>1</v>
      </c>
      <c r="R46" s="571">
        <v>1</v>
      </c>
      <c r="S46" s="576">
        <v>1</v>
      </c>
      <c r="T46" s="575">
        <v>0.5</v>
      </c>
      <c r="U46" s="577">
        <v>1</v>
      </c>
    </row>
    <row r="47" spans="1:21" ht="14.4" customHeight="1" x14ac:dyDescent="0.3">
      <c r="A47" s="570">
        <v>19</v>
      </c>
      <c r="B47" s="571" t="s">
        <v>510</v>
      </c>
      <c r="C47" s="571" t="s">
        <v>512</v>
      </c>
      <c r="D47" s="572" t="s">
        <v>709</v>
      </c>
      <c r="E47" s="573" t="s">
        <v>520</v>
      </c>
      <c r="F47" s="571" t="s">
        <v>511</v>
      </c>
      <c r="G47" s="571" t="s">
        <v>656</v>
      </c>
      <c r="H47" s="571" t="s">
        <v>420</v>
      </c>
      <c r="I47" s="571" t="s">
        <v>657</v>
      </c>
      <c r="J47" s="571" t="s">
        <v>658</v>
      </c>
      <c r="K47" s="571" t="s">
        <v>659</v>
      </c>
      <c r="L47" s="574">
        <v>132.97999999999999</v>
      </c>
      <c r="M47" s="574">
        <v>132.97999999999999</v>
      </c>
      <c r="N47" s="571">
        <v>1</v>
      </c>
      <c r="O47" s="575">
        <v>0.5</v>
      </c>
      <c r="P47" s="574">
        <v>132.97999999999999</v>
      </c>
      <c r="Q47" s="576">
        <v>1</v>
      </c>
      <c r="R47" s="571">
        <v>1</v>
      </c>
      <c r="S47" s="576">
        <v>1</v>
      </c>
      <c r="T47" s="575">
        <v>0.5</v>
      </c>
      <c r="U47" s="577">
        <v>1</v>
      </c>
    </row>
    <row r="48" spans="1:21" ht="14.4" customHeight="1" x14ac:dyDescent="0.3">
      <c r="A48" s="570">
        <v>19</v>
      </c>
      <c r="B48" s="571" t="s">
        <v>510</v>
      </c>
      <c r="C48" s="571" t="s">
        <v>512</v>
      </c>
      <c r="D48" s="572" t="s">
        <v>709</v>
      </c>
      <c r="E48" s="573" t="s">
        <v>520</v>
      </c>
      <c r="F48" s="571" t="s">
        <v>511</v>
      </c>
      <c r="G48" s="571" t="s">
        <v>660</v>
      </c>
      <c r="H48" s="571" t="s">
        <v>461</v>
      </c>
      <c r="I48" s="571" t="s">
        <v>661</v>
      </c>
      <c r="J48" s="571" t="s">
        <v>662</v>
      </c>
      <c r="K48" s="571" t="s">
        <v>663</v>
      </c>
      <c r="L48" s="574">
        <v>186.87</v>
      </c>
      <c r="M48" s="574">
        <v>747.48</v>
      </c>
      <c r="N48" s="571">
        <v>4</v>
      </c>
      <c r="O48" s="575">
        <v>2</v>
      </c>
      <c r="P48" s="574">
        <v>747.48</v>
      </c>
      <c r="Q48" s="576">
        <v>1</v>
      </c>
      <c r="R48" s="571">
        <v>4</v>
      </c>
      <c r="S48" s="576">
        <v>1</v>
      </c>
      <c r="T48" s="575">
        <v>2</v>
      </c>
      <c r="U48" s="577">
        <v>1</v>
      </c>
    </row>
    <row r="49" spans="1:21" ht="14.4" customHeight="1" x14ac:dyDescent="0.3">
      <c r="A49" s="570">
        <v>19</v>
      </c>
      <c r="B49" s="571" t="s">
        <v>510</v>
      </c>
      <c r="C49" s="571" t="s">
        <v>512</v>
      </c>
      <c r="D49" s="572" t="s">
        <v>709</v>
      </c>
      <c r="E49" s="573" t="s">
        <v>520</v>
      </c>
      <c r="F49" s="571" t="s">
        <v>511</v>
      </c>
      <c r="G49" s="571" t="s">
        <v>664</v>
      </c>
      <c r="H49" s="571" t="s">
        <v>461</v>
      </c>
      <c r="I49" s="571" t="s">
        <v>665</v>
      </c>
      <c r="J49" s="571" t="s">
        <v>666</v>
      </c>
      <c r="K49" s="571" t="s">
        <v>667</v>
      </c>
      <c r="L49" s="574">
        <v>46.07</v>
      </c>
      <c r="M49" s="574">
        <v>46.07</v>
      </c>
      <c r="N49" s="571">
        <v>1</v>
      </c>
      <c r="O49" s="575">
        <v>0.5</v>
      </c>
      <c r="P49" s="574"/>
      <c r="Q49" s="576">
        <v>0</v>
      </c>
      <c r="R49" s="571"/>
      <c r="S49" s="576">
        <v>0</v>
      </c>
      <c r="T49" s="575"/>
      <c r="U49" s="577">
        <v>0</v>
      </c>
    </row>
    <row r="50" spans="1:21" ht="14.4" customHeight="1" x14ac:dyDescent="0.3">
      <c r="A50" s="570">
        <v>19</v>
      </c>
      <c r="B50" s="571" t="s">
        <v>510</v>
      </c>
      <c r="C50" s="571" t="s">
        <v>512</v>
      </c>
      <c r="D50" s="572" t="s">
        <v>709</v>
      </c>
      <c r="E50" s="573" t="s">
        <v>520</v>
      </c>
      <c r="F50" s="571" t="s">
        <v>511</v>
      </c>
      <c r="G50" s="571" t="s">
        <v>612</v>
      </c>
      <c r="H50" s="571" t="s">
        <v>420</v>
      </c>
      <c r="I50" s="571" t="s">
        <v>668</v>
      </c>
      <c r="J50" s="571" t="s">
        <v>669</v>
      </c>
      <c r="K50" s="571" t="s">
        <v>670</v>
      </c>
      <c r="L50" s="574">
        <v>48.42</v>
      </c>
      <c r="M50" s="574">
        <v>96.84</v>
      </c>
      <c r="N50" s="571">
        <v>2</v>
      </c>
      <c r="O50" s="575">
        <v>1</v>
      </c>
      <c r="P50" s="574">
        <v>96.84</v>
      </c>
      <c r="Q50" s="576">
        <v>1</v>
      </c>
      <c r="R50" s="571">
        <v>2</v>
      </c>
      <c r="S50" s="576">
        <v>1</v>
      </c>
      <c r="T50" s="575">
        <v>1</v>
      </c>
      <c r="U50" s="577">
        <v>1</v>
      </c>
    </row>
    <row r="51" spans="1:21" ht="14.4" customHeight="1" x14ac:dyDescent="0.3">
      <c r="A51" s="570">
        <v>19</v>
      </c>
      <c r="B51" s="571" t="s">
        <v>510</v>
      </c>
      <c r="C51" s="571" t="s">
        <v>512</v>
      </c>
      <c r="D51" s="572" t="s">
        <v>709</v>
      </c>
      <c r="E51" s="573" t="s">
        <v>520</v>
      </c>
      <c r="F51" s="571" t="s">
        <v>511</v>
      </c>
      <c r="G51" s="571" t="s">
        <v>622</v>
      </c>
      <c r="H51" s="571" t="s">
        <v>420</v>
      </c>
      <c r="I51" s="571" t="s">
        <v>623</v>
      </c>
      <c r="J51" s="571" t="s">
        <v>624</v>
      </c>
      <c r="K51" s="571" t="s">
        <v>625</v>
      </c>
      <c r="L51" s="574">
        <v>256.67</v>
      </c>
      <c r="M51" s="574">
        <v>256.67</v>
      </c>
      <c r="N51" s="571">
        <v>1</v>
      </c>
      <c r="O51" s="575">
        <v>1</v>
      </c>
      <c r="P51" s="574">
        <v>256.67</v>
      </c>
      <c r="Q51" s="576">
        <v>1</v>
      </c>
      <c r="R51" s="571">
        <v>1</v>
      </c>
      <c r="S51" s="576">
        <v>1</v>
      </c>
      <c r="T51" s="575">
        <v>1</v>
      </c>
      <c r="U51" s="577">
        <v>1</v>
      </c>
    </row>
    <row r="52" spans="1:21" ht="14.4" customHeight="1" x14ac:dyDescent="0.3">
      <c r="A52" s="570">
        <v>19</v>
      </c>
      <c r="B52" s="571" t="s">
        <v>510</v>
      </c>
      <c r="C52" s="571" t="s">
        <v>512</v>
      </c>
      <c r="D52" s="572" t="s">
        <v>709</v>
      </c>
      <c r="E52" s="573" t="s">
        <v>520</v>
      </c>
      <c r="F52" s="571" t="s">
        <v>511</v>
      </c>
      <c r="G52" s="571" t="s">
        <v>634</v>
      </c>
      <c r="H52" s="571" t="s">
        <v>461</v>
      </c>
      <c r="I52" s="571" t="s">
        <v>671</v>
      </c>
      <c r="J52" s="571" t="s">
        <v>636</v>
      </c>
      <c r="K52" s="571" t="s">
        <v>672</v>
      </c>
      <c r="L52" s="574">
        <v>0</v>
      </c>
      <c r="M52" s="574">
        <v>0</v>
      </c>
      <c r="N52" s="571">
        <v>11</v>
      </c>
      <c r="O52" s="575">
        <v>4.5</v>
      </c>
      <c r="P52" s="574">
        <v>0</v>
      </c>
      <c r="Q52" s="576"/>
      <c r="R52" s="571">
        <v>3</v>
      </c>
      <c r="S52" s="576">
        <v>0.27272727272727271</v>
      </c>
      <c r="T52" s="575">
        <v>2</v>
      </c>
      <c r="U52" s="577">
        <v>0.44444444444444442</v>
      </c>
    </row>
    <row r="53" spans="1:21" ht="14.4" customHeight="1" x14ac:dyDescent="0.3">
      <c r="A53" s="570">
        <v>19</v>
      </c>
      <c r="B53" s="571" t="s">
        <v>510</v>
      </c>
      <c r="C53" s="571" t="s">
        <v>512</v>
      </c>
      <c r="D53" s="572" t="s">
        <v>709</v>
      </c>
      <c r="E53" s="573" t="s">
        <v>520</v>
      </c>
      <c r="F53" s="571" t="s">
        <v>511</v>
      </c>
      <c r="G53" s="571" t="s">
        <v>634</v>
      </c>
      <c r="H53" s="571" t="s">
        <v>420</v>
      </c>
      <c r="I53" s="571" t="s">
        <v>673</v>
      </c>
      <c r="J53" s="571" t="s">
        <v>636</v>
      </c>
      <c r="K53" s="571" t="s">
        <v>674</v>
      </c>
      <c r="L53" s="574">
        <v>0</v>
      </c>
      <c r="M53" s="574">
        <v>0</v>
      </c>
      <c r="N53" s="571">
        <v>2</v>
      </c>
      <c r="O53" s="575">
        <v>1</v>
      </c>
      <c r="P53" s="574"/>
      <c r="Q53" s="576"/>
      <c r="R53" s="571"/>
      <c r="S53" s="576">
        <v>0</v>
      </c>
      <c r="T53" s="575"/>
      <c r="U53" s="577">
        <v>0</v>
      </c>
    </row>
    <row r="54" spans="1:21" ht="14.4" customHeight="1" x14ac:dyDescent="0.3">
      <c r="A54" s="570">
        <v>19</v>
      </c>
      <c r="B54" s="571" t="s">
        <v>510</v>
      </c>
      <c r="C54" s="571" t="s">
        <v>512</v>
      </c>
      <c r="D54" s="572" t="s">
        <v>709</v>
      </c>
      <c r="E54" s="573" t="s">
        <v>520</v>
      </c>
      <c r="F54" s="571" t="s">
        <v>511</v>
      </c>
      <c r="G54" s="571" t="s">
        <v>634</v>
      </c>
      <c r="H54" s="571" t="s">
        <v>461</v>
      </c>
      <c r="I54" s="571" t="s">
        <v>635</v>
      </c>
      <c r="J54" s="571" t="s">
        <v>636</v>
      </c>
      <c r="K54" s="571" t="s">
        <v>637</v>
      </c>
      <c r="L54" s="574">
        <v>0</v>
      </c>
      <c r="M54" s="574">
        <v>0</v>
      </c>
      <c r="N54" s="571">
        <v>1</v>
      </c>
      <c r="O54" s="575">
        <v>1</v>
      </c>
      <c r="P54" s="574"/>
      <c r="Q54" s="576"/>
      <c r="R54" s="571"/>
      <c r="S54" s="576">
        <v>0</v>
      </c>
      <c r="T54" s="575"/>
      <c r="U54" s="577">
        <v>0</v>
      </c>
    </row>
    <row r="55" spans="1:21" ht="14.4" customHeight="1" x14ac:dyDescent="0.3">
      <c r="A55" s="570">
        <v>19</v>
      </c>
      <c r="B55" s="571" t="s">
        <v>510</v>
      </c>
      <c r="C55" s="571" t="s">
        <v>512</v>
      </c>
      <c r="D55" s="572" t="s">
        <v>709</v>
      </c>
      <c r="E55" s="573" t="s">
        <v>521</v>
      </c>
      <c r="F55" s="571" t="s">
        <v>511</v>
      </c>
      <c r="G55" s="571" t="s">
        <v>580</v>
      </c>
      <c r="H55" s="571" t="s">
        <v>420</v>
      </c>
      <c r="I55" s="571" t="s">
        <v>675</v>
      </c>
      <c r="J55" s="571" t="s">
        <v>676</v>
      </c>
      <c r="K55" s="571" t="s">
        <v>677</v>
      </c>
      <c r="L55" s="574">
        <v>0</v>
      </c>
      <c r="M55" s="574">
        <v>0</v>
      </c>
      <c r="N55" s="571">
        <v>3</v>
      </c>
      <c r="O55" s="575">
        <v>0.5</v>
      </c>
      <c r="P55" s="574"/>
      <c r="Q55" s="576"/>
      <c r="R55" s="571"/>
      <c r="S55" s="576">
        <v>0</v>
      </c>
      <c r="T55" s="575"/>
      <c r="U55" s="577">
        <v>0</v>
      </c>
    </row>
    <row r="56" spans="1:21" ht="14.4" customHeight="1" x14ac:dyDescent="0.3">
      <c r="A56" s="570">
        <v>19</v>
      </c>
      <c r="B56" s="571" t="s">
        <v>510</v>
      </c>
      <c r="C56" s="571" t="s">
        <v>512</v>
      </c>
      <c r="D56" s="572" t="s">
        <v>709</v>
      </c>
      <c r="E56" s="573" t="s">
        <v>521</v>
      </c>
      <c r="F56" s="571" t="s">
        <v>511</v>
      </c>
      <c r="G56" s="571" t="s">
        <v>580</v>
      </c>
      <c r="H56" s="571" t="s">
        <v>420</v>
      </c>
      <c r="I56" s="571" t="s">
        <v>678</v>
      </c>
      <c r="J56" s="571" t="s">
        <v>676</v>
      </c>
      <c r="K56" s="571" t="s">
        <v>679</v>
      </c>
      <c r="L56" s="574">
        <v>161.4</v>
      </c>
      <c r="M56" s="574">
        <v>484.20000000000005</v>
      </c>
      <c r="N56" s="571">
        <v>3</v>
      </c>
      <c r="O56" s="575">
        <v>0.5</v>
      </c>
      <c r="P56" s="574"/>
      <c r="Q56" s="576">
        <v>0</v>
      </c>
      <c r="R56" s="571"/>
      <c r="S56" s="576">
        <v>0</v>
      </c>
      <c r="T56" s="575"/>
      <c r="U56" s="577">
        <v>0</v>
      </c>
    </row>
    <row r="57" spans="1:21" ht="14.4" customHeight="1" x14ac:dyDescent="0.3">
      <c r="A57" s="570">
        <v>19</v>
      </c>
      <c r="B57" s="571" t="s">
        <v>510</v>
      </c>
      <c r="C57" s="571" t="s">
        <v>512</v>
      </c>
      <c r="D57" s="572" t="s">
        <v>709</v>
      </c>
      <c r="E57" s="573" t="s">
        <v>521</v>
      </c>
      <c r="F57" s="571" t="s">
        <v>511</v>
      </c>
      <c r="G57" s="571" t="s">
        <v>527</v>
      </c>
      <c r="H57" s="571" t="s">
        <v>420</v>
      </c>
      <c r="I57" s="571" t="s">
        <v>680</v>
      </c>
      <c r="J57" s="571" t="s">
        <v>529</v>
      </c>
      <c r="K57" s="571" t="s">
        <v>681</v>
      </c>
      <c r="L57" s="574">
        <v>91.11</v>
      </c>
      <c r="M57" s="574">
        <v>546.66</v>
      </c>
      <c r="N57" s="571">
        <v>6</v>
      </c>
      <c r="O57" s="575">
        <v>1.5</v>
      </c>
      <c r="P57" s="574"/>
      <c r="Q57" s="576">
        <v>0</v>
      </c>
      <c r="R57" s="571"/>
      <c r="S57" s="576">
        <v>0</v>
      </c>
      <c r="T57" s="575"/>
      <c r="U57" s="577">
        <v>0</v>
      </c>
    </row>
    <row r="58" spans="1:21" ht="14.4" customHeight="1" x14ac:dyDescent="0.3">
      <c r="A58" s="570">
        <v>19</v>
      </c>
      <c r="B58" s="571" t="s">
        <v>510</v>
      </c>
      <c r="C58" s="571" t="s">
        <v>512</v>
      </c>
      <c r="D58" s="572" t="s">
        <v>709</v>
      </c>
      <c r="E58" s="573" t="s">
        <v>521</v>
      </c>
      <c r="F58" s="571" t="s">
        <v>511</v>
      </c>
      <c r="G58" s="571" t="s">
        <v>531</v>
      </c>
      <c r="H58" s="571" t="s">
        <v>420</v>
      </c>
      <c r="I58" s="571" t="s">
        <v>532</v>
      </c>
      <c r="J58" s="571" t="s">
        <v>533</v>
      </c>
      <c r="K58" s="571" t="s">
        <v>534</v>
      </c>
      <c r="L58" s="574">
        <v>57.48</v>
      </c>
      <c r="M58" s="574">
        <v>344.88</v>
      </c>
      <c r="N58" s="571">
        <v>6</v>
      </c>
      <c r="O58" s="575">
        <v>3</v>
      </c>
      <c r="P58" s="574">
        <v>344.88</v>
      </c>
      <c r="Q58" s="576">
        <v>1</v>
      </c>
      <c r="R58" s="571">
        <v>6</v>
      </c>
      <c r="S58" s="576">
        <v>1</v>
      </c>
      <c r="T58" s="575">
        <v>3</v>
      </c>
      <c r="U58" s="577">
        <v>1</v>
      </c>
    </row>
    <row r="59" spans="1:21" ht="14.4" customHeight="1" x14ac:dyDescent="0.3">
      <c r="A59" s="570">
        <v>19</v>
      </c>
      <c r="B59" s="571" t="s">
        <v>510</v>
      </c>
      <c r="C59" s="571" t="s">
        <v>512</v>
      </c>
      <c r="D59" s="572" t="s">
        <v>709</v>
      </c>
      <c r="E59" s="573" t="s">
        <v>521</v>
      </c>
      <c r="F59" s="571" t="s">
        <v>511</v>
      </c>
      <c r="G59" s="571" t="s">
        <v>608</v>
      </c>
      <c r="H59" s="571" t="s">
        <v>420</v>
      </c>
      <c r="I59" s="571" t="s">
        <v>682</v>
      </c>
      <c r="J59" s="571" t="s">
        <v>683</v>
      </c>
      <c r="K59" s="571" t="s">
        <v>611</v>
      </c>
      <c r="L59" s="574">
        <v>86.41</v>
      </c>
      <c r="M59" s="574">
        <v>345.64</v>
      </c>
      <c r="N59" s="571">
        <v>4</v>
      </c>
      <c r="O59" s="575">
        <v>0.5</v>
      </c>
      <c r="P59" s="574"/>
      <c r="Q59" s="576">
        <v>0</v>
      </c>
      <c r="R59" s="571"/>
      <c r="S59" s="576">
        <v>0</v>
      </c>
      <c r="T59" s="575"/>
      <c r="U59" s="577">
        <v>0</v>
      </c>
    </row>
    <row r="60" spans="1:21" ht="14.4" customHeight="1" x14ac:dyDescent="0.3">
      <c r="A60" s="570">
        <v>19</v>
      </c>
      <c r="B60" s="571" t="s">
        <v>510</v>
      </c>
      <c r="C60" s="571" t="s">
        <v>512</v>
      </c>
      <c r="D60" s="572" t="s">
        <v>709</v>
      </c>
      <c r="E60" s="573" t="s">
        <v>521</v>
      </c>
      <c r="F60" s="571" t="s">
        <v>511</v>
      </c>
      <c r="G60" s="571" t="s">
        <v>684</v>
      </c>
      <c r="H60" s="571" t="s">
        <v>461</v>
      </c>
      <c r="I60" s="571" t="s">
        <v>685</v>
      </c>
      <c r="J60" s="571" t="s">
        <v>686</v>
      </c>
      <c r="K60" s="571" t="s">
        <v>687</v>
      </c>
      <c r="L60" s="574">
        <v>32.869999999999997</v>
      </c>
      <c r="M60" s="574">
        <v>98.609999999999985</v>
      </c>
      <c r="N60" s="571">
        <v>3</v>
      </c>
      <c r="O60" s="575">
        <v>0.5</v>
      </c>
      <c r="P60" s="574"/>
      <c r="Q60" s="576">
        <v>0</v>
      </c>
      <c r="R60" s="571"/>
      <c r="S60" s="576">
        <v>0</v>
      </c>
      <c r="T60" s="575"/>
      <c r="U60" s="577">
        <v>0</v>
      </c>
    </row>
    <row r="61" spans="1:21" ht="14.4" customHeight="1" x14ac:dyDescent="0.3">
      <c r="A61" s="570">
        <v>19</v>
      </c>
      <c r="B61" s="571" t="s">
        <v>510</v>
      </c>
      <c r="C61" s="571" t="s">
        <v>512</v>
      </c>
      <c r="D61" s="572" t="s">
        <v>709</v>
      </c>
      <c r="E61" s="573" t="s">
        <v>521</v>
      </c>
      <c r="F61" s="571" t="s">
        <v>511</v>
      </c>
      <c r="G61" s="571" t="s">
        <v>688</v>
      </c>
      <c r="H61" s="571" t="s">
        <v>461</v>
      </c>
      <c r="I61" s="571" t="s">
        <v>689</v>
      </c>
      <c r="J61" s="571" t="s">
        <v>690</v>
      </c>
      <c r="K61" s="571" t="s">
        <v>691</v>
      </c>
      <c r="L61" s="574">
        <v>234.07</v>
      </c>
      <c r="M61" s="574">
        <v>234.07</v>
      </c>
      <c r="N61" s="571">
        <v>1</v>
      </c>
      <c r="O61" s="575">
        <v>0.5</v>
      </c>
      <c r="P61" s="574"/>
      <c r="Q61" s="576">
        <v>0</v>
      </c>
      <c r="R61" s="571"/>
      <c r="S61" s="576">
        <v>0</v>
      </c>
      <c r="T61" s="575"/>
      <c r="U61" s="577">
        <v>0</v>
      </c>
    </row>
    <row r="62" spans="1:21" ht="14.4" customHeight="1" x14ac:dyDescent="0.3">
      <c r="A62" s="570">
        <v>19</v>
      </c>
      <c r="B62" s="571" t="s">
        <v>510</v>
      </c>
      <c r="C62" s="571" t="s">
        <v>512</v>
      </c>
      <c r="D62" s="572" t="s">
        <v>709</v>
      </c>
      <c r="E62" s="573" t="s">
        <v>521</v>
      </c>
      <c r="F62" s="571" t="s">
        <v>511</v>
      </c>
      <c r="G62" s="571" t="s">
        <v>626</v>
      </c>
      <c r="H62" s="571" t="s">
        <v>420</v>
      </c>
      <c r="I62" s="571" t="s">
        <v>627</v>
      </c>
      <c r="J62" s="571" t="s">
        <v>628</v>
      </c>
      <c r="K62" s="571" t="s">
        <v>629</v>
      </c>
      <c r="L62" s="574">
        <v>108.44</v>
      </c>
      <c r="M62" s="574">
        <v>108.44</v>
      </c>
      <c r="N62" s="571">
        <v>1</v>
      </c>
      <c r="O62" s="575">
        <v>1</v>
      </c>
      <c r="P62" s="574">
        <v>108.44</v>
      </c>
      <c r="Q62" s="576">
        <v>1</v>
      </c>
      <c r="R62" s="571">
        <v>1</v>
      </c>
      <c r="S62" s="576">
        <v>1</v>
      </c>
      <c r="T62" s="575">
        <v>1</v>
      </c>
      <c r="U62" s="577">
        <v>1</v>
      </c>
    </row>
    <row r="63" spans="1:21" ht="14.4" customHeight="1" x14ac:dyDescent="0.3">
      <c r="A63" s="570">
        <v>19</v>
      </c>
      <c r="B63" s="571" t="s">
        <v>510</v>
      </c>
      <c r="C63" s="571" t="s">
        <v>512</v>
      </c>
      <c r="D63" s="572" t="s">
        <v>709</v>
      </c>
      <c r="E63" s="573" t="s">
        <v>521</v>
      </c>
      <c r="F63" s="571" t="s">
        <v>511</v>
      </c>
      <c r="G63" s="571" t="s">
        <v>626</v>
      </c>
      <c r="H63" s="571" t="s">
        <v>420</v>
      </c>
      <c r="I63" s="571" t="s">
        <v>692</v>
      </c>
      <c r="J63" s="571" t="s">
        <v>628</v>
      </c>
      <c r="K63" s="571" t="s">
        <v>629</v>
      </c>
      <c r="L63" s="574">
        <v>52.61</v>
      </c>
      <c r="M63" s="574">
        <v>157.82999999999998</v>
      </c>
      <c r="N63" s="571">
        <v>3</v>
      </c>
      <c r="O63" s="575">
        <v>1</v>
      </c>
      <c r="P63" s="574">
        <v>157.82999999999998</v>
      </c>
      <c r="Q63" s="576">
        <v>1</v>
      </c>
      <c r="R63" s="571">
        <v>3</v>
      </c>
      <c r="S63" s="576">
        <v>1</v>
      </c>
      <c r="T63" s="575">
        <v>1</v>
      </c>
      <c r="U63" s="577">
        <v>1</v>
      </c>
    </row>
    <row r="64" spans="1:21" ht="14.4" customHeight="1" x14ac:dyDescent="0.3">
      <c r="A64" s="570">
        <v>19</v>
      </c>
      <c r="B64" s="571" t="s">
        <v>510</v>
      </c>
      <c r="C64" s="571" t="s">
        <v>512</v>
      </c>
      <c r="D64" s="572" t="s">
        <v>709</v>
      </c>
      <c r="E64" s="573" t="s">
        <v>521</v>
      </c>
      <c r="F64" s="571" t="s">
        <v>511</v>
      </c>
      <c r="G64" s="571" t="s">
        <v>630</v>
      </c>
      <c r="H64" s="571" t="s">
        <v>420</v>
      </c>
      <c r="I64" s="571" t="s">
        <v>693</v>
      </c>
      <c r="J64" s="571" t="s">
        <v>632</v>
      </c>
      <c r="K64" s="571" t="s">
        <v>694</v>
      </c>
      <c r="L64" s="574">
        <v>42.54</v>
      </c>
      <c r="M64" s="574">
        <v>42.54</v>
      </c>
      <c r="N64" s="571">
        <v>1</v>
      </c>
      <c r="O64" s="575">
        <v>1</v>
      </c>
      <c r="P64" s="574">
        <v>42.54</v>
      </c>
      <c r="Q64" s="576">
        <v>1</v>
      </c>
      <c r="R64" s="571">
        <v>1</v>
      </c>
      <c r="S64" s="576">
        <v>1</v>
      </c>
      <c r="T64" s="575">
        <v>1</v>
      </c>
      <c r="U64" s="577">
        <v>1</v>
      </c>
    </row>
    <row r="65" spans="1:21" ht="14.4" customHeight="1" x14ac:dyDescent="0.3">
      <c r="A65" s="570">
        <v>19</v>
      </c>
      <c r="B65" s="571" t="s">
        <v>510</v>
      </c>
      <c r="C65" s="571" t="s">
        <v>512</v>
      </c>
      <c r="D65" s="572" t="s">
        <v>709</v>
      </c>
      <c r="E65" s="573" t="s">
        <v>521</v>
      </c>
      <c r="F65" s="571" t="s">
        <v>511</v>
      </c>
      <c r="G65" s="571" t="s">
        <v>695</v>
      </c>
      <c r="H65" s="571" t="s">
        <v>420</v>
      </c>
      <c r="I65" s="571" t="s">
        <v>696</v>
      </c>
      <c r="J65" s="571" t="s">
        <v>697</v>
      </c>
      <c r="K65" s="571" t="s">
        <v>698</v>
      </c>
      <c r="L65" s="574">
        <v>149.69</v>
      </c>
      <c r="M65" s="574">
        <v>449.07</v>
      </c>
      <c r="N65" s="571">
        <v>3</v>
      </c>
      <c r="O65" s="575">
        <v>0.5</v>
      </c>
      <c r="P65" s="574"/>
      <c r="Q65" s="576">
        <v>0</v>
      </c>
      <c r="R65" s="571"/>
      <c r="S65" s="576">
        <v>0</v>
      </c>
      <c r="T65" s="575"/>
      <c r="U65" s="577">
        <v>0</v>
      </c>
    </row>
    <row r="66" spans="1:21" ht="14.4" customHeight="1" x14ac:dyDescent="0.3">
      <c r="A66" s="570">
        <v>19</v>
      </c>
      <c r="B66" s="571" t="s">
        <v>510</v>
      </c>
      <c r="C66" s="571" t="s">
        <v>512</v>
      </c>
      <c r="D66" s="572" t="s">
        <v>709</v>
      </c>
      <c r="E66" s="573" t="s">
        <v>521</v>
      </c>
      <c r="F66" s="571" t="s">
        <v>511</v>
      </c>
      <c r="G66" s="571" t="s">
        <v>695</v>
      </c>
      <c r="H66" s="571" t="s">
        <v>420</v>
      </c>
      <c r="I66" s="571" t="s">
        <v>696</v>
      </c>
      <c r="J66" s="571" t="s">
        <v>697</v>
      </c>
      <c r="K66" s="571" t="s">
        <v>698</v>
      </c>
      <c r="L66" s="574">
        <v>110.19</v>
      </c>
      <c r="M66" s="574">
        <v>330.57</v>
      </c>
      <c r="N66" s="571">
        <v>3</v>
      </c>
      <c r="O66" s="575">
        <v>0.5</v>
      </c>
      <c r="P66" s="574"/>
      <c r="Q66" s="576">
        <v>0</v>
      </c>
      <c r="R66" s="571"/>
      <c r="S66" s="576">
        <v>0</v>
      </c>
      <c r="T66" s="575"/>
      <c r="U66" s="577">
        <v>0</v>
      </c>
    </row>
    <row r="67" spans="1:21" ht="14.4" customHeight="1" x14ac:dyDescent="0.3">
      <c r="A67" s="570">
        <v>19</v>
      </c>
      <c r="B67" s="571" t="s">
        <v>510</v>
      </c>
      <c r="C67" s="571" t="s">
        <v>512</v>
      </c>
      <c r="D67" s="572" t="s">
        <v>709</v>
      </c>
      <c r="E67" s="573" t="s">
        <v>522</v>
      </c>
      <c r="F67" s="571" t="s">
        <v>511</v>
      </c>
      <c r="G67" s="571" t="s">
        <v>596</v>
      </c>
      <c r="H67" s="571" t="s">
        <v>420</v>
      </c>
      <c r="I67" s="571" t="s">
        <v>597</v>
      </c>
      <c r="J67" s="571" t="s">
        <v>598</v>
      </c>
      <c r="K67" s="571" t="s">
        <v>599</v>
      </c>
      <c r="L67" s="574">
        <v>48.09</v>
      </c>
      <c r="M67" s="574">
        <v>48.09</v>
      </c>
      <c r="N67" s="571">
        <v>1</v>
      </c>
      <c r="O67" s="575">
        <v>1</v>
      </c>
      <c r="P67" s="574">
        <v>48.09</v>
      </c>
      <c r="Q67" s="576">
        <v>1</v>
      </c>
      <c r="R67" s="571">
        <v>1</v>
      </c>
      <c r="S67" s="576">
        <v>1</v>
      </c>
      <c r="T67" s="575">
        <v>1</v>
      </c>
      <c r="U67" s="577">
        <v>1</v>
      </c>
    </row>
    <row r="68" spans="1:21" ht="14.4" customHeight="1" x14ac:dyDescent="0.3">
      <c r="A68" s="570">
        <v>19</v>
      </c>
      <c r="B68" s="571" t="s">
        <v>510</v>
      </c>
      <c r="C68" s="571" t="s">
        <v>512</v>
      </c>
      <c r="D68" s="572" t="s">
        <v>709</v>
      </c>
      <c r="E68" s="573" t="s">
        <v>522</v>
      </c>
      <c r="F68" s="571" t="s">
        <v>511</v>
      </c>
      <c r="G68" s="571" t="s">
        <v>600</v>
      </c>
      <c r="H68" s="571" t="s">
        <v>420</v>
      </c>
      <c r="I68" s="571" t="s">
        <v>601</v>
      </c>
      <c r="J68" s="571" t="s">
        <v>602</v>
      </c>
      <c r="K68" s="571" t="s">
        <v>603</v>
      </c>
      <c r="L68" s="574">
        <v>98.75</v>
      </c>
      <c r="M68" s="574">
        <v>98.75</v>
      </c>
      <c r="N68" s="571">
        <v>1</v>
      </c>
      <c r="O68" s="575">
        <v>0.5</v>
      </c>
      <c r="P68" s="574">
        <v>98.75</v>
      </c>
      <c r="Q68" s="576">
        <v>1</v>
      </c>
      <c r="R68" s="571">
        <v>1</v>
      </c>
      <c r="S68" s="576">
        <v>1</v>
      </c>
      <c r="T68" s="575">
        <v>0.5</v>
      </c>
      <c r="U68" s="577">
        <v>1</v>
      </c>
    </row>
    <row r="69" spans="1:21" ht="14.4" customHeight="1" x14ac:dyDescent="0.3">
      <c r="A69" s="570">
        <v>19</v>
      </c>
      <c r="B69" s="571" t="s">
        <v>510</v>
      </c>
      <c r="C69" s="571" t="s">
        <v>512</v>
      </c>
      <c r="D69" s="572" t="s">
        <v>709</v>
      </c>
      <c r="E69" s="573" t="s">
        <v>522</v>
      </c>
      <c r="F69" s="571" t="s">
        <v>511</v>
      </c>
      <c r="G69" s="571" t="s">
        <v>531</v>
      </c>
      <c r="H69" s="571" t="s">
        <v>420</v>
      </c>
      <c r="I69" s="571" t="s">
        <v>532</v>
      </c>
      <c r="J69" s="571" t="s">
        <v>533</v>
      </c>
      <c r="K69" s="571" t="s">
        <v>534</v>
      </c>
      <c r="L69" s="574">
        <v>57.48</v>
      </c>
      <c r="M69" s="574">
        <v>1149.6000000000001</v>
      </c>
      <c r="N69" s="571">
        <v>20</v>
      </c>
      <c r="O69" s="575">
        <v>8</v>
      </c>
      <c r="P69" s="574">
        <v>1149.6000000000001</v>
      </c>
      <c r="Q69" s="576">
        <v>1</v>
      </c>
      <c r="R69" s="571">
        <v>20</v>
      </c>
      <c r="S69" s="576">
        <v>1</v>
      </c>
      <c r="T69" s="575">
        <v>8</v>
      </c>
      <c r="U69" s="577">
        <v>1</v>
      </c>
    </row>
    <row r="70" spans="1:21" ht="14.4" customHeight="1" x14ac:dyDescent="0.3">
      <c r="A70" s="570">
        <v>19</v>
      </c>
      <c r="B70" s="571" t="s">
        <v>510</v>
      </c>
      <c r="C70" s="571" t="s">
        <v>512</v>
      </c>
      <c r="D70" s="572" t="s">
        <v>709</v>
      </c>
      <c r="E70" s="573" t="s">
        <v>522</v>
      </c>
      <c r="F70" s="571" t="s">
        <v>511</v>
      </c>
      <c r="G70" s="571" t="s">
        <v>699</v>
      </c>
      <c r="H70" s="571" t="s">
        <v>420</v>
      </c>
      <c r="I70" s="571" t="s">
        <v>700</v>
      </c>
      <c r="J70" s="571" t="s">
        <v>701</v>
      </c>
      <c r="K70" s="571" t="s">
        <v>702</v>
      </c>
      <c r="L70" s="574">
        <v>38.56</v>
      </c>
      <c r="M70" s="574">
        <v>38.56</v>
      </c>
      <c r="N70" s="571">
        <v>1</v>
      </c>
      <c r="O70" s="575">
        <v>0.5</v>
      </c>
      <c r="P70" s="574">
        <v>38.56</v>
      </c>
      <c r="Q70" s="576">
        <v>1</v>
      </c>
      <c r="R70" s="571">
        <v>1</v>
      </c>
      <c r="S70" s="576">
        <v>1</v>
      </c>
      <c r="T70" s="575">
        <v>0.5</v>
      </c>
      <c r="U70" s="577">
        <v>1</v>
      </c>
    </row>
    <row r="71" spans="1:21" ht="14.4" customHeight="1" x14ac:dyDescent="0.3">
      <c r="A71" s="570">
        <v>19</v>
      </c>
      <c r="B71" s="571" t="s">
        <v>510</v>
      </c>
      <c r="C71" s="571" t="s">
        <v>512</v>
      </c>
      <c r="D71" s="572" t="s">
        <v>709</v>
      </c>
      <c r="E71" s="573" t="s">
        <v>522</v>
      </c>
      <c r="F71" s="571" t="s">
        <v>511</v>
      </c>
      <c r="G71" s="571" t="s">
        <v>612</v>
      </c>
      <c r="H71" s="571" t="s">
        <v>461</v>
      </c>
      <c r="I71" s="571" t="s">
        <v>613</v>
      </c>
      <c r="J71" s="571" t="s">
        <v>614</v>
      </c>
      <c r="K71" s="571" t="s">
        <v>615</v>
      </c>
      <c r="L71" s="574">
        <v>48.42</v>
      </c>
      <c r="M71" s="574">
        <v>48.42</v>
      </c>
      <c r="N71" s="571">
        <v>1</v>
      </c>
      <c r="O71" s="575">
        <v>0.5</v>
      </c>
      <c r="P71" s="574">
        <v>48.42</v>
      </c>
      <c r="Q71" s="576">
        <v>1</v>
      </c>
      <c r="R71" s="571">
        <v>1</v>
      </c>
      <c r="S71" s="576">
        <v>1</v>
      </c>
      <c r="T71" s="575">
        <v>0.5</v>
      </c>
      <c r="U71" s="577">
        <v>1</v>
      </c>
    </row>
    <row r="72" spans="1:21" ht="14.4" customHeight="1" x14ac:dyDescent="0.3">
      <c r="A72" s="570">
        <v>19</v>
      </c>
      <c r="B72" s="571" t="s">
        <v>510</v>
      </c>
      <c r="C72" s="571" t="s">
        <v>512</v>
      </c>
      <c r="D72" s="572" t="s">
        <v>709</v>
      </c>
      <c r="E72" s="573" t="s">
        <v>522</v>
      </c>
      <c r="F72" s="571" t="s">
        <v>511</v>
      </c>
      <c r="G72" s="571" t="s">
        <v>540</v>
      </c>
      <c r="H72" s="571" t="s">
        <v>420</v>
      </c>
      <c r="I72" s="571" t="s">
        <v>541</v>
      </c>
      <c r="J72" s="571" t="s">
        <v>542</v>
      </c>
      <c r="K72" s="571" t="s">
        <v>543</v>
      </c>
      <c r="L72" s="574">
        <v>0</v>
      </c>
      <c r="M72" s="574">
        <v>0</v>
      </c>
      <c r="N72" s="571">
        <v>8</v>
      </c>
      <c r="O72" s="575">
        <v>2</v>
      </c>
      <c r="P72" s="574">
        <v>0</v>
      </c>
      <c r="Q72" s="576"/>
      <c r="R72" s="571">
        <v>8</v>
      </c>
      <c r="S72" s="576">
        <v>1</v>
      </c>
      <c r="T72" s="575">
        <v>2</v>
      </c>
      <c r="U72" s="577">
        <v>1</v>
      </c>
    </row>
    <row r="73" spans="1:21" ht="14.4" customHeight="1" x14ac:dyDescent="0.3">
      <c r="A73" s="570">
        <v>19</v>
      </c>
      <c r="B73" s="571" t="s">
        <v>510</v>
      </c>
      <c r="C73" s="571" t="s">
        <v>512</v>
      </c>
      <c r="D73" s="572" t="s">
        <v>709</v>
      </c>
      <c r="E73" s="573" t="s">
        <v>522</v>
      </c>
      <c r="F73" s="571" t="s">
        <v>511</v>
      </c>
      <c r="G73" s="571" t="s">
        <v>545</v>
      </c>
      <c r="H73" s="571" t="s">
        <v>420</v>
      </c>
      <c r="I73" s="571" t="s">
        <v>546</v>
      </c>
      <c r="J73" s="571" t="s">
        <v>547</v>
      </c>
      <c r="K73" s="571" t="s">
        <v>548</v>
      </c>
      <c r="L73" s="574">
        <v>0</v>
      </c>
      <c r="M73" s="574">
        <v>0</v>
      </c>
      <c r="N73" s="571">
        <v>9</v>
      </c>
      <c r="O73" s="575">
        <v>3</v>
      </c>
      <c r="P73" s="574">
        <v>0</v>
      </c>
      <c r="Q73" s="576"/>
      <c r="R73" s="571">
        <v>9</v>
      </c>
      <c r="S73" s="576">
        <v>1</v>
      </c>
      <c r="T73" s="575">
        <v>3</v>
      </c>
      <c r="U73" s="577">
        <v>1</v>
      </c>
    </row>
    <row r="74" spans="1:21" ht="14.4" customHeight="1" x14ac:dyDescent="0.3">
      <c r="A74" s="570">
        <v>19</v>
      </c>
      <c r="B74" s="571" t="s">
        <v>510</v>
      </c>
      <c r="C74" s="571" t="s">
        <v>512</v>
      </c>
      <c r="D74" s="572" t="s">
        <v>709</v>
      </c>
      <c r="E74" s="573" t="s">
        <v>522</v>
      </c>
      <c r="F74" s="571" t="s">
        <v>511</v>
      </c>
      <c r="G74" s="571" t="s">
        <v>703</v>
      </c>
      <c r="H74" s="571" t="s">
        <v>461</v>
      </c>
      <c r="I74" s="571" t="s">
        <v>704</v>
      </c>
      <c r="J74" s="571" t="s">
        <v>705</v>
      </c>
      <c r="K74" s="571" t="s">
        <v>706</v>
      </c>
      <c r="L74" s="574">
        <v>0</v>
      </c>
      <c r="M74" s="574">
        <v>0</v>
      </c>
      <c r="N74" s="571">
        <v>1</v>
      </c>
      <c r="O74" s="575">
        <v>0.5</v>
      </c>
      <c r="P74" s="574">
        <v>0</v>
      </c>
      <c r="Q74" s="576"/>
      <c r="R74" s="571">
        <v>1</v>
      </c>
      <c r="S74" s="576">
        <v>1</v>
      </c>
      <c r="T74" s="575">
        <v>0.5</v>
      </c>
      <c r="U74" s="577">
        <v>1</v>
      </c>
    </row>
    <row r="75" spans="1:21" ht="14.4" customHeight="1" x14ac:dyDescent="0.3">
      <c r="A75" s="570">
        <v>19</v>
      </c>
      <c r="B75" s="571" t="s">
        <v>510</v>
      </c>
      <c r="C75" s="571" t="s">
        <v>512</v>
      </c>
      <c r="D75" s="572" t="s">
        <v>709</v>
      </c>
      <c r="E75" s="573" t="s">
        <v>522</v>
      </c>
      <c r="F75" s="571" t="s">
        <v>511</v>
      </c>
      <c r="G75" s="571" t="s">
        <v>630</v>
      </c>
      <c r="H75" s="571" t="s">
        <v>420</v>
      </c>
      <c r="I75" s="571" t="s">
        <v>631</v>
      </c>
      <c r="J75" s="571" t="s">
        <v>632</v>
      </c>
      <c r="K75" s="571" t="s">
        <v>633</v>
      </c>
      <c r="L75" s="574">
        <v>59.56</v>
      </c>
      <c r="M75" s="574">
        <v>59.56</v>
      </c>
      <c r="N75" s="571">
        <v>1</v>
      </c>
      <c r="O75" s="575">
        <v>1</v>
      </c>
      <c r="P75" s="574">
        <v>59.56</v>
      </c>
      <c r="Q75" s="576">
        <v>1</v>
      </c>
      <c r="R75" s="571">
        <v>1</v>
      </c>
      <c r="S75" s="576">
        <v>1</v>
      </c>
      <c r="T75" s="575">
        <v>1</v>
      </c>
      <c r="U75" s="577">
        <v>1</v>
      </c>
    </row>
    <row r="76" spans="1:21" ht="14.4" customHeight="1" x14ac:dyDescent="0.3">
      <c r="A76" s="570">
        <v>19</v>
      </c>
      <c r="B76" s="571" t="s">
        <v>510</v>
      </c>
      <c r="C76" s="571" t="s">
        <v>512</v>
      </c>
      <c r="D76" s="572" t="s">
        <v>709</v>
      </c>
      <c r="E76" s="573" t="s">
        <v>522</v>
      </c>
      <c r="F76" s="571" t="s">
        <v>511</v>
      </c>
      <c r="G76" s="571" t="s">
        <v>634</v>
      </c>
      <c r="H76" s="571" t="s">
        <v>420</v>
      </c>
      <c r="I76" s="571" t="s">
        <v>707</v>
      </c>
      <c r="J76" s="571" t="s">
        <v>636</v>
      </c>
      <c r="K76" s="571" t="s">
        <v>708</v>
      </c>
      <c r="L76" s="574">
        <v>0</v>
      </c>
      <c r="M76" s="574">
        <v>0</v>
      </c>
      <c r="N76" s="571">
        <v>1</v>
      </c>
      <c r="O76" s="575">
        <v>1</v>
      </c>
      <c r="P76" s="574">
        <v>0</v>
      </c>
      <c r="Q76" s="576"/>
      <c r="R76" s="571">
        <v>1</v>
      </c>
      <c r="S76" s="576">
        <v>1</v>
      </c>
      <c r="T76" s="575">
        <v>1</v>
      </c>
      <c r="U76" s="577">
        <v>1</v>
      </c>
    </row>
    <row r="77" spans="1:21" ht="14.4" customHeight="1" thickBot="1" x14ac:dyDescent="0.35">
      <c r="A77" s="578">
        <v>19</v>
      </c>
      <c r="B77" s="579" t="s">
        <v>510</v>
      </c>
      <c r="C77" s="579" t="s">
        <v>512</v>
      </c>
      <c r="D77" s="580" t="s">
        <v>709</v>
      </c>
      <c r="E77" s="581" t="s">
        <v>522</v>
      </c>
      <c r="F77" s="579" t="s">
        <v>511</v>
      </c>
      <c r="G77" s="579" t="s">
        <v>556</v>
      </c>
      <c r="H77" s="579" t="s">
        <v>420</v>
      </c>
      <c r="I77" s="579" t="s">
        <v>557</v>
      </c>
      <c r="J77" s="579" t="s">
        <v>558</v>
      </c>
      <c r="K77" s="579" t="s">
        <v>559</v>
      </c>
      <c r="L77" s="582">
        <v>0</v>
      </c>
      <c r="M77" s="582">
        <v>0</v>
      </c>
      <c r="N77" s="579">
        <v>1</v>
      </c>
      <c r="O77" s="583">
        <v>1</v>
      </c>
      <c r="P77" s="582">
        <v>0</v>
      </c>
      <c r="Q77" s="584"/>
      <c r="R77" s="579">
        <v>1</v>
      </c>
      <c r="S77" s="584">
        <v>1</v>
      </c>
      <c r="T77" s="583">
        <v>1</v>
      </c>
      <c r="U77" s="58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81" t="s">
        <v>711</v>
      </c>
      <c r="B1" s="382"/>
      <c r="C1" s="382"/>
      <c r="D1" s="382"/>
      <c r="E1" s="382"/>
      <c r="F1" s="382"/>
    </row>
    <row r="2" spans="1:6" ht="14.4" customHeight="1" thickBot="1" x14ac:dyDescent="0.35">
      <c r="A2" s="235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83" t="s">
        <v>130</v>
      </c>
      <c r="C3" s="384"/>
      <c r="D3" s="385" t="s">
        <v>129</v>
      </c>
      <c r="E3" s="384"/>
      <c r="F3" s="80" t="s">
        <v>3</v>
      </c>
    </row>
    <row r="4" spans="1:6" ht="14.4" customHeight="1" thickBot="1" x14ac:dyDescent="0.35">
      <c r="A4" s="586" t="s">
        <v>166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" customHeight="1" x14ac:dyDescent="0.3">
      <c r="A5" s="595" t="s">
        <v>519</v>
      </c>
      <c r="B5" s="116">
        <v>532.32999999999993</v>
      </c>
      <c r="C5" s="569">
        <v>0.43139272921765337</v>
      </c>
      <c r="D5" s="116">
        <v>701.65000000000009</v>
      </c>
      <c r="E5" s="569">
        <v>0.56860727078234663</v>
      </c>
      <c r="F5" s="587">
        <v>1233.98</v>
      </c>
    </row>
    <row r="6" spans="1:6" ht="14.4" customHeight="1" x14ac:dyDescent="0.3">
      <c r="A6" s="596" t="s">
        <v>520</v>
      </c>
      <c r="B6" s="588">
        <v>407.42999999999995</v>
      </c>
      <c r="C6" s="576">
        <v>0.25569850633864688</v>
      </c>
      <c r="D6" s="588">
        <v>1185.97</v>
      </c>
      <c r="E6" s="576">
        <v>0.74430149366135301</v>
      </c>
      <c r="F6" s="589">
        <v>1593.4</v>
      </c>
    </row>
    <row r="7" spans="1:6" ht="14.4" customHeight="1" x14ac:dyDescent="0.3">
      <c r="A7" s="596" t="s">
        <v>521</v>
      </c>
      <c r="B7" s="588">
        <v>345.64</v>
      </c>
      <c r="C7" s="576">
        <v>0.77803038829487903</v>
      </c>
      <c r="D7" s="588">
        <v>98.609999999999985</v>
      </c>
      <c r="E7" s="576">
        <v>0.22196961170512094</v>
      </c>
      <c r="F7" s="589">
        <v>444.25</v>
      </c>
    </row>
    <row r="8" spans="1:6" ht="14.4" customHeight="1" thickBot="1" x14ac:dyDescent="0.35">
      <c r="A8" s="597" t="s">
        <v>522</v>
      </c>
      <c r="B8" s="592"/>
      <c r="C8" s="593">
        <v>0</v>
      </c>
      <c r="D8" s="592">
        <v>48.42</v>
      </c>
      <c r="E8" s="593">
        <v>1</v>
      </c>
      <c r="F8" s="594">
        <v>48.42</v>
      </c>
    </row>
    <row r="9" spans="1:6" ht="14.4" customHeight="1" thickBot="1" x14ac:dyDescent="0.35">
      <c r="A9" s="506" t="s">
        <v>3</v>
      </c>
      <c r="B9" s="507">
        <v>1285.3999999999999</v>
      </c>
      <c r="C9" s="508">
        <v>0.38716284393307321</v>
      </c>
      <c r="D9" s="507">
        <v>2034.65</v>
      </c>
      <c r="E9" s="508">
        <v>0.61283715606692668</v>
      </c>
      <c r="F9" s="509">
        <v>3320.05</v>
      </c>
    </row>
    <row r="10" spans="1:6" ht="14.4" customHeight="1" thickBot="1" x14ac:dyDescent="0.35"/>
    <row r="11" spans="1:6" ht="14.4" customHeight="1" x14ac:dyDescent="0.3">
      <c r="A11" s="595" t="s">
        <v>712</v>
      </c>
      <c r="B11" s="116">
        <v>345.64</v>
      </c>
      <c r="C11" s="569">
        <v>1</v>
      </c>
      <c r="D11" s="116"/>
      <c r="E11" s="569">
        <v>0</v>
      </c>
      <c r="F11" s="587">
        <v>345.64</v>
      </c>
    </row>
    <row r="12" spans="1:6" ht="14.4" customHeight="1" x14ac:dyDescent="0.3">
      <c r="A12" s="596" t="s">
        <v>713</v>
      </c>
      <c r="B12" s="588">
        <v>310.58999999999997</v>
      </c>
      <c r="C12" s="576">
        <v>0.44180025888678681</v>
      </c>
      <c r="D12" s="588">
        <v>392.42</v>
      </c>
      <c r="E12" s="576">
        <v>0.55819974111321324</v>
      </c>
      <c r="F12" s="589">
        <v>703.01</v>
      </c>
    </row>
    <row r="13" spans="1:6" ht="14.4" customHeight="1" x14ac:dyDescent="0.3">
      <c r="A13" s="596" t="s">
        <v>714</v>
      </c>
      <c r="B13" s="588">
        <v>207.45</v>
      </c>
      <c r="C13" s="576">
        <v>1</v>
      </c>
      <c r="D13" s="588"/>
      <c r="E13" s="576">
        <v>0</v>
      </c>
      <c r="F13" s="589">
        <v>207.45</v>
      </c>
    </row>
    <row r="14" spans="1:6" ht="14.4" customHeight="1" x14ac:dyDescent="0.3">
      <c r="A14" s="596" t="s">
        <v>715</v>
      </c>
      <c r="B14" s="588">
        <v>170.52</v>
      </c>
      <c r="C14" s="576">
        <v>1</v>
      </c>
      <c r="D14" s="588"/>
      <c r="E14" s="576">
        <v>0</v>
      </c>
      <c r="F14" s="589">
        <v>170.52</v>
      </c>
    </row>
    <row r="15" spans="1:6" ht="14.4" customHeight="1" x14ac:dyDescent="0.3">
      <c r="A15" s="596" t="s">
        <v>716</v>
      </c>
      <c r="B15" s="588">
        <v>154.36000000000001</v>
      </c>
      <c r="C15" s="576">
        <v>0.28918280939712993</v>
      </c>
      <c r="D15" s="588">
        <v>379.42</v>
      </c>
      <c r="E15" s="576">
        <v>0.71081719060287019</v>
      </c>
      <c r="F15" s="589">
        <v>533.78</v>
      </c>
    </row>
    <row r="16" spans="1:6" ht="14.4" customHeight="1" x14ac:dyDescent="0.3">
      <c r="A16" s="596" t="s">
        <v>717</v>
      </c>
      <c r="B16" s="588">
        <v>96.84</v>
      </c>
      <c r="C16" s="576">
        <v>0.5</v>
      </c>
      <c r="D16" s="588">
        <v>96.84</v>
      </c>
      <c r="E16" s="576">
        <v>0.5</v>
      </c>
      <c r="F16" s="589">
        <v>193.68</v>
      </c>
    </row>
    <row r="17" spans="1:6" ht="14.4" customHeight="1" x14ac:dyDescent="0.3">
      <c r="A17" s="596" t="s">
        <v>718</v>
      </c>
      <c r="B17" s="588"/>
      <c r="C17" s="576">
        <v>0</v>
      </c>
      <c r="D17" s="588">
        <v>747.48</v>
      </c>
      <c r="E17" s="576">
        <v>1</v>
      </c>
      <c r="F17" s="589">
        <v>747.48</v>
      </c>
    </row>
    <row r="18" spans="1:6" ht="14.4" customHeight="1" x14ac:dyDescent="0.3">
      <c r="A18" s="596" t="s">
        <v>719</v>
      </c>
      <c r="B18" s="588"/>
      <c r="C18" s="576">
        <v>0</v>
      </c>
      <c r="D18" s="588">
        <v>207.45</v>
      </c>
      <c r="E18" s="576">
        <v>1</v>
      </c>
      <c r="F18" s="589">
        <v>207.45</v>
      </c>
    </row>
    <row r="19" spans="1:6" ht="14.4" customHeight="1" x14ac:dyDescent="0.3">
      <c r="A19" s="596" t="s">
        <v>720</v>
      </c>
      <c r="B19" s="588">
        <v>0</v>
      </c>
      <c r="C19" s="576"/>
      <c r="D19" s="588">
        <v>0</v>
      </c>
      <c r="E19" s="576"/>
      <c r="F19" s="589">
        <v>0</v>
      </c>
    </row>
    <row r="20" spans="1:6" ht="14.4" customHeight="1" x14ac:dyDescent="0.3">
      <c r="A20" s="596" t="s">
        <v>721</v>
      </c>
      <c r="B20" s="588"/>
      <c r="C20" s="576">
        <v>0</v>
      </c>
      <c r="D20" s="588">
        <v>61.66</v>
      </c>
      <c r="E20" s="576">
        <v>1</v>
      </c>
      <c r="F20" s="589">
        <v>61.66</v>
      </c>
    </row>
    <row r="21" spans="1:6" ht="14.4" customHeight="1" x14ac:dyDescent="0.3">
      <c r="A21" s="596" t="s">
        <v>722</v>
      </c>
      <c r="B21" s="588"/>
      <c r="C21" s="576">
        <v>0</v>
      </c>
      <c r="D21" s="588">
        <v>98.609999999999985</v>
      </c>
      <c r="E21" s="576">
        <v>1</v>
      </c>
      <c r="F21" s="589">
        <v>98.609999999999985</v>
      </c>
    </row>
    <row r="22" spans="1:6" ht="14.4" customHeight="1" x14ac:dyDescent="0.3">
      <c r="A22" s="596" t="s">
        <v>723</v>
      </c>
      <c r="B22" s="588"/>
      <c r="C22" s="576">
        <v>0</v>
      </c>
      <c r="D22" s="588">
        <v>46.07</v>
      </c>
      <c r="E22" s="576">
        <v>1</v>
      </c>
      <c r="F22" s="589">
        <v>46.07</v>
      </c>
    </row>
    <row r="23" spans="1:6" ht="14.4" customHeight="1" thickBot="1" x14ac:dyDescent="0.35">
      <c r="A23" s="597" t="s">
        <v>724</v>
      </c>
      <c r="B23" s="592"/>
      <c r="C23" s="593">
        <v>0</v>
      </c>
      <c r="D23" s="592">
        <v>4.7</v>
      </c>
      <c r="E23" s="593">
        <v>1</v>
      </c>
      <c r="F23" s="594">
        <v>4.7</v>
      </c>
    </row>
    <row r="24" spans="1:6" ht="14.4" customHeight="1" thickBot="1" x14ac:dyDescent="0.35">
      <c r="A24" s="506" t="s">
        <v>3</v>
      </c>
      <c r="B24" s="507">
        <v>1285.4000000000001</v>
      </c>
      <c r="C24" s="508">
        <v>0.38716284393307343</v>
      </c>
      <c r="D24" s="507">
        <v>2034.6499999999999</v>
      </c>
      <c r="E24" s="508">
        <v>0.61283715606692679</v>
      </c>
      <c r="F24" s="509">
        <v>3320.0499999999993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{11E485A2-E546-465A-8BEC-411F1E6545C8}</x14:id>
        </ext>
      </extLst>
    </cfRule>
  </conditionalFormatting>
  <conditionalFormatting sqref="F11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{92020933-C32E-4EA8-9FA9-A0FEFA9F6705}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E485A2-E546-465A-8BEC-411F1E6545C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92020933-C32E-4EA8-9FA9-A0FEFA9F670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82" t="s">
        <v>738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43"/>
      <c r="M1" s="343"/>
    </row>
    <row r="2" spans="1:13" ht="14.4" customHeight="1" thickBot="1" x14ac:dyDescent="0.35">
      <c r="A2" s="235" t="s">
        <v>259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12</v>
      </c>
      <c r="G3" s="43">
        <f>SUBTOTAL(9,G6:G1048576)</f>
        <v>1285.3999999999999</v>
      </c>
      <c r="H3" s="44">
        <f>IF(M3=0,0,G3/M3)</f>
        <v>0.38716284393307321</v>
      </c>
      <c r="I3" s="43">
        <f>SUBTOTAL(9,I6:I1048576)</f>
        <v>30</v>
      </c>
      <c r="J3" s="43">
        <f>SUBTOTAL(9,J6:J1048576)</f>
        <v>2034.65</v>
      </c>
      <c r="K3" s="44">
        <f>IF(M3=0,0,J3/M3)</f>
        <v>0.61283715606692657</v>
      </c>
      <c r="L3" s="43">
        <f>SUBTOTAL(9,L6:L1048576)</f>
        <v>42</v>
      </c>
      <c r="M3" s="45">
        <f>SUBTOTAL(9,M6:M1048576)</f>
        <v>3320.0500000000006</v>
      </c>
    </row>
    <row r="4" spans="1:13" ht="14.4" customHeight="1" thickBot="1" x14ac:dyDescent="0.35">
      <c r="A4" s="41"/>
      <c r="B4" s="41"/>
      <c r="C4" s="41"/>
      <c r="D4" s="41"/>
      <c r="E4" s="42"/>
      <c r="F4" s="386" t="s">
        <v>130</v>
      </c>
      <c r="G4" s="387"/>
      <c r="H4" s="388"/>
      <c r="I4" s="389" t="s">
        <v>129</v>
      </c>
      <c r="J4" s="387"/>
      <c r="K4" s="388"/>
      <c r="L4" s="390" t="s">
        <v>3</v>
      </c>
      <c r="M4" s="391"/>
    </row>
    <row r="5" spans="1:13" ht="14.4" customHeight="1" thickBot="1" x14ac:dyDescent="0.35">
      <c r="A5" s="586" t="s">
        <v>136</v>
      </c>
      <c r="B5" s="598" t="s">
        <v>132</v>
      </c>
      <c r="C5" s="598" t="s">
        <v>71</v>
      </c>
      <c r="D5" s="598" t="s">
        <v>133</v>
      </c>
      <c r="E5" s="598" t="s">
        <v>134</v>
      </c>
      <c r="F5" s="519" t="s">
        <v>28</v>
      </c>
      <c r="G5" s="519" t="s">
        <v>14</v>
      </c>
      <c r="H5" s="501" t="s">
        <v>135</v>
      </c>
      <c r="I5" s="500" t="s">
        <v>28</v>
      </c>
      <c r="J5" s="519" t="s">
        <v>14</v>
      </c>
      <c r="K5" s="501" t="s">
        <v>135</v>
      </c>
      <c r="L5" s="500" t="s">
        <v>28</v>
      </c>
      <c r="M5" s="520" t="s">
        <v>14</v>
      </c>
    </row>
    <row r="6" spans="1:13" ht="14.4" customHeight="1" x14ac:dyDescent="0.3">
      <c r="A6" s="563" t="s">
        <v>519</v>
      </c>
      <c r="B6" s="564" t="s">
        <v>725</v>
      </c>
      <c r="C6" s="564" t="s">
        <v>585</v>
      </c>
      <c r="D6" s="564" t="s">
        <v>586</v>
      </c>
      <c r="E6" s="564" t="s">
        <v>587</v>
      </c>
      <c r="F6" s="116"/>
      <c r="G6" s="116"/>
      <c r="H6" s="569">
        <v>0</v>
      </c>
      <c r="I6" s="116">
        <v>2</v>
      </c>
      <c r="J6" s="116">
        <v>61.66</v>
      </c>
      <c r="K6" s="569">
        <v>1</v>
      </c>
      <c r="L6" s="116">
        <v>2</v>
      </c>
      <c r="M6" s="587">
        <v>61.66</v>
      </c>
    </row>
    <row r="7" spans="1:13" ht="14.4" customHeight="1" x14ac:dyDescent="0.3">
      <c r="A7" s="570" t="s">
        <v>519</v>
      </c>
      <c r="B7" s="571" t="s">
        <v>726</v>
      </c>
      <c r="C7" s="571" t="s">
        <v>565</v>
      </c>
      <c r="D7" s="571" t="s">
        <v>566</v>
      </c>
      <c r="E7" s="571" t="s">
        <v>567</v>
      </c>
      <c r="F7" s="588">
        <v>1</v>
      </c>
      <c r="G7" s="588">
        <v>154.36000000000001</v>
      </c>
      <c r="H7" s="576">
        <v>1</v>
      </c>
      <c r="I7" s="588"/>
      <c r="J7" s="588"/>
      <c r="K7" s="576">
        <v>0</v>
      </c>
      <c r="L7" s="588">
        <v>1</v>
      </c>
      <c r="M7" s="589">
        <v>154.36000000000001</v>
      </c>
    </row>
    <row r="8" spans="1:13" ht="14.4" customHeight="1" x14ac:dyDescent="0.3">
      <c r="A8" s="570" t="s">
        <v>519</v>
      </c>
      <c r="B8" s="571" t="s">
        <v>726</v>
      </c>
      <c r="C8" s="571" t="s">
        <v>568</v>
      </c>
      <c r="D8" s="571" t="s">
        <v>569</v>
      </c>
      <c r="E8" s="571" t="s">
        <v>567</v>
      </c>
      <c r="F8" s="588"/>
      <c r="G8" s="588"/>
      <c r="H8" s="576">
        <v>0</v>
      </c>
      <c r="I8" s="588">
        <v>1</v>
      </c>
      <c r="J8" s="588">
        <v>154.36000000000001</v>
      </c>
      <c r="K8" s="576">
        <v>1</v>
      </c>
      <c r="L8" s="588">
        <v>1</v>
      </c>
      <c r="M8" s="589">
        <v>154.36000000000001</v>
      </c>
    </row>
    <row r="9" spans="1:13" ht="14.4" customHeight="1" x14ac:dyDescent="0.3">
      <c r="A9" s="570" t="s">
        <v>519</v>
      </c>
      <c r="B9" s="571" t="s">
        <v>726</v>
      </c>
      <c r="C9" s="571" t="s">
        <v>570</v>
      </c>
      <c r="D9" s="571" t="s">
        <v>569</v>
      </c>
      <c r="E9" s="571" t="s">
        <v>571</v>
      </c>
      <c r="F9" s="588"/>
      <c r="G9" s="588"/>
      <c r="H9" s="576">
        <v>0</v>
      </c>
      <c r="I9" s="588">
        <v>1</v>
      </c>
      <c r="J9" s="588">
        <v>225.06</v>
      </c>
      <c r="K9" s="576">
        <v>1</v>
      </c>
      <c r="L9" s="588">
        <v>1</v>
      </c>
      <c r="M9" s="589">
        <v>225.06</v>
      </c>
    </row>
    <row r="10" spans="1:13" ht="14.4" customHeight="1" x14ac:dyDescent="0.3">
      <c r="A10" s="570" t="s">
        <v>519</v>
      </c>
      <c r="B10" s="571" t="s">
        <v>727</v>
      </c>
      <c r="C10" s="571" t="s">
        <v>573</v>
      </c>
      <c r="D10" s="571" t="s">
        <v>574</v>
      </c>
      <c r="E10" s="571" t="s">
        <v>575</v>
      </c>
      <c r="F10" s="588">
        <v>1</v>
      </c>
      <c r="G10" s="588">
        <v>170.52</v>
      </c>
      <c r="H10" s="576">
        <v>1</v>
      </c>
      <c r="I10" s="588"/>
      <c r="J10" s="588"/>
      <c r="K10" s="576">
        <v>0</v>
      </c>
      <c r="L10" s="588">
        <v>1</v>
      </c>
      <c r="M10" s="589">
        <v>170.52</v>
      </c>
    </row>
    <row r="11" spans="1:13" ht="14.4" customHeight="1" x14ac:dyDescent="0.3">
      <c r="A11" s="570" t="s">
        <v>519</v>
      </c>
      <c r="B11" s="571" t="s">
        <v>728</v>
      </c>
      <c r="C11" s="571" t="s">
        <v>613</v>
      </c>
      <c r="D11" s="571" t="s">
        <v>614</v>
      </c>
      <c r="E11" s="571" t="s">
        <v>615</v>
      </c>
      <c r="F11" s="588"/>
      <c r="G11" s="588"/>
      <c r="H11" s="576">
        <v>0</v>
      </c>
      <c r="I11" s="588">
        <v>1</v>
      </c>
      <c r="J11" s="588">
        <v>48.42</v>
      </c>
      <c r="K11" s="576">
        <v>1</v>
      </c>
      <c r="L11" s="588">
        <v>1</v>
      </c>
      <c r="M11" s="589">
        <v>48.42</v>
      </c>
    </row>
    <row r="12" spans="1:13" ht="14.4" customHeight="1" x14ac:dyDescent="0.3">
      <c r="A12" s="570" t="s">
        <v>519</v>
      </c>
      <c r="B12" s="571" t="s">
        <v>729</v>
      </c>
      <c r="C12" s="571" t="s">
        <v>561</v>
      </c>
      <c r="D12" s="571" t="s">
        <v>562</v>
      </c>
      <c r="E12" s="571" t="s">
        <v>563</v>
      </c>
      <c r="F12" s="588"/>
      <c r="G12" s="588"/>
      <c r="H12" s="576">
        <v>0</v>
      </c>
      <c r="I12" s="588">
        <v>1</v>
      </c>
      <c r="J12" s="588">
        <v>4.7</v>
      </c>
      <c r="K12" s="576">
        <v>1</v>
      </c>
      <c r="L12" s="588">
        <v>1</v>
      </c>
      <c r="M12" s="589">
        <v>4.7</v>
      </c>
    </row>
    <row r="13" spans="1:13" ht="14.4" customHeight="1" x14ac:dyDescent="0.3">
      <c r="A13" s="570" t="s">
        <v>519</v>
      </c>
      <c r="B13" s="571" t="s">
        <v>730</v>
      </c>
      <c r="C13" s="571" t="s">
        <v>635</v>
      </c>
      <c r="D13" s="571" t="s">
        <v>636</v>
      </c>
      <c r="E13" s="571" t="s">
        <v>637</v>
      </c>
      <c r="F13" s="588"/>
      <c r="G13" s="588"/>
      <c r="H13" s="576"/>
      <c r="I13" s="588">
        <v>1</v>
      </c>
      <c r="J13" s="588">
        <v>0</v>
      </c>
      <c r="K13" s="576"/>
      <c r="L13" s="588">
        <v>1</v>
      </c>
      <c r="M13" s="589">
        <v>0</v>
      </c>
    </row>
    <row r="14" spans="1:13" ht="14.4" customHeight="1" x14ac:dyDescent="0.3">
      <c r="A14" s="570" t="s">
        <v>519</v>
      </c>
      <c r="B14" s="571" t="s">
        <v>731</v>
      </c>
      <c r="C14" s="571" t="s">
        <v>577</v>
      </c>
      <c r="D14" s="571" t="s">
        <v>578</v>
      </c>
      <c r="E14" s="571" t="s">
        <v>579</v>
      </c>
      <c r="F14" s="588"/>
      <c r="G14" s="588"/>
      <c r="H14" s="576">
        <v>0</v>
      </c>
      <c r="I14" s="588">
        <v>1</v>
      </c>
      <c r="J14" s="588">
        <v>207.45</v>
      </c>
      <c r="K14" s="576">
        <v>1</v>
      </c>
      <c r="L14" s="588">
        <v>1</v>
      </c>
      <c r="M14" s="589">
        <v>207.45</v>
      </c>
    </row>
    <row r="15" spans="1:13" ht="14.4" customHeight="1" x14ac:dyDescent="0.3">
      <c r="A15" s="570" t="s">
        <v>519</v>
      </c>
      <c r="B15" s="571" t="s">
        <v>732</v>
      </c>
      <c r="C15" s="571" t="s">
        <v>605</v>
      </c>
      <c r="D15" s="571" t="s">
        <v>606</v>
      </c>
      <c r="E15" s="571" t="s">
        <v>607</v>
      </c>
      <c r="F15" s="588">
        <v>1</v>
      </c>
      <c r="G15" s="588">
        <v>207.45</v>
      </c>
      <c r="H15" s="576">
        <v>1</v>
      </c>
      <c r="I15" s="588"/>
      <c r="J15" s="588"/>
      <c r="K15" s="576">
        <v>0</v>
      </c>
      <c r="L15" s="588">
        <v>1</v>
      </c>
      <c r="M15" s="589">
        <v>207.45</v>
      </c>
    </row>
    <row r="16" spans="1:13" ht="14.4" customHeight="1" x14ac:dyDescent="0.3">
      <c r="A16" s="570" t="s">
        <v>520</v>
      </c>
      <c r="B16" s="571" t="s">
        <v>733</v>
      </c>
      <c r="C16" s="571" t="s">
        <v>661</v>
      </c>
      <c r="D16" s="571" t="s">
        <v>662</v>
      </c>
      <c r="E16" s="571" t="s">
        <v>663</v>
      </c>
      <c r="F16" s="588"/>
      <c r="G16" s="588"/>
      <c r="H16" s="576">
        <v>0</v>
      </c>
      <c r="I16" s="588">
        <v>4</v>
      </c>
      <c r="J16" s="588">
        <v>747.48</v>
      </c>
      <c r="K16" s="576">
        <v>1</v>
      </c>
      <c r="L16" s="588">
        <v>4</v>
      </c>
      <c r="M16" s="589">
        <v>747.48</v>
      </c>
    </row>
    <row r="17" spans="1:13" ht="14.4" customHeight="1" x14ac:dyDescent="0.3">
      <c r="A17" s="570" t="s">
        <v>520</v>
      </c>
      <c r="B17" s="571" t="s">
        <v>734</v>
      </c>
      <c r="C17" s="571" t="s">
        <v>642</v>
      </c>
      <c r="D17" s="571" t="s">
        <v>643</v>
      </c>
      <c r="E17" s="571" t="s">
        <v>644</v>
      </c>
      <c r="F17" s="588">
        <v>1</v>
      </c>
      <c r="G17" s="588">
        <v>310.58999999999997</v>
      </c>
      <c r="H17" s="576">
        <v>0.44180025888678681</v>
      </c>
      <c r="I17" s="588">
        <v>1</v>
      </c>
      <c r="J17" s="588">
        <v>392.42</v>
      </c>
      <c r="K17" s="576">
        <v>0.55819974111321324</v>
      </c>
      <c r="L17" s="588">
        <v>2</v>
      </c>
      <c r="M17" s="589">
        <v>703.01</v>
      </c>
    </row>
    <row r="18" spans="1:13" ht="14.4" customHeight="1" x14ac:dyDescent="0.3">
      <c r="A18" s="570" t="s">
        <v>520</v>
      </c>
      <c r="B18" s="571" t="s">
        <v>735</v>
      </c>
      <c r="C18" s="571" t="s">
        <v>665</v>
      </c>
      <c r="D18" s="571" t="s">
        <v>666</v>
      </c>
      <c r="E18" s="571" t="s">
        <v>667</v>
      </c>
      <c r="F18" s="588"/>
      <c r="G18" s="588"/>
      <c r="H18" s="576">
        <v>0</v>
      </c>
      <c r="I18" s="588">
        <v>1</v>
      </c>
      <c r="J18" s="588">
        <v>46.07</v>
      </c>
      <c r="K18" s="576">
        <v>1</v>
      </c>
      <c r="L18" s="588">
        <v>1</v>
      </c>
      <c r="M18" s="589">
        <v>46.07</v>
      </c>
    </row>
    <row r="19" spans="1:13" ht="14.4" customHeight="1" x14ac:dyDescent="0.3">
      <c r="A19" s="570" t="s">
        <v>520</v>
      </c>
      <c r="B19" s="571" t="s">
        <v>728</v>
      </c>
      <c r="C19" s="571" t="s">
        <v>668</v>
      </c>
      <c r="D19" s="571" t="s">
        <v>669</v>
      </c>
      <c r="E19" s="571" t="s">
        <v>670</v>
      </c>
      <c r="F19" s="588">
        <v>2</v>
      </c>
      <c r="G19" s="588">
        <v>96.84</v>
      </c>
      <c r="H19" s="576">
        <v>1</v>
      </c>
      <c r="I19" s="588"/>
      <c r="J19" s="588"/>
      <c r="K19" s="576">
        <v>0</v>
      </c>
      <c r="L19" s="588">
        <v>2</v>
      </c>
      <c r="M19" s="589">
        <v>96.84</v>
      </c>
    </row>
    <row r="20" spans="1:13" ht="14.4" customHeight="1" x14ac:dyDescent="0.3">
      <c r="A20" s="570" t="s">
        <v>520</v>
      </c>
      <c r="B20" s="571" t="s">
        <v>730</v>
      </c>
      <c r="C20" s="571" t="s">
        <v>671</v>
      </c>
      <c r="D20" s="571" t="s">
        <v>636</v>
      </c>
      <c r="E20" s="571" t="s">
        <v>672</v>
      </c>
      <c r="F20" s="588"/>
      <c r="G20" s="588"/>
      <c r="H20" s="576"/>
      <c r="I20" s="588">
        <v>11</v>
      </c>
      <c r="J20" s="588">
        <v>0</v>
      </c>
      <c r="K20" s="576"/>
      <c r="L20" s="588">
        <v>11</v>
      </c>
      <c r="M20" s="589">
        <v>0</v>
      </c>
    </row>
    <row r="21" spans="1:13" ht="14.4" customHeight="1" x14ac:dyDescent="0.3">
      <c r="A21" s="570" t="s">
        <v>520</v>
      </c>
      <c r="B21" s="571" t="s">
        <v>730</v>
      </c>
      <c r="C21" s="571" t="s">
        <v>673</v>
      </c>
      <c r="D21" s="571" t="s">
        <v>636</v>
      </c>
      <c r="E21" s="571" t="s">
        <v>674</v>
      </c>
      <c r="F21" s="588">
        <v>2</v>
      </c>
      <c r="G21" s="588">
        <v>0</v>
      </c>
      <c r="H21" s="576"/>
      <c r="I21" s="588"/>
      <c r="J21" s="588"/>
      <c r="K21" s="576"/>
      <c r="L21" s="588">
        <v>2</v>
      </c>
      <c r="M21" s="589">
        <v>0</v>
      </c>
    </row>
    <row r="22" spans="1:13" ht="14.4" customHeight="1" x14ac:dyDescent="0.3">
      <c r="A22" s="570" t="s">
        <v>520</v>
      </c>
      <c r="B22" s="571" t="s">
        <v>730</v>
      </c>
      <c r="C22" s="571" t="s">
        <v>635</v>
      </c>
      <c r="D22" s="571" t="s">
        <v>636</v>
      </c>
      <c r="E22" s="571" t="s">
        <v>637</v>
      </c>
      <c r="F22" s="588"/>
      <c r="G22" s="588"/>
      <c r="H22" s="576"/>
      <c r="I22" s="588">
        <v>1</v>
      </c>
      <c r="J22" s="588">
        <v>0</v>
      </c>
      <c r="K22" s="576"/>
      <c r="L22" s="588">
        <v>1</v>
      </c>
      <c r="M22" s="589">
        <v>0</v>
      </c>
    </row>
    <row r="23" spans="1:13" ht="14.4" customHeight="1" x14ac:dyDescent="0.3">
      <c r="A23" s="570" t="s">
        <v>521</v>
      </c>
      <c r="B23" s="571" t="s">
        <v>736</v>
      </c>
      <c r="C23" s="571" t="s">
        <v>682</v>
      </c>
      <c r="D23" s="571" t="s">
        <v>683</v>
      </c>
      <c r="E23" s="571" t="s">
        <v>611</v>
      </c>
      <c r="F23" s="588">
        <v>4</v>
      </c>
      <c r="G23" s="588">
        <v>345.64</v>
      </c>
      <c r="H23" s="576">
        <v>1</v>
      </c>
      <c r="I23" s="588"/>
      <c r="J23" s="588"/>
      <c r="K23" s="576">
        <v>0</v>
      </c>
      <c r="L23" s="588">
        <v>4</v>
      </c>
      <c r="M23" s="589">
        <v>345.64</v>
      </c>
    </row>
    <row r="24" spans="1:13" ht="14.4" customHeight="1" x14ac:dyDescent="0.3">
      <c r="A24" s="570" t="s">
        <v>521</v>
      </c>
      <c r="B24" s="571" t="s">
        <v>737</v>
      </c>
      <c r="C24" s="571" t="s">
        <v>685</v>
      </c>
      <c r="D24" s="571" t="s">
        <v>686</v>
      </c>
      <c r="E24" s="571" t="s">
        <v>687</v>
      </c>
      <c r="F24" s="588"/>
      <c r="G24" s="588"/>
      <c r="H24" s="576">
        <v>0</v>
      </c>
      <c r="I24" s="588">
        <v>3</v>
      </c>
      <c r="J24" s="588">
        <v>98.609999999999985</v>
      </c>
      <c r="K24" s="576">
        <v>1</v>
      </c>
      <c r="L24" s="588">
        <v>3</v>
      </c>
      <c r="M24" s="589">
        <v>98.609999999999985</v>
      </c>
    </row>
    <row r="25" spans="1:13" ht="14.4" customHeight="1" thickBot="1" x14ac:dyDescent="0.35">
      <c r="A25" s="578" t="s">
        <v>522</v>
      </c>
      <c r="B25" s="579" t="s">
        <v>728</v>
      </c>
      <c r="C25" s="579" t="s">
        <v>613</v>
      </c>
      <c r="D25" s="579" t="s">
        <v>614</v>
      </c>
      <c r="E25" s="579" t="s">
        <v>615</v>
      </c>
      <c r="F25" s="590"/>
      <c r="G25" s="590"/>
      <c r="H25" s="584">
        <v>0</v>
      </c>
      <c r="I25" s="590">
        <v>1</v>
      </c>
      <c r="J25" s="590">
        <v>48.42</v>
      </c>
      <c r="K25" s="584">
        <v>1</v>
      </c>
      <c r="L25" s="590">
        <v>1</v>
      </c>
      <c r="M25" s="591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140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259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279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205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5" t="s">
        <v>418</v>
      </c>
      <c r="B5" s="466" t="s">
        <v>419</v>
      </c>
      <c r="C5" s="467" t="s">
        <v>420</v>
      </c>
      <c r="D5" s="467" t="s">
        <v>420</v>
      </c>
      <c r="E5" s="467"/>
      <c r="F5" s="467" t="s">
        <v>420</v>
      </c>
      <c r="G5" s="467" t="s">
        <v>420</v>
      </c>
      <c r="H5" s="467" t="s">
        <v>420</v>
      </c>
      <c r="I5" s="468" t="s">
        <v>420</v>
      </c>
      <c r="J5" s="469" t="s">
        <v>69</v>
      </c>
    </row>
    <row r="6" spans="1:10" ht="14.4" customHeight="1" x14ac:dyDescent="0.3">
      <c r="A6" s="465" t="s">
        <v>418</v>
      </c>
      <c r="B6" s="466" t="s">
        <v>739</v>
      </c>
      <c r="C6" s="467">
        <v>10.42442</v>
      </c>
      <c r="D6" s="467">
        <v>9.0409599999999983</v>
      </c>
      <c r="E6" s="467"/>
      <c r="F6" s="467">
        <v>9.2891700000000004</v>
      </c>
      <c r="G6" s="467">
        <v>10.5</v>
      </c>
      <c r="H6" s="467">
        <v>-1.2108299999999996</v>
      </c>
      <c r="I6" s="468">
        <v>0.88468285714285722</v>
      </c>
      <c r="J6" s="469" t="s">
        <v>1</v>
      </c>
    </row>
    <row r="7" spans="1:10" ht="14.4" customHeight="1" x14ac:dyDescent="0.3">
      <c r="A7" s="465" t="s">
        <v>418</v>
      </c>
      <c r="B7" s="466" t="s">
        <v>740</v>
      </c>
      <c r="C7" s="467">
        <v>1.0785800000000001</v>
      </c>
      <c r="D7" s="467">
        <v>1.1539899999999998</v>
      </c>
      <c r="E7" s="467"/>
      <c r="F7" s="467">
        <v>1.2190000000000001</v>
      </c>
      <c r="G7" s="467">
        <v>1.1666667480468749</v>
      </c>
      <c r="H7" s="467">
        <v>5.2333251953125215E-2</v>
      </c>
      <c r="I7" s="468">
        <v>1.0448570699736979</v>
      </c>
      <c r="J7" s="469" t="s">
        <v>1</v>
      </c>
    </row>
    <row r="8" spans="1:10" ht="14.4" customHeight="1" x14ac:dyDescent="0.3">
      <c r="A8" s="465" t="s">
        <v>418</v>
      </c>
      <c r="B8" s="466" t="s">
        <v>741</v>
      </c>
      <c r="C8" s="467">
        <v>11.616580000000003</v>
      </c>
      <c r="D8" s="467">
        <v>11.69144</v>
      </c>
      <c r="E8" s="467"/>
      <c r="F8" s="467">
        <v>14.733540000000001</v>
      </c>
      <c r="G8" s="467">
        <v>14.583333496093751</v>
      </c>
      <c r="H8" s="467">
        <v>0.15020650390625079</v>
      </c>
      <c r="I8" s="468">
        <v>1.0102998744386176</v>
      </c>
      <c r="J8" s="469" t="s">
        <v>1</v>
      </c>
    </row>
    <row r="9" spans="1:10" ht="14.4" customHeight="1" x14ac:dyDescent="0.3">
      <c r="A9" s="465" t="s">
        <v>418</v>
      </c>
      <c r="B9" s="466" t="s">
        <v>742</v>
      </c>
      <c r="C9" s="467">
        <v>9.8019999999999996</v>
      </c>
      <c r="D9" s="467">
        <v>4.9020000000000001</v>
      </c>
      <c r="E9" s="467"/>
      <c r="F9" s="467">
        <v>14.212400000000001</v>
      </c>
      <c r="G9" s="467">
        <v>14.823431640625</v>
      </c>
      <c r="H9" s="467">
        <v>-0.61103164062499893</v>
      </c>
      <c r="I9" s="468">
        <v>0.95877933966717876</v>
      </c>
      <c r="J9" s="469" t="s">
        <v>1</v>
      </c>
    </row>
    <row r="10" spans="1:10" ht="14.4" customHeight="1" x14ac:dyDescent="0.3">
      <c r="A10" s="465" t="s">
        <v>418</v>
      </c>
      <c r="B10" s="466" t="s">
        <v>743</v>
      </c>
      <c r="C10" s="467">
        <v>2.8490000000000002</v>
      </c>
      <c r="D10" s="467">
        <v>3.097</v>
      </c>
      <c r="E10" s="467"/>
      <c r="F10" s="467">
        <v>4.0830000000000002</v>
      </c>
      <c r="G10" s="467">
        <v>5.8333334960937506</v>
      </c>
      <c r="H10" s="467">
        <v>-1.7503334960937504</v>
      </c>
      <c r="I10" s="468">
        <v>0.69994283761320208</v>
      </c>
      <c r="J10" s="469" t="s">
        <v>1</v>
      </c>
    </row>
    <row r="11" spans="1:10" ht="14.4" customHeight="1" x14ac:dyDescent="0.3">
      <c r="A11" s="465" t="s">
        <v>418</v>
      </c>
      <c r="B11" s="466" t="s">
        <v>744</v>
      </c>
      <c r="C11" s="467">
        <v>0.99399999999999999</v>
      </c>
      <c r="D11" s="467">
        <v>1.42</v>
      </c>
      <c r="E11" s="467"/>
      <c r="F11" s="467">
        <v>1.1000000000000001</v>
      </c>
      <c r="G11" s="467">
        <v>1.7500000610351565</v>
      </c>
      <c r="H11" s="467">
        <v>-0.6500000610351564</v>
      </c>
      <c r="I11" s="468">
        <v>0.62857140664859767</v>
      </c>
      <c r="J11" s="469" t="s">
        <v>1</v>
      </c>
    </row>
    <row r="12" spans="1:10" ht="14.4" customHeight="1" x14ac:dyDescent="0.3">
      <c r="A12" s="465" t="s">
        <v>418</v>
      </c>
      <c r="B12" s="466" t="s">
        <v>422</v>
      </c>
      <c r="C12" s="467">
        <v>36.764580000000009</v>
      </c>
      <c r="D12" s="467">
        <v>31.305390000000003</v>
      </c>
      <c r="E12" s="467"/>
      <c r="F12" s="467">
        <v>44.63711</v>
      </c>
      <c r="G12" s="467">
        <v>48.656765441894535</v>
      </c>
      <c r="H12" s="467">
        <v>-4.0196554418945354</v>
      </c>
      <c r="I12" s="468">
        <v>0.91738753274311313</v>
      </c>
      <c r="J12" s="469" t="s">
        <v>423</v>
      </c>
    </row>
    <row r="14" spans="1:10" ht="14.4" customHeight="1" x14ac:dyDescent="0.3">
      <c r="A14" s="465" t="s">
        <v>418</v>
      </c>
      <c r="B14" s="466" t="s">
        <v>419</v>
      </c>
      <c r="C14" s="467" t="s">
        <v>420</v>
      </c>
      <c r="D14" s="467" t="s">
        <v>420</v>
      </c>
      <c r="E14" s="467"/>
      <c r="F14" s="467" t="s">
        <v>420</v>
      </c>
      <c r="G14" s="467" t="s">
        <v>420</v>
      </c>
      <c r="H14" s="467" t="s">
        <v>420</v>
      </c>
      <c r="I14" s="468" t="s">
        <v>420</v>
      </c>
      <c r="J14" s="469" t="s">
        <v>69</v>
      </c>
    </row>
    <row r="15" spans="1:10" ht="14.4" customHeight="1" x14ac:dyDescent="0.3">
      <c r="A15" s="465" t="s">
        <v>424</v>
      </c>
      <c r="B15" s="466" t="s">
        <v>425</v>
      </c>
      <c r="C15" s="467" t="s">
        <v>420</v>
      </c>
      <c r="D15" s="467" t="s">
        <v>420</v>
      </c>
      <c r="E15" s="467"/>
      <c r="F15" s="467" t="s">
        <v>420</v>
      </c>
      <c r="G15" s="467" t="s">
        <v>420</v>
      </c>
      <c r="H15" s="467" t="s">
        <v>420</v>
      </c>
      <c r="I15" s="468" t="s">
        <v>420</v>
      </c>
      <c r="J15" s="469" t="s">
        <v>0</v>
      </c>
    </row>
    <row r="16" spans="1:10" ht="14.4" customHeight="1" x14ac:dyDescent="0.3">
      <c r="A16" s="465" t="s">
        <v>424</v>
      </c>
      <c r="B16" s="466" t="s">
        <v>739</v>
      </c>
      <c r="C16" s="467">
        <v>10.42442</v>
      </c>
      <c r="D16" s="467">
        <v>9.0409599999999983</v>
      </c>
      <c r="E16" s="467"/>
      <c r="F16" s="467">
        <v>9.2891700000000004</v>
      </c>
      <c r="G16" s="467">
        <v>11</v>
      </c>
      <c r="H16" s="467">
        <v>-1.7108299999999996</v>
      </c>
      <c r="I16" s="468">
        <v>0.84447000000000005</v>
      </c>
      <c r="J16" s="469" t="s">
        <v>1</v>
      </c>
    </row>
    <row r="17" spans="1:10" ht="14.4" customHeight="1" x14ac:dyDescent="0.3">
      <c r="A17" s="465" t="s">
        <v>424</v>
      </c>
      <c r="B17" s="466" t="s">
        <v>740</v>
      </c>
      <c r="C17" s="467">
        <v>0.71987000000000012</v>
      </c>
      <c r="D17" s="467">
        <v>0.57977999999999996</v>
      </c>
      <c r="E17" s="467"/>
      <c r="F17" s="467">
        <v>0.71518000000000004</v>
      </c>
      <c r="G17" s="467">
        <v>1</v>
      </c>
      <c r="H17" s="467">
        <v>-0.28481999999999996</v>
      </c>
      <c r="I17" s="468">
        <v>0.71518000000000004</v>
      </c>
      <c r="J17" s="469" t="s">
        <v>1</v>
      </c>
    </row>
    <row r="18" spans="1:10" ht="14.4" customHeight="1" x14ac:dyDescent="0.3">
      <c r="A18" s="465" t="s">
        <v>424</v>
      </c>
      <c r="B18" s="466" t="s">
        <v>741</v>
      </c>
      <c r="C18" s="467">
        <v>8.2571300000000019</v>
      </c>
      <c r="D18" s="467">
        <v>6.1897500000000001</v>
      </c>
      <c r="E18" s="467"/>
      <c r="F18" s="467">
        <v>7.7050900000000002</v>
      </c>
      <c r="G18" s="467">
        <v>8</v>
      </c>
      <c r="H18" s="467">
        <v>-0.29490999999999978</v>
      </c>
      <c r="I18" s="468">
        <v>0.96313625000000003</v>
      </c>
      <c r="J18" s="469" t="s">
        <v>1</v>
      </c>
    </row>
    <row r="19" spans="1:10" ht="14.4" customHeight="1" x14ac:dyDescent="0.3">
      <c r="A19" s="465" t="s">
        <v>424</v>
      </c>
      <c r="B19" s="466" t="s">
        <v>742</v>
      </c>
      <c r="C19" s="467">
        <v>9.8019999999999996</v>
      </c>
      <c r="D19" s="467">
        <v>4.9020000000000001</v>
      </c>
      <c r="E19" s="467"/>
      <c r="F19" s="467">
        <v>11.7614</v>
      </c>
      <c r="G19" s="467">
        <v>15</v>
      </c>
      <c r="H19" s="467">
        <v>-3.2385999999999999</v>
      </c>
      <c r="I19" s="468">
        <v>0.78409333333333331</v>
      </c>
      <c r="J19" s="469" t="s">
        <v>1</v>
      </c>
    </row>
    <row r="20" spans="1:10" ht="14.4" customHeight="1" x14ac:dyDescent="0.3">
      <c r="A20" s="465" t="s">
        <v>424</v>
      </c>
      <c r="B20" s="466" t="s">
        <v>743</v>
      </c>
      <c r="C20" s="467">
        <v>2.3690000000000002</v>
      </c>
      <c r="D20" s="467">
        <v>2.3109999999999999</v>
      </c>
      <c r="E20" s="467"/>
      <c r="F20" s="467">
        <v>2.95</v>
      </c>
      <c r="G20" s="467">
        <v>5</v>
      </c>
      <c r="H20" s="467">
        <v>-2.0499999999999998</v>
      </c>
      <c r="I20" s="468">
        <v>0.59000000000000008</v>
      </c>
      <c r="J20" s="469" t="s">
        <v>1</v>
      </c>
    </row>
    <row r="21" spans="1:10" ht="14.4" customHeight="1" x14ac:dyDescent="0.3">
      <c r="A21" s="465" t="s">
        <v>424</v>
      </c>
      <c r="B21" s="466" t="s">
        <v>744</v>
      </c>
      <c r="C21" s="467">
        <v>0.71</v>
      </c>
      <c r="D21" s="467">
        <v>0.85199999999999998</v>
      </c>
      <c r="E21" s="467"/>
      <c r="F21" s="467">
        <v>0.82399999999999995</v>
      </c>
      <c r="G21" s="467">
        <v>1</v>
      </c>
      <c r="H21" s="467">
        <v>-0.17600000000000005</v>
      </c>
      <c r="I21" s="468">
        <v>0.82399999999999995</v>
      </c>
      <c r="J21" s="469" t="s">
        <v>1</v>
      </c>
    </row>
    <row r="22" spans="1:10" ht="14.4" customHeight="1" x14ac:dyDescent="0.3">
      <c r="A22" s="465" t="s">
        <v>424</v>
      </c>
      <c r="B22" s="466" t="s">
        <v>426</v>
      </c>
      <c r="C22" s="467">
        <v>32.282420000000002</v>
      </c>
      <c r="D22" s="467">
        <v>23.875489999999999</v>
      </c>
      <c r="E22" s="467"/>
      <c r="F22" s="467">
        <v>33.244840000000003</v>
      </c>
      <c r="G22" s="467">
        <v>40</v>
      </c>
      <c r="H22" s="467">
        <v>-6.7551599999999965</v>
      </c>
      <c r="I22" s="468">
        <v>0.83112100000000011</v>
      </c>
      <c r="J22" s="469" t="s">
        <v>427</v>
      </c>
    </row>
    <row r="23" spans="1:10" ht="14.4" customHeight="1" x14ac:dyDescent="0.3">
      <c r="A23" s="465" t="s">
        <v>420</v>
      </c>
      <c r="B23" s="466" t="s">
        <v>420</v>
      </c>
      <c r="C23" s="467" t="s">
        <v>420</v>
      </c>
      <c r="D23" s="467" t="s">
        <v>420</v>
      </c>
      <c r="E23" s="467"/>
      <c r="F23" s="467" t="s">
        <v>420</v>
      </c>
      <c r="G23" s="467" t="s">
        <v>420</v>
      </c>
      <c r="H23" s="467" t="s">
        <v>420</v>
      </c>
      <c r="I23" s="468" t="s">
        <v>420</v>
      </c>
      <c r="J23" s="469" t="s">
        <v>428</v>
      </c>
    </row>
    <row r="24" spans="1:10" ht="14.4" customHeight="1" x14ac:dyDescent="0.3">
      <c r="A24" s="465" t="s">
        <v>745</v>
      </c>
      <c r="B24" s="466" t="s">
        <v>746</v>
      </c>
      <c r="C24" s="467" t="s">
        <v>420</v>
      </c>
      <c r="D24" s="467" t="s">
        <v>420</v>
      </c>
      <c r="E24" s="467"/>
      <c r="F24" s="467" t="s">
        <v>420</v>
      </c>
      <c r="G24" s="467" t="s">
        <v>420</v>
      </c>
      <c r="H24" s="467" t="s">
        <v>420</v>
      </c>
      <c r="I24" s="468" t="s">
        <v>420</v>
      </c>
      <c r="J24" s="469" t="s">
        <v>0</v>
      </c>
    </row>
    <row r="25" spans="1:10" ht="14.4" customHeight="1" x14ac:dyDescent="0.3">
      <c r="A25" s="465" t="s">
        <v>745</v>
      </c>
      <c r="B25" s="466" t="s">
        <v>740</v>
      </c>
      <c r="C25" s="467">
        <v>0.35870999999999997</v>
      </c>
      <c r="D25" s="467">
        <v>0.57420999999999989</v>
      </c>
      <c r="E25" s="467"/>
      <c r="F25" s="467">
        <v>0.50382000000000005</v>
      </c>
      <c r="G25" s="467">
        <v>1</v>
      </c>
      <c r="H25" s="467">
        <v>-0.49617999999999995</v>
      </c>
      <c r="I25" s="468">
        <v>0.50382000000000005</v>
      </c>
      <c r="J25" s="469" t="s">
        <v>1</v>
      </c>
    </row>
    <row r="26" spans="1:10" ht="14.4" customHeight="1" x14ac:dyDescent="0.3">
      <c r="A26" s="465" t="s">
        <v>745</v>
      </c>
      <c r="B26" s="466" t="s">
        <v>741</v>
      </c>
      <c r="C26" s="467">
        <v>3.3594499999999998</v>
      </c>
      <c r="D26" s="467">
        <v>5.5016900000000009</v>
      </c>
      <c r="E26" s="467"/>
      <c r="F26" s="467">
        <v>7.0284500000000003</v>
      </c>
      <c r="G26" s="467">
        <v>7</v>
      </c>
      <c r="H26" s="467">
        <v>2.8450000000000308E-2</v>
      </c>
      <c r="I26" s="468">
        <v>1.0040642857142859</v>
      </c>
      <c r="J26" s="469" t="s">
        <v>1</v>
      </c>
    </row>
    <row r="27" spans="1:10" ht="14.4" customHeight="1" x14ac:dyDescent="0.3">
      <c r="A27" s="465" t="s">
        <v>745</v>
      </c>
      <c r="B27" s="466" t="s">
        <v>742</v>
      </c>
      <c r="C27" s="467">
        <v>0</v>
      </c>
      <c r="D27" s="467">
        <v>0</v>
      </c>
      <c r="E27" s="467"/>
      <c r="F27" s="467">
        <v>2.4510000000000001</v>
      </c>
      <c r="G27" s="467">
        <v>0</v>
      </c>
      <c r="H27" s="467">
        <v>2.4510000000000001</v>
      </c>
      <c r="I27" s="468" t="s">
        <v>420</v>
      </c>
      <c r="J27" s="469" t="s">
        <v>1</v>
      </c>
    </row>
    <row r="28" spans="1:10" ht="14.4" customHeight="1" x14ac:dyDescent="0.3">
      <c r="A28" s="465" t="s">
        <v>745</v>
      </c>
      <c r="B28" s="466" t="s">
        <v>743</v>
      </c>
      <c r="C28" s="467">
        <v>0.48</v>
      </c>
      <c r="D28" s="467">
        <v>0.78600000000000003</v>
      </c>
      <c r="E28" s="467"/>
      <c r="F28" s="467">
        <v>1.133</v>
      </c>
      <c r="G28" s="467">
        <v>1</v>
      </c>
      <c r="H28" s="467">
        <v>0.13300000000000001</v>
      </c>
      <c r="I28" s="468">
        <v>1.133</v>
      </c>
      <c r="J28" s="469" t="s">
        <v>1</v>
      </c>
    </row>
    <row r="29" spans="1:10" ht="14.4" customHeight="1" x14ac:dyDescent="0.3">
      <c r="A29" s="465" t="s">
        <v>745</v>
      </c>
      <c r="B29" s="466" t="s">
        <v>744</v>
      </c>
      <c r="C29" s="467">
        <v>0.28399999999999997</v>
      </c>
      <c r="D29" s="467">
        <v>0.56799999999999995</v>
      </c>
      <c r="E29" s="467"/>
      <c r="F29" s="467">
        <v>0.27600000000000002</v>
      </c>
      <c r="G29" s="467">
        <v>1</v>
      </c>
      <c r="H29" s="467">
        <v>-0.72399999999999998</v>
      </c>
      <c r="I29" s="468">
        <v>0.27600000000000002</v>
      </c>
      <c r="J29" s="469" t="s">
        <v>1</v>
      </c>
    </row>
    <row r="30" spans="1:10" ht="14.4" customHeight="1" x14ac:dyDescent="0.3">
      <c r="A30" s="465" t="s">
        <v>745</v>
      </c>
      <c r="B30" s="466" t="s">
        <v>747</v>
      </c>
      <c r="C30" s="467">
        <v>4.4821599999999995</v>
      </c>
      <c r="D30" s="467">
        <v>7.4298999999999999</v>
      </c>
      <c r="E30" s="467"/>
      <c r="F30" s="467">
        <v>11.39227</v>
      </c>
      <c r="G30" s="467">
        <v>9</v>
      </c>
      <c r="H30" s="467">
        <v>2.3922699999999999</v>
      </c>
      <c r="I30" s="468">
        <v>1.2658077777777779</v>
      </c>
      <c r="J30" s="469" t="s">
        <v>427</v>
      </c>
    </row>
    <row r="31" spans="1:10" ht="14.4" customHeight="1" x14ac:dyDescent="0.3">
      <c r="A31" s="465" t="s">
        <v>420</v>
      </c>
      <c r="B31" s="466" t="s">
        <v>420</v>
      </c>
      <c r="C31" s="467" t="s">
        <v>420</v>
      </c>
      <c r="D31" s="467" t="s">
        <v>420</v>
      </c>
      <c r="E31" s="467"/>
      <c r="F31" s="467" t="s">
        <v>420</v>
      </c>
      <c r="G31" s="467" t="s">
        <v>420</v>
      </c>
      <c r="H31" s="467" t="s">
        <v>420</v>
      </c>
      <c r="I31" s="468" t="s">
        <v>420</v>
      </c>
      <c r="J31" s="469" t="s">
        <v>428</v>
      </c>
    </row>
    <row r="32" spans="1:10" ht="14.4" customHeight="1" x14ac:dyDescent="0.3">
      <c r="A32" s="465" t="s">
        <v>418</v>
      </c>
      <c r="B32" s="466" t="s">
        <v>422</v>
      </c>
      <c r="C32" s="467">
        <v>36.764580000000002</v>
      </c>
      <c r="D32" s="467">
        <v>31.305390000000003</v>
      </c>
      <c r="E32" s="467"/>
      <c r="F32" s="467">
        <v>44.637110000000007</v>
      </c>
      <c r="G32" s="467">
        <v>49</v>
      </c>
      <c r="H32" s="467">
        <v>-4.3628899999999931</v>
      </c>
      <c r="I32" s="468">
        <v>0.9109614285714287</v>
      </c>
      <c r="J32" s="469" t="s">
        <v>423</v>
      </c>
    </row>
  </sheetData>
  <mergeCells count="3">
    <mergeCell ref="A1:I1"/>
    <mergeCell ref="F3:I3"/>
    <mergeCell ref="C4:D4"/>
  </mergeCells>
  <conditionalFormatting sqref="F13 F33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32">
    <cfRule type="expression" dxfId="17" priority="6">
      <formula>$H14&gt;0</formula>
    </cfRule>
  </conditionalFormatting>
  <conditionalFormatting sqref="A14:A32">
    <cfRule type="expression" dxfId="16" priority="5">
      <formula>AND($J14&lt;&gt;"mezeraKL",$J14&lt;&gt;"")</formula>
    </cfRule>
  </conditionalFormatting>
  <conditionalFormatting sqref="I14:I32">
    <cfRule type="expression" dxfId="15" priority="7">
      <formula>$I14&gt;1</formula>
    </cfRule>
  </conditionalFormatting>
  <conditionalFormatting sqref="B14:B32">
    <cfRule type="expression" dxfId="14" priority="4">
      <formula>OR($J14="NS",$J14="SumaNS",$J14="Účet")</formula>
    </cfRule>
  </conditionalFormatting>
  <conditionalFormatting sqref="A14:D32 F14:I32">
    <cfRule type="expression" dxfId="13" priority="8">
      <formula>AND($J14&lt;&gt;"",$J14&lt;&gt;"mezeraKL")</formula>
    </cfRule>
  </conditionalFormatting>
  <conditionalFormatting sqref="B14:D32 F14:I32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80" t="s">
        <v>824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35" t="s">
        <v>259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76"/>
      <c r="D3" s="377"/>
      <c r="E3" s="377"/>
      <c r="F3" s="377"/>
      <c r="G3" s="377"/>
      <c r="H3" s="141" t="s">
        <v>128</v>
      </c>
      <c r="I3" s="98">
        <f>IF(J3&lt;&gt;0,K3/J3,0)</f>
        <v>3.3972696207264801</v>
      </c>
      <c r="J3" s="98">
        <f>SUBTOTAL(9,J5:J1048576)</f>
        <v>11123</v>
      </c>
      <c r="K3" s="99">
        <f>SUBTOTAL(9,K5:K1048576)</f>
        <v>37787.829991340637</v>
      </c>
    </row>
    <row r="4" spans="1:11" s="208" customFormat="1" ht="14.4" customHeight="1" thickBot="1" x14ac:dyDescent="0.35">
      <c r="A4" s="599" t="s">
        <v>4</v>
      </c>
      <c r="B4" s="600" t="s">
        <v>5</v>
      </c>
      <c r="C4" s="600" t="s">
        <v>0</v>
      </c>
      <c r="D4" s="600" t="s">
        <v>6</v>
      </c>
      <c r="E4" s="600" t="s">
        <v>7</v>
      </c>
      <c r="F4" s="600" t="s">
        <v>1</v>
      </c>
      <c r="G4" s="600" t="s">
        <v>71</v>
      </c>
      <c r="H4" s="473" t="s">
        <v>11</v>
      </c>
      <c r="I4" s="474" t="s">
        <v>143</v>
      </c>
      <c r="J4" s="474" t="s">
        <v>13</v>
      </c>
      <c r="K4" s="475" t="s">
        <v>160</v>
      </c>
    </row>
    <row r="5" spans="1:11" ht="14.4" customHeight="1" x14ac:dyDescent="0.3">
      <c r="A5" s="563" t="s">
        <v>418</v>
      </c>
      <c r="B5" s="564" t="s">
        <v>419</v>
      </c>
      <c r="C5" s="567" t="s">
        <v>424</v>
      </c>
      <c r="D5" s="601" t="s">
        <v>425</v>
      </c>
      <c r="E5" s="567" t="s">
        <v>748</v>
      </c>
      <c r="F5" s="601" t="s">
        <v>749</v>
      </c>
      <c r="G5" s="567" t="s">
        <v>750</v>
      </c>
      <c r="H5" s="567" t="s">
        <v>751</v>
      </c>
      <c r="I5" s="116">
        <v>197.01000144264916</v>
      </c>
      <c r="J5" s="116">
        <v>39</v>
      </c>
      <c r="K5" s="587">
        <v>7691.9700012207031</v>
      </c>
    </row>
    <row r="6" spans="1:11" ht="14.4" customHeight="1" x14ac:dyDescent="0.3">
      <c r="A6" s="570" t="s">
        <v>418</v>
      </c>
      <c r="B6" s="571" t="s">
        <v>419</v>
      </c>
      <c r="C6" s="574" t="s">
        <v>424</v>
      </c>
      <c r="D6" s="602" t="s">
        <v>425</v>
      </c>
      <c r="E6" s="574" t="s">
        <v>752</v>
      </c>
      <c r="F6" s="602" t="s">
        <v>753</v>
      </c>
      <c r="G6" s="574" t="s">
        <v>754</v>
      </c>
      <c r="H6" s="574" t="s">
        <v>755</v>
      </c>
      <c r="I6" s="588">
        <v>13.020000457763672</v>
      </c>
      <c r="J6" s="588">
        <v>25</v>
      </c>
      <c r="K6" s="589">
        <v>325.49999237060547</v>
      </c>
    </row>
    <row r="7" spans="1:11" ht="14.4" customHeight="1" x14ac:dyDescent="0.3">
      <c r="A7" s="570" t="s">
        <v>418</v>
      </c>
      <c r="B7" s="571" t="s">
        <v>419</v>
      </c>
      <c r="C7" s="574" t="s">
        <v>424</v>
      </c>
      <c r="D7" s="602" t="s">
        <v>425</v>
      </c>
      <c r="E7" s="574" t="s">
        <v>752</v>
      </c>
      <c r="F7" s="602" t="s">
        <v>753</v>
      </c>
      <c r="G7" s="574" t="s">
        <v>756</v>
      </c>
      <c r="H7" s="574" t="s">
        <v>757</v>
      </c>
      <c r="I7" s="588">
        <v>4.3000001907348633</v>
      </c>
      <c r="J7" s="588">
        <v>25</v>
      </c>
      <c r="K7" s="589">
        <v>107.5</v>
      </c>
    </row>
    <row r="8" spans="1:11" ht="14.4" customHeight="1" x14ac:dyDescent="0.3">
      <c r="A8" s="570" t="s">
        <v>418</v>
      </c>
      <c r="B8" s="571" t="s">
        <v>419</v>
      </c>
      <c r="C8" s="574" t="s">
        <v>424</v>
      </c>
      <c r="D8" s="602" t="s">
        <v>425</v>
      </c>
      <c r="E8" s="574" t="s">
        <v>752</v>
      </c>
      <c r="F8" s="602" t="s">
        <v>753</v>
      </c>
      <c r="G8" s="574" t="s">
        <v>758</v>
      </c>
      <c r="H8" s="574" t="s">
        <v>759</v>
      </c>
      <c r="I8" s="588">
        <v>27.875999450683594</v>
      </c>
      <c r="J8" s="588">
        <v>6</v>
      </c>
      <c r="K8" s="589">
        <v>167.25999641418457</v>
      </c>
    </row>
    <row r="9" spans="1:11" ht="14.4" customHeight="1" x14ac:dyDescent="0.3">
      <c r="A9" s="570" t="s">
        <v>418</v>
      </c>
      <c r="B9" s="571" t="s">
        <v>419</v>
      </c>
      <c r="C9" s="574" t="s">
        <v>424</v>
      </c>
      <c r="D9" s="602" t="s">
        <v>425</v>
      </c>
      <c r="E9" s="574" t="s">
        <v>752</v>
      </c>
      <c r="F9" s="602" t="s">
        <v>753</v>
      </c>
      <c r="G9" s="574" t="s">
        <v>760</v>
      </c>
      <c r="H9" s="574" t="s">
        <v>761</v>
      </c>
      <c r="I9" s="588">
        <v>28.729999542236328</v>
      </c>
      <c r="J9" s="588">
        <v>4</v>
      </c>
      <c r="K9" s="589">
        <v>114.91999816894531</v>
      </c>
    </row>
    <row r="10" spans="1:11" ht="14.4" customHeight="1" x14ac:dyDescent="0.3">
      <c r="A10" s="570" t="s">
        <v>418</v>
      </c>
      <c r="B10" s="571" t="s">
        <v>419</v>
      </c>
      <c r="C10" s="574" t="s">
        <v>424</v>
      </c>
      <c r="D10" s="602" t="s">
        <v>425</v>
      </c>
      <c r="E10" s="574" t="s">
        <v>762</v>
      </c>
      <c r="F10" s="602" t="s">
        <v>763</v>
      </c>
      <c r="G10" s="574" t="s">
        <v>764</v>
      </c>
      <c r="H10" s="574" t="s">
        <v>765</v>
      </c>
      <c r="I10" s="588">
        <v>9.9999997764825821E-3</v>
      </c>
      <c r="J10" s="588">
        <v>400</v>
      </c>
      <c r="K10" s="589">
        <v>4</v>
      </c>
    </row>
    <row r="11" spans="1:11" ht="14.4" customHeight="1" x14ac:dyDescent="0.3">
      <c r="A11" s="570" t="s">
        <v>418</v>
      </c>
      <c r="B11" s="571" t="s">
        <v>419</v>
      </c>
      <c r="C11" s="574" t="s">
        <v>424</v>
      </c>
      <c r="D11" s="602" t="s">
        <v>425</v>
      </c>
      <c r="E11" s="574" t="s">
        <v>762</v>
      </c>
      <c r="F11" s="602" t="s">
        <v>763</v>
      </c>
      <c r="G11" s="574" t="s">
        <v>766</v>
      </c>
      <c r="H11" s="574" t="s">
        <v>767</v>
      </c>
      <c r="I11" s="588">
        <v>1.8074999451637268</v>
      </c>
      <c r="J11" s="588">
        <v>400</v>
      </c>
      <c r="K11" s="589">
        <v>723.5</v>
      </c>
    </row>
    <row r="12" spans="1:11" ht="14.4" customHeight="1" x14ac:dyDescent="0.3">
      <c r="A12" s="570" t="s">
        <v>418</v>
      </c>
      <c r="B12" s="571" t="s">
        <v>419</v>
      </c>
      <c r="C12" s="574" t="s">
        <v>424</v>
      </c>
      <c r="D12" s="602" t="s">
        <v>425</v>
      </c>
      <c r="E12" s="574" t="s">
        <v>762</v>
      </c>
      <c r="F12" s="602" t="s">
        <v>763</v>
      </c>
      <c r="G12" s="574" t="s">
        <v>768</v>
      </c>
      <c r="H12" s="574" t="s">
        <v>769</v>
      </c>
      <c r="I12" s="588">
        <v>4.630000114440918</v>
      </c>
      <c r="J12" s="588">
        <v>20</v>
      </c>
      <c r="K12" s="589">
        <v>92.599998474121094</v>
      </c>
    </row>
    <row r="13" spans="1:11" ht="14.4" customHeight="1" x14ac:dyDescent="0.3">
      <c r="A13" s="570" t="s">
        <v>418</v>
      </c>
      <c r="B13" s="571" t="s">
        <v>419</v>
      </c>
      <c r="C13" s="574" t="s">
        <v>424</v>
      </c>
      <c r="D13" s="602" t="s">
        <v>425</v>
      </c>
      <c r="E13" s="574" t="s">
        <v>762</v>
      </c>
      <c r="F13" s="602" t="s">
        <v>763</v>
      </c>
      <c r="G13" s="574" t="s">
        <v>770</v>
      </c>
      <c r="H13" s="574" t="s">
        <v>771</v>
      </c>
      <c r="I13" s="588">
        <v>11.739999771118164</v>
      </c>
      <c r="J13" s="588">
        <v>20</v>
      </c>
      <c r="K13" s="589">
        <v>234.80000305175781</v>
      </c>
    </row>
    <row r="14" spans="1:11" ht="14.4" customHeight="1" x14ac:dyDescent="0.3">
      <c r="A14" s="570" t="s">
        <v>418</v>
      </c>
      <c r="B14" s="571" t="s">
        <v>419</v>
      </c>
      <c r="C14" s="574" t="s">
        <v>424</v>
      </c>
      <c r="D14" s="602" t="s">
        <v>425</v>
      </c>
      <c r="E14" s="574" t="s">
        <v>762</v>
      </c>
      <c r="F14" s="602" t="s">
        <v>763</v>
      </c>
      <c r="G14" s="574" t="s">
        <v>772</v>
      </c>
      <c r="H14" s="574" t="s">
        <v>773</v>
      </c>
      <c r="I14" s="588">
        <v>2.2899999618530273</v>
      </c>
      <c r="J14" s="588">
        <v>250</v>
      </c>
      <c r="K14" s="589">
        <v>572.5</v>
      </c>
    </row>
    <row r="15" spans="1:11" ht="14.4" customHeight="1" x14ac:dyDescent="0.3">
      <c r="A15" s="570" t="s">
        <v>418</v>
      </c>
      <c r="B15" s="571" t="s">
        <v>419</v>
      </c>
      <c r="C15" s="574" t="s">
        <v>424</v>
      </c>
      <c r="D15" s="602" t="s">
        <v>425</v>
      </c>
      <c r="E15" s="574" t="s">
        <v>762</v>
      </c>
      <c r="F15" s="602" t="s">
        <v>763</v>
      </c>
      <c r="G15" s="574" t="s">
        <v>774</v>
      </c>
      <c r="H15" s="574" t="s">
        <v>775</v>
      </c>
      <c r="I15" s="588">
        <v>2.7199999690055847</v>
      </c>
      <c r="J15" s="588">
        <v>600</v>
      </c>
      <c r="K15" s="589">
        <v>1660.0799560546875</v>
      </c>
    </row>
    <row r="16" spans="1:11" ht="14.4" customHeight="1" x14ac:dyDescent="0.3">
      <c r="A16" s="570" t="s">
        <v>418</v>
      </c>
      <c r="B16" s="571" t="s">
        <v>419</v>
      </c>
      <c r="C16" s="574" t="s">
        <v>424</v>
      </c>
      <c r="D16" s="602" t="s">
        <v>425</v>
      </c>
      <c r="E16" s="574" t="s">
        <v>762</v>
      </c>
      <c r="F16" s="602" t="s">
        <v>763</v>
      </c>
      <c r="G16" s="574" t="s">
        <v>776</v>
      </c>
      <c r="H16" s="574" t="s">
        <v>777</v>
      </c>
      <c r="I16" s="588">
        <v>15.369999885559082</v>
      </c>
      <c r="J16" s="588">
        <v>5</v>
      </c>
      <c r="K16" s="589">
        <v>76.849998474121094</v>
      </c>
    </row>
    <row r="17" spans="1:11" ht="14.4" customHeight="1" x14ac:dyDescent="0.3">
      <c r="A17" s="570" t="s">
        <v>418</v>
      </c>
      <c r="B17" s="571" t="s">
        <v>419</v>
      </c>
      <c r="C17" s="574" t="s">
        <v>424</v>
      </c>
      <c r="D17" s="602" t="s">
        <v>425</v>
      </c>
      <c r="E17" s="574" t="s">
        <v>762</v>
      </c>
      <c r="F17" s="602" t="s">
        <v>763</v>
      </c>
      <c r="G17" s="574" t="s">
        <v>778</v>
      </c>
      <c r="H17" s="574" t="s">
        <v>779</v>
      </c>
      <c r="I17" s="588">
        <v>1.6699999570846558</v>
      </c>
      <c r="J17" s="588">
        <v>300</v>
      </c>
      <c r="K17" s="589">
        <v>500.60000610351562</v>
      </c>
    </row>
    <row r="18" spans="1:11" ht="14.4" customHeight="1" x14ac:dyDescent="0.3">
      <c r="A18" s="570" t="s">
        <v>418</v>
      </c>
      <c r="B18" s="571" t="s">
        <v>419</v>
      </c>
      <c r="C18" s="574" t="s">
        <v>424</v>
      </c>
      <c r="D18" s="602" t="s">
        <v>425</v>
      </c>
      <c r="E18" s="574" t="s">
        <v>762</v>
      </c>
      <c r="F18" s="602" t="s">
        <v>763</v>
      </c>
      <c r="G18" s="574" t="s">
        <v>780</v>
      </c>
      <c r="H18" s="574" t="s">
        <v>781</v>
      </c>
      <c r="I18" s="588">
        <v>1.9833333492279053</v>
      </c>
      <c r="J18" s="588">
        <v>400</v>
      </c>
      <c r="K18" s="589">
        <v>793.5</v>
      </c>
    </row>
    <row r="19" spans="1:11" ht="14.4" customHeight="1" x14ac:dyDescent="0.3">
      <c r="A19" s="570" t="s">
        <v>418</v>
      </c>
      <c r="B19" s="571" t="s">
        <v>419</v>
      </c>
      <c r="C19" s="574" t="s">
        <v>424</v>
      </c>
      <c r="D19" s="602" t="s">
        <v>425</v>
      </c>
      <c r="E19" s="574" t="s">
        <v>762</v>
      </c>
      <c r="F19" s="602" t="s">
        <v>763</v>
      </c>
      <c r="G19" s="574" t="s">
        <v>782</v>
      </c>
      <c r="H19" s="574" t="s">
        <v>783</v>
      </c>
      <c r="I19" s="588">
        <v>1.8999999761581421</v>
      </c>
      <c r="J19" s="588">
        <v>400</v>
      </c>
      <c r="K19" s="589">
        <v>760</v>
      </c>
    </row>
    <row r="20" spans="1:11" ht="14.4" customHeight="1" x14ac:dyDescent="0.3">
      <c r="A20" s="570" t="s">
        <v>418</v>
      </c>
      <c r="B20" s="571" t="s">
        <v>419</v>
      </c>
      <c r="C20" s="574" t="s">
        <v>424</v>
      </c>
      <c r="D20" s="602" t="s">
        <v>425</v>
      </c>
      <c r="E20" s="574" t="s">
        <v>762</v>
      </c>
      <c r="F20" s="602" t="s">
        <v>763</v>
      </c>
      <c r="G20" s="574" t="s">
        <v>784</v>
      </c>
      <c r="H20" s="574" t="s">
        <v>785</v>
      </c>
      <c r="I20" s="588">
        <v>1.9299999475479126</v>
      </c>
      <c r="J20" s="588">
        <v>100</v>
      </c>
      <c r="K20" s="589">
        <v>193</v>
      </c>
    </row>
    <row r="21" spans="1:11" ht="14.4" customHeight="1" x14ac:dyDescent="0.3">
      <c r="A21" s="570" t="s">
        <v>418</v>
      </c>
      <c r="B21" s="571" t="s">
        <v>419</v>
      </c>
      <c r="C21" s="574" t="s">
        <v>424</v>
      </c>
      <c r="D21" s="602" t="s">
        <v>425</v>
      </c>
      <c r="E21" s="574" t="s">
        <v>762</v>
      </c>
      <c r="F21" s="602" t="s">
        <v>763</v>
      </c>
      <c r="G21" s="574" t="s">
        <v>786</v>
      </c>
      <c r="H21" s="574" t="s">
        <v>787</v>
      </c>
      <c r="I21" s="588">
        <v>2.7000000476837158</v>
      </c>
      <c r="J21" s="588">
        <v>200</v>
      </c>
      <c r="K21" s="589">
        <v>540</v>
      </c>
    </row>
    <row r="22" spans="1:11" ht="14.4" customHeight="1" x14ac:dyDescent="0.3">
      <c r="A22" s="570" t="s">
        <v>418</v>
      </c>
      <c r="B22" s="571" t="s">
        <v>419</v>
      </c>
      <c r="C22" s="574" t="s">
        <v>424</v>
      </c>
      <c r="D22" s="602" t="s">
        <v>425</v>
      </c>
      <c r="E22" s="574" t="s">
        <v>762</v>
      </c>
      <c r="F22" s="602" t="s">
        <v>763</v>
      </c>
      <c r="G22" s="574" t="s">
        <v>788</v>
      </c>
      <c r="H22" s="574" t="s">
        <v>789</v>
      </c>
      <c r="I22" s="588">
        <v>3.0999999046325684</v>
      </c>
      <c r="J22" s="588">
        <v>10</v>
      </c>
      <c r="K22" s="589">
        <v>31</v>
      </c>
    </row>
    <row r="23" spans="1:11" ht="14.4" customHeight="1" x14ac:dyDescent="0.3">
      <c r="A23" s="570" t="s">
        <v>418</v>
      </c>
      <c r="B23" s="571" t="s">
        <v>419</v>
      </c>
      <c r="C23" s="574" t="s">
        <v>424</v>
      </c>
      <c r="D23" s="602" t="s">
        <v>425</v>
      </c>
      <c r="E23" s="574" t="s">
        <v>762</v>
      </c>
      <c r="F23" s="602" t="s">
        <v>763</v>
      </c>
      <c r="G23" s="574" t="s">
        <v>790</v>
      </c>
      <c r="H23" s="574" t="s">
        <v>791</v>
      </c>
      <c r="I23" s="588">
        <v>2.1700000762939453</v>
      </c>
      <c r="J23" s="588">
        <v>20</v>
      </c>
      <c r="K23" s="589">
        <v>43.400001525878906</v>
      </c>
    </row>
    <row r="24" spans="1:11" ht="14.4" customHeight="1" x14ac:dyDescent="0.3">
      <c r="A24" s="570" t="s">
        <v>418</v>
      </c>
      <c r="B24" s="571" t="s">
        <v>419</v>
      </c>
      <c r="C24" s="574" t="s">
        <v>424</v>
      </c>
      <c r="D24" s="602" t="s">
        <v>425</v>
      </c>
      <c r="E24" s="574" t="s">
        <v>762</v>
      </c>
      <c r="F24" s="602" t="s">
        <v>763</v>
      </c>
      <c r="G24" s="574" t="s">
        <v>792</v>
      </c>
      <c r="H24" s="574" t="s">
        <v>793</v>
      </c>
      <c r="I24" s="588">
        <v>21.229999542236328</v>
      </c>
      <c r="J24" s="588">
        <v>5</v>
      </c>
      <c r="K24" s="589">
        <v>106.15000152587891</v>
      </c>
    </row>
    <row r="25" spans="1:11" ht="14.4" customHeight="1" x14ac:dyDescent="0.3">
      <c r="A25" s="570" t="s">
        <v>418</v>
      </c>
      <c r="B25" s="571" t="s">
        <v>419</v>
      </c>
      <c r="C25" s="574" t="s">
        <v>424</v>
      </c>
      <c r="D25" s="602" t="s">
        <v>425</v>
      </c>
      <c r="E25" s="574" t="s">
        <v>762</v>
      </c>
      <c r="F25" s="602" t="s">
        <v>763</v>
      </c>
      <c r="G25" s="574" t="s">
        <v>794</v>
      </c>
      <c r="H25" s="574" t="s">
        <v>795</v>
      </c>
      <c r="I25" s="588">
        <v>4.630000114440918</v>
      </c>
      <c r="J25" s="588">
        <v>5</v>
      </c>
      <c r="K25" s="589">
        <v>23.149999618530273</v>
      </c>
    </row>
    <row r="26" spans="1:11" ht="14.4" customHeight="1" x14ac:dyDescent="0.3">
      <c r="A26" s="570" t="s">
        <v>418</v>
      </c>
      <c r="B26" s="571" t="s">
        <v>419</v>
      </c>
      <c r="C26" s="574" t="s">
        <v>424</v>
      </c>
      <c r="D26" s="602" t="s">
        <v>425</v>
      </c>
      <c r="E26" s="574" t="s">
        <v>762</v>
      </c>
      <c r="F26" s="602" t="s">
        <v>763</v>
      </c>
      <c r="G26" s="574" t="s">
        <v>796</v>
      </c>
      <c r="H26" s="574" t="s">
        <v>797</v>
      </c>
      <c r="I26" s="588">
        <v>21.139999389648438</v>
      </c>
      <c r="J26" s="588">
        <v>5</v>
      </c>
      <c r="K26" s="589">
        <v>105.70999908447266</v>
      </c>
    </row>
    <row r="27" spans="1:11" ht="14.4" customHeight="1" x14ac:dyDescent="0.3">
      <c r="A27" s="570" t="s">
        <v>418</v>
      </c>
      <c r="B27" s="571" t="s">
        <v>419</v>
      </c>
      <c r="C27" s="574" t="s">
        <v>424</v>
      </c>
      <c r="D27" s="602" t="s">
        <v>425</v>
      </c>
      <c r="E27" s="574" t="s">
        <v>762</v>
      </c>
      <c r="F27" s="602" t="s">
        <v>763</v>
      </c>
      <c r="G27" s="574" t="s">
        <v>796</v>
      </c>
      <c r="H27" s="574" t="s">
        <v>798</v>
      </c>
      <c r="I27" s="588">
        <v>21.239999771118164</v>
      </c>
      <c r="J27" s="588">
        <v>5</v>
      </c>
      <c r="K27" s="589">
        <v>106.19999694824219</v>
      </c>
    </row>
    <row r="28" spans="1:11" ht="14.4" customHeight="1" x14ac:dyDescent="0.3">
      <c r="A28" s="570" t="s">
        <v>418</v>
      </c>
      <c r="B28" s="571" t="s">
        <v>419</v>
      </c>
      <c r="C28" s="574" t="s">
        <v>424</v>
      </c>
      <c r="D28" s="602" t="s">
        <v>425</v>
      </c>
      <c r="E28" s="574" t="s">
        <v>762</v>
      </c>
      <c r="F28" s="602" t="s">
        <v>763</v>
      </c>
      <c r="G28" s="574" t="s">
        <v>799</v>
      </c>
      <c r="H28" s="574" t="s">
        <v>800</v>
      </c>
      <c r="I28" s="588">
        <v>3.1450001001358032</v>
      </c>
      <c r="J28" s="588">
        <v>10</v>
      </c>
      <c r="K28" s="589">
        <v>31.449999809265137</v>
      </c>
    </row>
    <row r="29" spans="1:11" ht="14.4" customHeight="1" x14ac:dyDescent="0.3">
      <c r="A29" s="570" t="s">
        <v>418</v>
      </c>
      <c r="B29" s="571" t="s">
        <v>419</v>
      </c>
      <c r="C29" s="574" t="s">
        <v>424</v>
      </c>
      <c r="D29" s="602" t="s">
        <v>425</v>
      </c>
      <c r="E29" s="574" t="s">
        <v>801</v>
      </c>
      <c r="F29" s="602" t="s">
        <v>802</v>
      </c>
      <c r="G29" s="574" t="s">
        <v>803</v>
      </c>
      <c r="H29" s="574" t="s">
        <v>804</v>
      </c>
      <c r="I29" s="588">
        <v>9.9816668828328456</v>
      </c>
      <c r="J29" s="588">
        <v>940</v>
      </c>
      <c r="K29" s="589">
        <v>9583.3999938964844</v>
      </c>
    </row>
    <row r="30" spans="1:11" ht="14.4" customHeight="1" x14ac:dyDescent="0.3">
      <c r="A30" s="570" t="s">
        <v>418</v>
      </c>
      <c r="B30" s="571" t="s">
        <v>419</v>
      </c>
      <c r="C30" s="574" t="s">
        <v>424</v>
      </c>
      <c r="D30" s="602" t="s">
        <v>425</v>
      </c>
      <c r="E30" s="574" t="s">
        <v>805</v>
      </c>
      <c r="F30" s="602" t="s">
        <v>806</v>
      </c>
      <c r="G30" s="574" t="s">
        <v>807</v>
      </c>
      <c r="H30" s="574" t="s">
        <v>808</v>
      </c>
      <c r="I30" s="588">
        <v>0.51000000536441803</v>
      </c>
      <c r="J30" s="588">
        <v>300</v>
      </c>
      <c r="K30" s="589">
        <v>156</v>
      </c>
    </row>
    <row r="31" spans="1:11" ht="14.4" customHeight="1" x14ac:dyDescent="0.3">
      <c r="A31" s="570" t="s">
        <v>418</v>
      </c>
      <c r="B31" s="571" t="s">
        <v>419</v>
      </c>
      <c r="C31" s="574" t="s">
        <v>424</v>
      </c>
      <c r="D31" s="602" t="s">
        <v>425</v>
      </c>
      <c r="E31" s="574" t="s">
        <v>805</v>
      </c>
      <c r="F31" s="602" t="s">
        <v>806</v>
      </c>
      <c r="G31" s="574" t="s">
        <v>809</v>
      </c>
      <c r="H31" s="574" t="s">
        <v>810</v>
      </c>
      <c r="I31" s="588">
        <v>0.55250000953674316</v>
      </c>
      <c r="J31" s="588">
        <v>1000</v>
      </c>
      <c r="K31" s="589">
        <v>626</v>
      </c>
    </row>
    <row r="32" spans="1:11" ht="14.4" customHeight="1" x14ac:dyDescent="0.3">
      <c r="A32" s="570" t="s">
        <v>418</v>
      </c>
      <c r="B32" s="571" t="s">
        <v>419</v>
      </c>
      <c r="C32" s="574" t="s">
        <v>424</v>
      </c>
      <c r="D32" s="602" t="s">
        <v>425</v>
      </c>
      <c r="E32" s="574" t="s">
        <v>805</v>
      </c>
      <c r="F32" s="602" t="s">
        <v>806</v>
      </c>
      <c r="G32" s="574" t="s">
        <v>811</v>
      </c>
      <c r="H32" s="574" t="s">
        <v>812</v>
      </c>
      <c r="I32" s="588">
        <v>1.7999999523162842</v>
      </c>
      <c r="J32" s="588">
        <v>1000</v>
      </c>
      <c r="K32" s="589">
        <v>1800</v>
      </c>
    </row>
    <row r="33" spans="1:11" ht="14.4" customHeight="1" x14ac:dyDescent="0.3">
      <c r="A33" s="570" t="s">
        <v>418</v>
      </c>
      <c r="B33" s="571" t="s">
        <v>419</v>
      </c>
      <c r="C33" s="574" t="s">
        <v>424</v>
      </c>
      <c r="D33" s="602" t="s">
        <v>425</v>
      </c>
      <c r="E33" s="574" t="s">
        <v>813</v>
      </c>
      <c r="F33" s="602" t="s">
        <v>814</v>
      </c>
      <c r="G33" s="574" t="s">
        <v>815</v>
      </c>
      <c r="H33" s="574" t="s">
        <v>816</v>
      </c>
      <c r="I33" s="588">
        <v>0.68666666746139526</v>
      </c>
      <c r="J33" s="588">
        <v>1200</v>
      </c>
      <c r="K33" s="589">
        <v>824</v>
      </c>
    </row>
    <row r="34" spans="1:11" ht="14.4" customHeight="1" x14ac:dyDescent="0.3">
      <c r="A34" s="570" t="s">
        <v>418</v>
      </c>
      <c r="B34" s="571" t="s">
        <v>419</v>
      </c>
      <c r="C34" s="574" t="s">
        <v>745</v>
      </c>
      <c r="D34" s="602" t="s">
        <v>746</v>
      </c>
      <c r="E34" s="574" t="s">
        <v>752</v>
      </c>
      <c r="F34" s="602" t="s">
        <v>753</v>
      </c>
      <c r="G34" s="574" t="s">
        <v>754</v>
      </c>
      <c r="H34" s="574" t="s">
        <v>755</v>
      </c>
      <c r="I34" s="588">
        <v>13.020000457763672</v>
      </c>
      <c r="J34" s="588">
        <v>5</v>
      </c>
      <c r="K34" s="589">
        <v>65.099998474121094</v>
      </c>
    </row>
    <row r="35" spans="1:11" ht="14.4" customHeight="1" x14ac:dyDescent="0.3">
      <c r="A35" s="570" t="s">
        <v>418</v>
      </c>
      <c r="B35" s="571" t="s">
        <v>419</v>
      </c>
      <c r="C35" s="574" t="s">
        <v>745</v>
      </c>
      <c r="D35" s="602" t="s">
        <v>746</v>
      </c>
      <c r="E35" s="574" t="s">
        <v>752</v>
      </c>
      <c r="F35" s="602" t="s">
        <v>753</v>
      </c>
      <c r="G35" s="574" t="s">
        <v>756</v>
      </c>
      <c r="H35" s="574" t="s">
        <v>757</v>
      </c>
      <c r="I35" s="588">
        <v>4.309999942779541</v>
      </c>
      <c r="J35" s="588">
        <v>6</v>
      </c>
      <c r="K35" s="589">
        <v>25.860000610351563</v>
      </c>
    </row>
    <row r="36" spans="1:11" ht="14.4" customHeight="1" x14ac:dyDescent="0.3">
      <c r="A36" s="570" t="s">
        <v>418</v>
      </c>
      <c r="B36" s="571" t="s">
        <v>419</v>
      </c>
      <c r="C36" s="574" t="s">
        <v>745</v>
      </c>
      <c r="D36" s="602" t="s">
        <v>746</v>
      </c>
      <c r="E36" s="574" t="s">
        <v>752</v>
      </c>
      <c r="F36" s="602" t="s">
        <v>753</v>
      </c>
      <c r="G36" s="574" t="s">
        <v>758</v>
      </c>
      <c r="H36" s="574" t="s">
        <v>759</v>
      </c>
      <c r="I36" s="588">
        <v>27.870000839233398</v>
      </c>
      <c r="J36" s="588">
        <v>1</v>
      </c>
      <c r="K36" s="589">
        <v>27.870000839233398</v>
      </c>
    </row>
    <row r="37" spans="1:11" ht="14.4" customHeight="1" x14ac:dyDescent="0.3">
      <c r="A37" s="570" t="s">
        <v>418</v>
      </c>
      <c r="B37" s="571" t="s">
        <v>419</v>
      </c>
      <c r="C37" s="574" t="s">
        <v>745</v>
      </c>
      <c r="D37" s="602" t="s">
        <v>746</v>
      </c>
      <c r="E37" s="574" t="s">
        <v>752</v>
      </c>
      <c r="F37" s="602" t="s">
        <v>753</v>
      </c>
      <c r="G37" s="574" t="s">
        <v>760</v>
      </c>
      <c r="H37" s="574" t="s">
        <v>761</v>
      </c>
      <c r="I37" s="588">
        <v>28.729999542236328</v>
      </c>
      <c r="J37" s="588">
        <v>7</v>
      </c>
      <c r="K37" s="589">
        <v>201.11000061035156</v>
      </c>
    </row>
    <row r="38" spans="1:11" ht="14.4" customHeight="1" x14ac:dyDescent="0.3">
      <c r="A38" s="570" t="s">
        <v>418</v>
      </c>
      <c r="B38" s="571" t="s">
        <v>419</v>
      </c>
      <c r="C38" s="574" t="s">
        <v>745</v>
      </c>
      <c r="D38" s="602" t="s">
        <v>746</v>
      </c>
      <c r="E38" s="574" t="s">
        <v>762</v>
      </c>
      <c r="F38" s="602" t="s">
        <v>763</v>
      </c>
      <c r="G38" s="574" t="s">
        <v>764</v>
      </c>
      <c r="H38" s="574" t="s">
        <v>765</v>
      </c>
      <c r="I38" s="588">
        <v>9.9999997764825821E-3</v>
      </c>
      <c r="J38" s="588">
        <v>400</v>
      </c>
      <c r="K38" s="589">
        <v>4</v>
      </c>
    </row>
    <row r="39" spans="1:11" ht="14.4" customHeight="1" x14ac:dyDescent="0.3">
      <c r="A39" s="570" t="s">
        <v>418</v>
      </c>
      <c r="B39" s="571" t="s">
        <v>419</v>
      </c>
      <c r="C39" s="574" t="s">
        <v>745</v>
      </c>
      <c r="D39" s="602" t="s">
        <v>746</v>
      </c>
      <c r="E39" s="574" t="s">
        <v>762</v>
      </c>
      <c r="F39" s="602" t="s">
        <v>763</v>
      </c>
      <c r="G39" s="574" t="s">
        <v>766</v>
      </c>
      <c r="H39" s="574" t="s">
        <v>767</v>
      </c>
      <c r="I39" s="588">
        <v>1.7999999523162842</v>
      </c>
      <c r="J39" s="588">
        <v>50</v>
      </c>
      <c r="K39" s="589">
        <v>90</v>
      </c>
    </row>
    <row r="40" spans="1:11" ht="14.4" customHeight="1" x14ac:dyDescent="0.3">
      <c r="A40" s="570" t="s">
        <v>418</v>
      </c>
      <c r="B40" s="571" t="s">
        <v>419</v>
      </c>
      <c r="C40" s="574" t="s">
        <v>745</v>
      </c>
      <c r="D40" s="602" t="s">
        <v>746</v>
      </c>
      <c r="E40" s="574" t="s">
        <v>762</v>
      </c>
      <c r="F40" s="602" t="s">
        <v>763</v>
      </c>
      <c r="G40" s="574" t="s">
        <v>772</v>
      </c>
      <c r="H40" s="574" t="s">
        <v>773</v>
      </c>
      <c r="I40" s="588">
        <v>2.2899999618530273</v>
      </c>
      <c r="J40" s="588">
        <v>100</v>
      </c>
      <c r="K40" s="589">
        <v>228.80000305175781</v>
      </c>
    </row>
    <row r="41" spans="1:11" ht="14.4" customHeight="1" x14ac:dyDescent="0.3">
      <c r="A41" s="570" t="s">
        <v>418</v>
      </c>
      <c r="B41" s="571" t="s">
        <v>419</v>
      </c>
      <c r="C41" s="574" t="s">
        <v>745</v>
      </c>
      <c r="D41" s="602" t="s">
        <v>746</v>
      </c>
      <c r="E41" s="574" t="s">
        <v>762</v>
      </c>
      <c r="F41" s="602" t="s">
        <v>763</v>
      </c>
      <c r="G41" s="574" t="s">
        <v>774</v>
      </c>
      <c r="H41" s="574" t="s">
        <v>775</v>
      </c>
      <c r="I41" s="588">
        <v>3.1700000762939453</v>
      </c>
      <c r="J41" s="588">
        <v>200</v>
      </c>
      <c r="K41" s="589">
        <v>634</v>
      </c>
    </row>
    <row r="42" spans="1:11" ht="14.4" customHeight="1" x14ac:dyDescent="0.3">
      <c r="A42" s="570" t="s">
        <v>418</v>
      </c>
      <c r="B42" s="571" t="s">
        <v>419</v>
      </c>
      <c r="C42" s="574" t="s">
        <v>745</v>
      </c>
      <c r="D42" s="602" t="s">
        <v>746</v>
      </c>
      <c r="E42" s="574" t="s">
        <v>762</v>
      </c>
      <c r="F42" s="602" t="s">
        <v>763</v>
      </c>
      <c r="G42" s="574" t="s">
        <v>778</v>
      </c>
      <c r="H42" s="574" t="s">
        <v>779</v>
      </c>
      <c r="I42" s="588">
        <v>1.6699999570846558</v>
      </c>
      <c r="J42" s="588">
        <v>100</v>
      </c>
      <c r="K42" s="589">
        <v>167</v>
      </c>
    </row>
    <row r="43" spans="1:11" ht="14.4" customHeight="1" x14ac:dyDescent="0.3">
      <c r="A43" s="570" t="s">
        <v>418</v>
      </c>
      <c r="B43" s="571" t="s">
        <v>419</v>
      </c>
      <c r="C43" s="574" t="s">
        <v>745</v>
      </c>
      <c r="D43" s="602" t="s">
        <v>746</v>
      </c>
      <c r="E43" s="574" t="s">
        <v>762</v>
      </c>
      <c r="F43" s="602" t="s">
        <v>763</v>
      </c>
      <c r="G43" s="574" t="s">
        <v>792</v>
      </c>
      <c r="H43" s="574" t="s">
        <v>817</v>
      </c>
      <c r="I43" s="588">
        <v>21.229999542236328</v>
      </c>
      <c r="J43" s="588">
        <v>5</v>
      </c>
      <c r="K43" s="589">
        <v>106.15000152587891</v>
      </c>
    </row>
    <row r="44" spans="1:11" ht="14.4" customHeight="1" x14ac:dyDescent="0.3">
      <c r="A44" s="570" t="s">
        <v>418</v>
      </c>
      <c r="B44" s="571" t="s">
        <v>419</v>
      </c>
      <c r="C44" s="574" t="s">
        <v>745</v>
      </c>
      <c r="D44" s="602" t="s">
        <v>746</v>
      </c>
      <c r="E44" s="574" t="s">
        <v>762</v>
      </c>
      <c r="F44" s="602" t="s">
        <v>763</v>
      </c>
      <c r="G44" s="574" t="s">
        <v>780</v>
      </c>
      <c r="H44" s="574" t="s">
        <v>781</v>
      </c>
      <c r="I44" s="588">
        <v>1.9800000190734863</v>
      </c>
      <c r="J44" s="588">
        <v>300</v>
      </c>
      <c r="K44" s="589">
        <v>594</v>
      </c>
    </row>
    <row r="45" spans="1:11" ht="14.4" customHeight="1" x14ac:dyDescent="0.3">
      <c r="A45" s="570" t="s">
        <v>418</v>
      </c>
      <c r="B45" s="571" t="s">
        <v>419</v>
      </c>
      <c r="C45" s="574" t="s">
        <v>745</v>
      </c>
      <c r="D45" s="602" t="s">
        <v>746</v>
      </c>
      <c r="E45" s="574" t="s">
        <v>762</v>
      </c>
      <c r="F45" s="602" t="s">
        <v>763</v>
      </c>
      <c r="G45" s="574" t="s">
        <v>782</v>
      </c>
      <c r="H45" s="574" t="s">
        <v>783</v>
      </c>
      <c r="I45" s="588">
        <v>1.8999999761581421</v>
      </c>
      <c r="J45" s="588">
        <v>50</v>
      </c>
      <c r="K45" s="589">
        <v>95</v>
      </c>
    </row>
    <row r="46" spans="1:11" ht="14.4" customHeight="1" x14ac:dyDescent="0.3">
      <c r="A46" s="570" t="s">
        <v>418</v>
      </c>
      <c r="B46" s="571" t="s">
        <v>419</v>
      </c>
      <c r="C46" s="574" t="s">
        <v>745</v>
      </c>
      <c r="D46" s="602" t="s">
        <v>746</v>
      </c>
      <c r="E46" s="574" t="s">
        <v>762</v>
      </c>
      <c r="F46" s="602" t="s">
        <v>763</v>
      </c>
      <c r="G46" s="574" t="s">
        <v>786</v>
      </c>
      <c r="H46" s="574" t="s">
        <v>787</v>
      </c>
      <c r="I46" s="588">
        <v>2.7000000476837158</v>
      </c>
      <c r="J46" s="588">
        <v>300</v>
      </c>
      <c r="K46" s="589">
        <v>810</v>
      </c>
    </row>
    <row r="47" spans="1:11" ht="14.4" customHeight="1" x14ac:dyDescent="0.3">
      <c r="A47" s="570" t="s">
        <v>418</v>
      </c>
      <c r="B47" s="571" t="s">
        <v>419</v>
      </c>
      <c r="C47" s="574" t="s">
        <v>745</v>
      </c>
      <c r="D47" s="602" t="s">
        <v>746</v>
      </c>
      <c r="E47" s="574" t="s">
        <v>762</v>
      </c>
      <c r="F47" s="602" t="s">
        <v>763</v>
      </c>
      <c r="G47" s="574" t="s">
        <v>818</v>
      </c>
      <c r="H47" s="574" t="s">
        <v>819</v>
      </c>
      <c r="I47" s="588">
        <v>3.0699999332427979</v>
      </c>
      <c r="J47" s="588">
        <v>100</v>
      </c>
      <c r="K47" s="589">
        <v>307</v>
      </c>
    </row>
    <row r="48" spans="1:11" ht="14.4" customHeight="1" x14ac:dyDescent="0.3">
      <c r="A48" s="570" t="s">
        <v>418</v>
      </c>
      <c r="B48" s="571" t="s">
        <v>419</v>
      </c>
      <c r="C48" s="574" t="s">
        <v>745</v>
      </c>
      <c r="D48" s="602" t="s">
        <v>746</v>
      </c>
      <c r="E48" s="574" t="s">
        <v>762</v>
      </c>
      <c r="F48" s="602" t="s">
        <v>763</v>
      </c>
      <c r="G48" s="574" t="s">
        <v>790</v>
      </c>
      <c r="H48" s="574" t="s">
        <v>791</v>
      </c>
      <c r="I48" s="588">
        <v>2.1700000762939453</v>
      </c>
      <c r="J48" s="588">
        <v>10</v>
      </c>
      <c r="K48" s="589">
        <v>21.700000762939453</v>
      </c>
    </row>
    <row r="49" spans="1:11" ht="14.4" customHeight="1" x14ac:dyDescent="0.3">
      <c r="A49" s="570" t="s">
        <v>418</v>
      </c>
      <c r="B49" s="571" t="s">
        <v>419</v>
      </c>
      <c r="C49" s="574" t="s">
        <v>745</v>
      </c>
      <c r="D49" s="602" t="s">
        <v>746</v>
      </c>
      <c r="E49" s="574" t="s">
        <v>762</v>
      </c>
      <c r="F49" s="602" t="s">
        <v>763</v>
      </c>
      <c r="G49" s="574" t="s">
        <v>820</v>
      </c>
      <c r="H49" s="574" t="s">
        <v>821</v>
      </c>
      <c r="I49" s="588">
        <v>2.5199999809265137</v>
      </c>
      <c r="J49" s="588">
        <v>50</v>
      </c>
      <c r="K49" s="589">
        <v>126</v>
      </c>
    </row>
    <row r="50" spans="1:11" ht="14.4" customHeight="1" x14ac:dyDescent="0.3">
      <c r="A50" s="570" t="s">
        <v>418</v>
      </c>
      <c r="B50" s="571" t="s">
        <v>419</v>
      </c>
      <c r="C50" s="574" t="s">
        <v>745</v>
      </c>
      <c r="D50" s="602" t="s">
        <v>746</v>
      </c>
      <c r="E50" s="574" t="s">
        <v>762</v>
      </c>
      <c r="F50" s="602" t="s">
        <v>763</v>
      </c>
      <c r="G50" s="574" t="s">
        <v>796</v>
      </c>
      <c r="H50" s="574" t="s">
        <v>797</v>
      </c>
      <c r="I50" s="588">
        <v>21.239999771118164</v>
      </c>
      <c r="J50" s="588">
        <v>130</v>
      </c>
      <c r="K50" s="589">
        <v>2761.2000427246094</v>
      </c>
    </row>
    <row r="51" spans="1:11" ht="14.4" customHeight="1" x14ac:dyDescent="0.3">
      <c r="A51" s="570" t="s">
        <v>418</v>
      </c>
      <c r="B51" s="571" t="s">
        <v>419</v>
      </c>
      <c r="C51" s="574" t="s">
        <v>745</v>
      </c>
      <c r="D51" s="602" t="s">
        <v>746</v>
      </c>
      <c r="E51" s="574" t="s">
        <v>762</v>
      </c>
      <c r="F51" s="602" t="s">
        <v>763</v>
      </c>
      <c r="G51" s="574" t="s">
        <v>822</v>
      </c>
      <c r="H51" s="574" t="s">
        <v>823</v>
      </c>
      <c r="I51" s="588">
        <v>2</v>
      </c>
      <c r="J51" s="588">
        <v>15</v>
      </c>
      <c r="K51" s="589">
        <v>30</v>
      </c>
    </row>
    <row r="52" spans="1:11" ht="14.4" customHeight="1" x14ac:dyDescent="0.3">
      <c r="A52" s="570" t="s">
        <v>418</v>
      </c>
      <c r="B52" s="571" t="s">
        <v>419</v>
      </c>
      <c r="C52" s="574" t="s">
        <v>745</v>
      </c>
      <c r="D52" s="602" t="s">
        <v>746</v>
      </c>
      <c r="E52" s="574" t="s">
        <v>801</v>
      </c>
      <c r="F52" s="602" t="s">
        <v>802</v>
      </c>
      <c r="G52" s="574" t="s">
        <v>803</v>
      </c>
      <c r="H52" s="574" t="s">
        <v>804</v>
      </c>
      <c r="I52" s="588">
        <v>8.1700000762939453</v>
      </c>
      <c r="J52" s="588">
        <v>300</v>
      </c>
      <c r="K52" s="589">
        <v>2451</v>
      </c>
    </row>
    <row r="53" spans="1:11" ht="14.4" customHeight="1" x14ac:dyDescent="0.3">
      <c r="A53" s="570" t="s">
        <v>418</v>
      </c>
      <c r="B53" s="571" t="s">
        <v>419</v>
      </c>
      <c r="C53" s="574" t="s">
        <v>745</v>
      </c>
      <c r="D53" s="602" t="s">
        <v>746</v>
      </c>
      <c r="E53" s="574" t="s">
        <v>805</v>
      </c>
      <c r="F53" s="602" t="s">
        <v>806</v>
      </c>
      <c r="G53" s="574" t="s">
        <v>807</v>
      </c>
      <c r="H53" s="574" t="s">
        <v>808</v>
      </c>
      <c r="I53" s="588">
        <v>0.47999998927116394</v>
      </c>
      <c r="J53" s="588">
        <v>100</v>
      </c>
      <c r="K53" s="589">
        <v>48</v>
      </c>
    </row>
    <row r="54" spans="1:11" ht="14.4" customHeight="1" x14ac:dyDescent="0.3">
      <c r="A54" s="570" t="s">
        <v>418</v>
      </c>
      <c r="B54" s="571" t="s">
        <v>419</v>
      </c>
      <c r="C54" s="574" t="s">
        <v>745</v>
      </c>
      <c r="D54" s="602" t="s">
        <v>746</v>
      </c>
      <c r="E54" s="574" t="s">
        <v>805</v>
      </c>
      <c r="F54" s="602" t="s">
        <v>806</v>
      </c>
      <c r="G54" s="574" t="s">
        <v>809</v>
      </c>
      <c r="H54" s="574" t="s">
        <v>810</v>
      </c>
      <c r="I54" s="588">
        <v>0.60499998927116394</v>
      </c>
      <c r="J54" s="588">
        <v>600</v>
      </c>
      <c r="K54" s="589">
        <v>363</v>
      </c>
    </row>
    <row r="55" spans="1:11" ht="14.4" customHeight="1" x14ac:dyDescent="0.3">
      <c r="A55" s="570" t="s">
        <v>418</v>
      </c>
      <c r="B55" s="571" t="s">
        <v>419</v>
      </c>
      <c r="C55" s="574" t="s">
        <v>745</v>
      </c>
      <c r="D55" s="602" t="s">
        <v>746</v>
      </c>
      <c r="E55" s="574" t="s">
        <v>805</v>
      </c>
      <c r="F55" s="602" t="s">
        <v>806</v>
      </c>
      <c r="G55" s="574" t="s">
        <v>811</v>
      </c>
      <c r="H55" s="574" t="s">
        <v>812</v>
      </c>
      <c r="I55" s="588">
        <v>1.7999999523162842</v>
      </c>
      <c r="J55" s="588">
        <v>200</v>
      </c>
      <c r="K55" s="589">
        <v>360</v>
      </c>
    </row>
    <row r="56" spans="1:11" ht="14.4" customHeight="1" thickBot="1" x14ac:dyDescent="0.35">
      <c r="A56" s="578" t="s">
        <v>418</v>
      </c>
      <c r="B56" s="579" t="s">
        <v>419</v>
      </c>
      <c r="C56" s="582" t="s">
        <v>745</v>
      </c>
      <c r="D56" s="603" t="s">
        <v>746</v>
      </c>
      <c r="E56" s="582" t="s">
        <v>813</v>
      </c>
      <c r="F56" s="603" t="s">
        <v>814</v>
      </c>
      <c r="G56" s="582" t="s">
        <v>815</v>
      </c>
      <c r="H56" s="582" t="s">
        <v>816</v>
      </c>
      <c r="I56" s="590">
        <v>0.68999999761581421</v>
      </c>
      <c r="J56" s="590">
        <v>400</v>
      </c>
      <c r="K56" s="591">
        <v>276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9" ht="18.600000000000001" thickBot="1" x14ac:dyDescent="0.4">
      <c r="A1" s="415" t="s">
        <v>106</v>
      </c>
      <c r="B1" s="415"/>
      <c r="C1" s="334"/>
      <c r="D1" s="334"/>
      <c r="E1" s="334"/>
      <c r="F1" s="334"/>
      <c r="G1" s="334"/>
      <c r="H1" s="334"/>
      <c r="I1" s="312"/>
    </row>
    <row r="2" spans="1:9" ht="15" thickBot="1" x14ac:dyDescent="0.35">
      <c r="A2" s="235" t="s">
        <v>259</v>
      </c>
      <c r="B2" s="236"/>
      <c r="C2" s="236"/>
      <c r="D2" s="236"/>
      <c r="E2" s="236"/>
      <c r="F2" s="236"/>
      <c r="G2" s="236"/>
      <c r="H2" s="236"/>
      <c r="I2" s="312"/>
    </row>
    <row r="3" spans="1:9" x14ac:dyDescent="0.3">
      <c r="A3" s="252" t="s">
        <v>198</v>
      </c>
      <c r="B3" s="413" t="s">
        <v>181</v>
      </c>
      <c r="C3" s="237">
        <v>30</v>
      </c>
      <c r="D3" s="237">
        <v>99</v>
      </c>
      <c r="E3" s="255">
        <v>101</v>
      </c>
      <c r="F3" s="255">
        <v>303</v>
      </c>
      <c r="G3" s="255">
        <v>304</v>
      </c>
      <c r="H3" s="255">
        <v>305</v>
      </c>
      <c r="I3" s="312"/>
    </row>
    <row r="4" spans="1:9" ht="24.6" outlineLevel="1" thickBot="1" x14ac:dyDescent="0.35">
      <c r="A4" s="253">
        <v>2017</v>
      </c>
      <c r="B4" s="414"/>
      <c r="C4" s="238" t="s">
        <v>200</v>
      </c>
      <c r="D4" s="238" t="s">
        <v>182</v>
      </c>
      <c r="E4" s="256" t="s">
        <v>221</v>
      </c>
      <c r="F4" s="256" t="s">
        <v>222</v>
      </c>
      <c r="G4" s="256" t="s">
        <v>223</v>
      </c>
      <c r="H4" s="256" t="s">
        <v>224</v>
      </c>
      <c r="I4" s="312"/>
    </row>
    <row r="5" spans="1:9" x14ac:dyDescent="0.3">
      <c r="A5" s="239" t="s">
        <v>183</v>
      </c>
      <c r="B5" s="267"/>
      <c r="C5" s="268"/>
      <c r="D5" s="268"/>
      <c r="E5" s="268"/>
      <c r="F5" s="268"/>
      <c r="G5" s="268"/>
      <c r="H5" s="268"/>
      <c r="I5" s="312"/>
    </row>
    <row r="6" spans="1:9" ht="15" collapsed="1" thickBot="1" x14ac:dyDescent="0.35">
      <c r="A6" s="240" t="s">
        <v>73</v>
      </c>
      <c r="B6" s="269">
        <f xml:space="preserve">
TRUNC(IF($A$4&lt;=12,SUMIFS('ON Data'!F:F,'ON Data'!$D:$D,$A$4,'ON Data'!$E:$E,1),SUMIFS('ON Data'!F:F,'ON Data'!$E:$E,1)/'ON Data'!$D$3),1)</f>
        <v>9.9</v>
      </c>
      <c r="C6" s="270">
        <f xml:space="preserve">
TRUNC(IF($A$4&lt;=12,SUMIFS('ON Data'!I:I,'ON Data'!$D:$D,$A$4,'ON Data'!$E:$E,1),SUMIFS('ON Data'!I:I,'ON Data'!$E:$E,1)/'ON Data'!$D$3),1)</f>
        <v>1.7</v>
      </c>
      <c r="D6" s="270">
        <f xml:space="preserve">
TRUNC(IF($A$4&lt;=12,SUMIFS('ON Data'!J:J,'ON Data'!$D:$D,$A$4,'ON Data'!$E:$E,1),SUMIFS('ON Data'!J:J,'ON Data'!$E:$E,1)/'ON Data'!$D$3),1)</f>
        <v>0</v>
      </c>
      <c r="E6" s="270">
        <f xml:space="preserve">
TRUNC(IF($A$4&lt;=12,SUMIFS('ON Data'!L:L,'ON Data'!$D:$D,$A$4,'ON Data'!$E:$E,1),SUMIFS('ON Data'!L:L,'ON Data'!$E:$E,1)/'ON Data'!$D$3),1)</f>
        <v>3.7</v>
      </c>
      <c r="F6" s="270">
        <f xml:space="preserve">
TRUNC(IF($A$4&lt;=12,SUMIFS('ON Data'!Q:Q,'ON Data'!$D:$D,$A$4,'ON Data'!$E:$E,1),SUMIFS('ON Data'!Q:Q,'ON Data'!$E:$E,1)/'ON Data'!$D$3),1)</f>
        <v>0.8</v>
      </c>
      <c r="G6" s="270">
        <f xml:space="preserve">
TRUNC(IF($A$4&lt;=12,SUMIFS('ON Data'!R:R,'ON Data'!$D:$D,$A$4,'ON Data'!$E:$E,1),SUMIFS('ON Data'!R:R,'ON Data'!$E:$E,1)/'ON Data'!$D$3),1)</f>
        <v>2.6</v>
      </c>
      <c r="H6" s="270">
        <f xml:space="preserve">
TRUNC(IF($A$4&lt;=12,SUMIFS('ON Data'!S:S,'ON Data'!$D:$D,$A$4,'ON Data'!$E:$E,1),SUMIFS('ON Data'!S:S,'ON Data'!$E:$E,1)/'ON Data'!$D$3),1)</f>
        <v>0.8</v>
      </c>
      <c r="I6" s="312"/>
    </row>
    <row r="7" spans="1:9" ht="15" hidden="1" outlineLevel="1" thickBot="1" x14ac:dyDescent="0.35">
      <c r="A7" s="240" t="s">
        <v>107</v>
      </c>
      <c r="B7" s="269"/>
      <c r="C7" s="270"/>
      <c r="D7" s="270"/>
      <c r="E7" s="270"/>
      <c r="F7" s="270"/>
      <c r="G7" s="270"/>
      <c r="H7" s="270"/>
      <c r="I7" s="312"/>
    </row>
    <row r="8" spans="1:9" ht="15" hidden="1" outlineLevel="1" thickBot="1" x14ac:dyDescent="0.35">
      <c r="A8" s="240" t="s">
        <v>75</v>
      </c>
      <c r="B8" s="269"/>
      <c r="C8" s="270"/>
      <c r="D8" s="270"/>
      <c r="E8" s="270"/>
      <c r="F8" s="270"/>
      <c r="G8" s="270"/>
      <c r="H8" s="270"/>
      <c r="I8" s="312"/>
    </row>
    <row r="9" spans="1:9" ht="15" hidden="1" outlineLevel="1" thickBot="1" x14ac:dyDescent="0.35">
      <c r="A9" s="241" t="s">
        <v>68</v>
      </c>
      <c r="B9" s="271"/>
      <c r="C9" s="272"/>
      <c r="D9" s="272"/>
      <c r="E9" s="272"/>
      <c r="F9" s="272"/>
      <c r="G9" s="272"/>
      <c r="H9" s="272"/>
      <c r="I9" s="312"/>
    </row>
    <row r="10" spans="1:9" x14ac:dyDescent="0.3">
      <c r="A10" s="242" t="s">
        <v>184</v>
      </c>
      <c r="B10" s="257"/>
      <c r="C10" s="258"/>
      <c r="D10" s="258"/>
      <c r="E10" s="258"/>
      <c r="F10" s="258"/>
      <c r="G10" s="258"/>
      <c r="H10" s="258"/>
      <c r="I10" s="312"/>
    </row>
    <row r="11" spans="1:9" x14ac:dyDescent="0.3">
      <c r="A11" s="243" t="s">
        <v>185</v>
      </c>
      <c r="B11" s="259">
        <f xml:space="preserve">
IF($A$4&lt;=12,SUMIFS('ON Data'!F:F,'ON Data'!$D:$D,$A$4,'ON Data'!$E:$E,2),SUMIFS('ON Data'!F:F,'ON Data'!$E:$E,2))</f>
        <v>12328.800000000001</v>
      </c>
      <c r="C11" s="260">
        <f xml:space="preserve">
IF($A$4&lt;=12,SUMIFS('ON Data'!I:I,'ON Data'!$D:$D,$A$4,'ON Data'!$E:$E,2),SUMIFS('ON Data'!I:I,'ON Data'!$E:$E,2))</f>
        <v>2124</v>
      </c>
      <c r="D11" s="260">
        <f xml:space="preserve">
IF($A$4&lt;=12,SUMIFS('ON Data'!J:J,'ON Data'!$D:$D,$A$4,'ON Data'!$E:$E,2),SUMIFS('ON Data'!J:J,'ON Data'!$E:$E,2))</f>
        <v>0</v>
      </c>
      <c r="E11" s="260">
        <f xml:space="preserve">
IF($A$4&lt;=12,SUMIFS('ON Data'!L:L,'ON Data'!$D:$D,$A$4,'ON Data'!$E:$E,2),SUMIFS('ON Data'!L:L,'ON Data'!$E:$E,2))</f>
        <v>4752.8</v>
      </c>
      <c r="F11" s="260">
        <f xml:space="preserve">
IF($A$4&lt;=12,SUMIFS('ON Data'!Q:Q,'ON Data'!$D:$D,$A$4,'ON Data'!$E:$E,2),SUMIFS('ON Data'!Q:Q,'ON Data'!$E:$E,2))</f>
        <v>1048</v>
      </c>
      <c r="G11" s="260">
        <f xml:space="preserve">
IF($A$4&lt;=12,SUMIFS('ON Data'!R:R,'ON Data'!$D:$D,$A$4,'ON Data'!$E:$E,2),SUMIFS('ON Data'!R:R,'ON Data'!$E:$E,2))</f>
        <v>3252</v>
      </c>
      <c r="H11" s="260">
        <f xml:space="preserve">
IF($A$4&lt;=12,SUMIFS('ON Data'!S:S,'ON Data'!$D:$D,$A$4,'ON Data'!$E:$E,2),SUMIFS('ON Data'!S:S,'ON Data'!$E:$E,2))</f>
        <v>1152</v>
      </c>
      <c r="I11" s="312"/>
    </row>
    <row r="12" spans="1:9" x14ac:dyDescent="0.3">
      <c r="A12" s="243" t="s">
        <v>186</v>
      </c>
      <c r="B12" s="259">
        <f xml:space="preserve">
IF($A$4&lt;=12,SUMIFS('ON Data'!F:F,'ON Data'!$D:$D,$A$4,'ON Data'!$E:$E,3),SUMIFS('ON Data'!F:F,'ON Data'!$E:$E,3))</f>
        <v>0</v>
      </c>
      <c r="C12" s="260">
        <f xml:space="preserve">
IF($A$4&lt;=12,SUMIFS('ON Data'!I:I,'ON Data'!$D:$D,$A$4,'ON Data'!$E:$E,3),SUMIFS('ON Data'!I:I,'ON Data'!$E:$E,3))</f>
        <v>0</v>
      </c>
      <c r="D12" s="260">
        <f xml:space="preserve">
IF($A$4&lt;=12,SUMIFS('ON Data'!J:J,'ON Data'!$D:$D,$A$4,'ON Data'!$E:$E,3),SUMIFS('ON Data'!J:J,'ON Data'!$E:$E,3))</f>
        <v>0</v>
      </c>
      <c r="E12" s="260">
        <f xml:space="preserve">
IF($A$4&lt;=12,SUMIFS('ON Data'!L:L,'ON Data'!$D:$D,$A$4,'ON Data'!$E:$E,3),SUMIFS('ON Data'!L:L,'ON Data'!$E:$E,3))</f>
        <v>0</v>
      </c>
      <c r="F12" s="260">
        <f xml:space="preserve">
IF($A$4&lt;=12,SUMIFS('ON Data'!Q:Q,'ON Data'!$D:$D,$A$4,'ON Data'!$E:$E,3),SUMIFS('ON Data'!Q:Q,'ON Data'!$E:$E,3))</f>
        <v>0</v>
      </c>
      <c r="G12" s="260">
        <f xml:space="preserve">
IF($A$4&lt;=12,SUMIFS('ON Data'!R:R,'ON Data'!$D:$D,$A$4,'ON Data'!$E:$E,3),SUMIFS('ON Data'!R:R,'ON Data'!$E:$E,3))</f>
        <v>0</v>
      </c>
      <c r="H12" s="260">
        <f xml:space="preserve">
IF($A$4&lt;=12,SUMIFS('ON Data'!S:S,'ON Data'!$D:$D,$A$4,'ON Data'!$E:$E,3),SUMIFS('ON Data'!S:S,'ON Data'!$E:$E,3))</f>
        <v>0</v>
      </c>
      <c r="I12" s="312"/>
    </row>
    <row r="13" spans="1:9" x14ac:dyDescent="0.3">
      <c r="A13" s="243" t="s">
        <v>193</v>
      </c>
      <c r="B13" s="259">
        <f xml:space="preserve">
IF($A$4&lt;=12,SUMIFS('ON Data'!F:F,'ON Data'!$D:$D,$A$4,'ON Data'!$E:$E,4),SUMIFS('ON Data'!F:F,'ON Data'!$E:$E,4))</f>
        <v>0</v>
      </c>
      <c r="C13" s="260">
        <f xml:space="preserve">
IF($A$4&lt;=12,SUMIFS('ON Data'!I:I,'ON Data'!$D:$D,$A$4,'ON Data'!$E:$E,4),SUMIFS('ON Data'!I:I,'ON Data'!$E:$E,4))</f>
        <v>0</v>
      </c>
      <c r="D13" s="260">
        <f xml:space="preserve">
IF($A$4&lt;=12,SUMIFS('ON Data'!J:J,'ON Data'!$D:$D,$A$4,'ON Data'!$E:$E,4),SUMIFS('ON Data'!J:J,'ON Data'!$E:$E,4))</f>
        <v>0</v>
      </c>
      <c r="E13" s="260">
        <f xml:space="preserve">
IF($A$4&lt;=12,SUMIFS('ON Data'!L:L,'ON Data'!$D:$D,$A$4,'ON Data'!$E:$E,4),SUMIFS('ON Data'!L:L,'ON Data'!$E:$E,4))</f>
        <v>0</v>
      </c>
      <c r="F13" s="260">
        <f xml:space="preserve">
IF($A$4&lt;=12,SUMIFS('ON Data'!Q:Q,'ON Data'!$D:$D,$A$4,'ON Data'!$E:$E,4),SUMIFS('ON Data'!Q:Q,'ON Data'!$E:$E,4))</f>
        <v>0</v>
      </c>
      <c r="G13" s="260">
        <f xml:space="preserve">
IF($A$4&lt;=12,SUMIFS('ON Data'!R:R,'ON Data'!$D:$D,$A$4,'ON Data'!$E:$E,4),SUMIFS('ON Data'!R:R,'ON Data'!$E:$E,4))</f>
        <v>0</v>
      </c>
      <c r="H13" s="260">
        <f xml:space="preserve">
IF($A$4&lt;=12,SUMIFS('ON Data'!S:S,'ON Data'!$D:$D,$A$4,'ON Data'!$E:$E,4),SUMIFS('ON Data'!S:S,'ON Data'!$E:$E,4))</f>
        <v>0</v>
      </c>
      <c r="I13" s="312"/>
    </row>
    <row r="14" spans="1:9" ht="15" thickBot="1" x14ac:dyDescent="0.35">
      <c r="A14" s="244" t="s">
        <v>187</v>
      </c>
      <c r="B14" s="261">
        <f xml:space="preserve">
IF($A$4&lt;=12,SUMIFS('ON Data'!F:F,'ON Data'!$D:$D,$A$4,'ON Data'!$E:$E,5),SUMIFS('ON Data'!F:F,'ON Data'!$E:$E,5))</f>
        <v>24</v>
      </c>
      <c r="C14" s="262">
        <f xml:space="preserve">
IF($A$4&lt;=12,SUMIFS('ON Data'!I:I,'ON Data'!$D:$D,$A$4,'ON Data'!$E:$E,5),SUMIFS('ON Data'!I:I,'ON Data'!$E:$E,5))</f>
        <v>0</v>
      </c>
      <c r="D14" s="262">
        <f xml:space="preserve">
IF($A$4&lt;=12,SUMIFS('ON Data'!J:J,'ON Data'!$D:$D,$A$4,'ON Data'!$E:$E,5),SUMIFS('ON Data'!J:J,'ON Data'!$E:$E,5))</f>
        <v>24</v>
      </c>
      <c r="E14" s="262">
        <f xml:space="preserve">
IF($A$4&lt;=12,SUMIFS('ON Data'!L:L,'ON Data'!$D:$D,$A$4,'ON Data'!$E:$E,5),SUMIFS('ON Data'!L:L,'ON Data'!$E:$E,5))</f>
        <v>0</v>
      </c>
      <c r="F14" s="262">
        <f xml:space="preserve">
IF($A$4&lt;=12,SUMIFS('ON Data'!Q:Q,'ON Data'!$D:$D,$A$4,'ON Data'!$E:$E,5),SUMIFS('ON Data'!Q:Q,'ON Data'!$E:$E,5))</f>
        <v>0</v>
      </c>
      <c r="G14" s="262">
        <f xml:space="preserve">
IF($A$4&lt;=12,SUMIFS('ON Data'!R:R,'ON Data'!$D:$D,$A$4,'ON Data'!$E:$E,5),SUMIFS('ON Data'!R:R,'ON Data'!$E:$E,5))</f>
        <v>0</v>
      </c>
      <c r="H14" s="262">
        <f xml:space="preserve">
IF($A$4&lt;=12,SUMIFS('ON Data'!S:S,'ON Data'!$D:$D,$A$4,'ON Data'!$E:$E,5),SUMIFS('ON Data'!S:S,'ON Data'!$E:$E,5))</f>
        <v>0</v>
      </c>
      <c r="I14" s="312"/>
    </row>
    <row r="15" spans="1:9" x14ac:dyDescent="0.3">
      <c r="A15" s="162" t="s">
        <v>197</v>
      </c>
      <c r="B15" s="263"/>
      <c r="C15" s="264"/>
      <c r="D15" s="264"/>
      <c r="E15" s="264"/>
      <c r="F15" s="264"/>
      <c r="G15" s="264"/>
      <c r="H15" s="264"/>
      <c r="I15" s="312"/>
    </row>
    <row r="16" spans="1:9" x14ac:dyDescent="0.3">
      <c r="A16" s="245" t="s">
        <v>188</v>
      </c>
      <c r="B16" s="259">
        <f xml:space="preserve">
IF($A$4&lt;=12,SUMIFS('ON Data'!F:F,'ON Data'!$D:$D,$A$4,'ON Data'!$E:$E,7),SUMIFS('ON Data'!F:F,'ON Data'!$E:$E,7))</f>
        <v>0</v>
      </c>
      <c r="C16" s="260">
        <f xml:space="preserve">
IF($A$4&lt;=12,SUMIFS('ON Data'!I:I,'ON Data'!$D:$D,$A$4,'ON Data'!$E:$E,7),SUMIFS('ON Data'!I:I,'ON Data'!$E:$E,7))</f>
        <v>0</v>
      </c>
      <c r="D16" s="260">
        <f xml:space="preserve">
IF($A$4&lt;=12,SUMIFS('ON Data'!J:J,'ON Data'!$D:$D,$A$4,'ON Data'!$E:$E,7),SUMIFS('ON Data'!J:J,'ON Data'!$E:$E,7))</f>
        <v>0</v>
      </c>
      <c r="E16" s="260">
        <f xml:space="preserve">
IF($A$4&lt;=12,SUMIFS('ON Data'!L:L,'ON Data'!$D:$D,$A$4,'ON Data'!$E:$E,7),SUMIFS('ON Data'!L:L,'ON Data'!$E:$E,7))</f>
        <v>0</v>
      </c>
      <c r="F16" s="260">
        <f xml:space="preserve">
IF($A$4&lt;=12,SUMIFS('ON Data'!Q:Q,'ON Data'!$D:$D,$A$4,'ON Data'!$E:$E,7),SUMIFS('ON Data'!Q:Q,'ON Data'!$E:$E,7))</f>
        <v>0</v>
      </c>
      <c r="G16" s="260">
        <f xml:space="preserve">
IF($A$4&lt;=12,SUMIFS('ON Data'!R:R,'ON Data'!$D:$D,$A$4,'ON Data'!$E:$E,7),SUMIFS('ON Data'!R:R,'ON Data'!$E:$E,7))</f>
        <v>0</v>
      </c>
      <c r="H16" s="260">
        <f xml:space="preserve">
IF($A$4&lt;=12,SUMIFS('ON Data'!S:S,'ON Data'!$D:$D,$A$4,'ON Data'!$E:$E,7),SUMIFS('ON Data'!S:S,'ON Data'!$E:$E,7))</f>
        <v>0</v>
      </c>
      <c r="I16" s="312"/>
    </row>
    <row r="17" spans="1:46" x14ac:dyDescent="0.3">
      <c r="A17" s="245" t="s">
        <v>189</v>
      </c>
      <c r="B17" s="259">
        <f xml:space="preserve">
IF($A$4&lt;=12,SUMIFS('ON Data'!F:F,'ON Data'!$D:$D,$A$4,'ON Data'!$E:$E,8),SUMIFS('ON Data'!F:F,'ON Data'!$E:$E,8))</f>
        <v>0</v>
      </c>
      <c r="C17" s="260">
        <f xml:space="preserve">
IF($A$4&lt;=12,SUMIFS('ON Data'!I:I,'ON Data'!$D:$D,$A$4,'ON Data'!$E:$E,8),SUMIFS('ON Data'!I:I,'ON Data'!$E:$E,8))</f>
        <v>0</v>
      </c>
      <c r="D17" s="260">
        <f xml:space="preserve">
IF($A$4&lt;=12,SUMIFS('ON Data'!J:J,'ON Data'!$D:$D,$A$4,'ON Data'!$E:$E,8),SUMIFS('ON Data'!J:J,'ON Data'!$E:$E,8))</f>
        <v>0</v>
      </c>
      <c r="E17" s="260">
        <f xml:space="preserve">
IF($A$4&lt;=12,SUMIFS('ON Data'!L:L,'ON Data'!$D:$D,$A$4,'ON Data'!$E:$E,8),SUMIFS('ON Data'!L:L,'ON Data'!$E:$E,8))</f>
        <v>0</v>
      </c>
      <c r="F17" s="260">
        <f xml:space="preserve">
IF($A$4&lt;=12,SUMIFS('ON Data'!Q:Q,'ON Data'!$D:$D,$A$4,'ON Data'!$E:$E,8),SUMIFS('ON Data'!Q:Q,'ON Data'!$E:$E,8))</f>
        <v>0</v>
      </c>
      <c r="G17" s="260">
        <f xml:space="preserve">
IF($A$4&lt;=12,SUMIFS('ON Data'!R:R,'ON Data'!$D:$D,$A$4,'ON Data'!$E:$E,8),SUMIFS('ON Data'!R:R,'ON Data'!$E:$E,8))</f>
        <v>0</v>
      </c>
      <c r="H17" s="260">
        <f xml:space="preserve">
IF($A$4&lt;=12,SUMIFS('ON Data'!S:S,'ON Data'!$D:$D,$A$4,'ON Data'!$E:$E,8),SUMIFS('ON Data'!S:S,'ON Data'!$E:$E,8))</f>
        <v>0</v>
      </c>
      <c r="I17" s="312"/>
    </row>
    <row r="18" spans="1:46" x14ac:dyDescent="0.3">
      <c r="A18" s="245" t="s">
        <v>190</v>
      </c>
      <c r="B18" s="259">
        <f xml:space="preserve">
B19-B16-B17</f>
        <v>268428</v>
      </c>
      <c r="C18" s="260">
        <f t="shared" ref="C18:H18" si="0" xml:space="preserve">
C19-C16-C17</f>
        <v>24397</v>
      </c>
      <c r="D18" s="260">
        <f t="shared" si="0"/>
        <v>0</v>
      </c>
      <c r="E18" s="260">
        <f t="shared" si="0"/>
        <v>151411</v>
      </c>
      <c r="F18" s="260">
        <f t="shared" si="0"/>
        <v>16691</v>
      </c>
      <c r="G18" s="260">
        <f t="shared" si="0"/>
        <v>45291</v>
      </c>
      <c r="H18" s="260">
        <f t="shared" si="0"/>
        <v>30638</v>
      </c>
      <c r="I18" s="312"/>
    </row>
    <row r="19" spans="1:46" ht="15" thickBot="1" x14ac:dyDescent="0.35">
      <c r="A19" s="246" t="s">
        <v>191</v>
      </c>
      <c r="B19" s="265">
        <f xml:space="preserve">
IF($A$4&lt;=12,SUMIFS('ON Data'!F:F,'ON Data'!$D:$D,$A$4,'ON Data'!$E:$E,9),SUMIFS('ON Data'!F:F,'ON Data'!$E:$E,9))</f>
        <v>268428</v>
      </c>
      <c r="C19" s="266">
        <f xml:space="preserve">
IF($A$4&lt;=12,SUMIFS('ON Data'!I:I,'ON Data'!$D:$D,$A$4,'ON Data'!$E:$E,9),SUMIFS('ON Data'!I:I,'ON Data'!$E:$E,9))</f>
        <v>24397</v>
      </c>
      <c r="D19" s="266">
        <f xml:space="preserve">
IF($A$4&lt;=12,SUMIFS('ON Data'!J:J,'ON Data'!$D:$D,$A$4,'ON Data'!$E:$E,9),SUMIFS('ON Data'!J:J,'ON Data'!$E:$E,9))</f>
        <v>0</v>
      </c>
      <c r="E19" s="266">
        <f xml:space="preserve">
IF($A$4&lt;=12,SUMIFS('ON Data'!L:L,'ON Data'!$D:$D,$A$4,'ON Data'!$E:$E,9),SUMIFS('ON Data'!L:L,'ON Data'!$E:$E,9))</f>
        <v>151411</v>
      </c>
      <c r="F19" s="266">
        <f xml:space="preserve">
IF($A$4&lt;=12,SUMIFS('ON Data'!Q:Q,'ON Data'!$D:$D,$A$4,'ON Data'!$E:$E,9),SUMIFS('ON Data'!Q:Q,'ON Data'!$E:$E,9))</f>
        <v>16691</v>
      </c>
      <c r="G19" s="266">
        <f xml:space="preserve">
IF($A$4&lt;=12,SUMIFS('ON Data'!R:R,'ON Data'!$D:$D,$A$4,'ON Data'!$E:$E,9),SUMIFS('ON Data'!R:R,'ON Data'!$E:$E,9))</f>
        <v>45291</v>
      </c>
      <c r="H19" s="266">
        <f xml:space="preserve">
IF($A$4&lt;=12,SUMIFS('ON Data'!S:S,'ON Data'!$D:$D,$A$4,'ON Data'!$E:$E,9),SUMIFS('ON Data'!S:S,'ON Data'!$E:$E,9))</f>
        <v>30638</v>
      </c>
      <c r="I19" s="312"/>
    </row>
    <row r="20" spans="1:46" ht="15" collapsed="1" thickBot="1" x14ac:dyDescent="0.35">
      <c r="A20" s="247" t="s">
        <v>73</v>
      </c>
      <c r="B20" s="337">
        <f xml:space="preserve">
IF($A$4&lt;=12,SUMIFS('ON Data'!F:F,'ON Data'!$D:$D,$A$4,'ON Data'!$E:$E,6),SUMIFS('ON Data'!F:F,'ON Data'!$E:$E,6))</f>
        <v>3641613</v>
      </c>
      <c r="C20" s="338">
        <f xml:space="preserve">
IF($A$4&lt;=12,SUMIFS('ON Data'!I:I,'ON Data'!$D:$D,$A$4,'ON Data'!$E:$E,6),SUMIFS('ON Data'!I:I,'ON Data'!$E:$E,6))</f>
        <v>337655</v>
      </c>
      <c r="D20" s="338">
        <f xml:space="preserve">
IF($A$4&lt;=12,SUMIFS('ON Data'!J:J,'ON Data'!$D:$D,$A$4,'ON Data'!$E:$E,6),SUMIFS('ON Data'!J:J,'ON Data'!$E:$E,6))</f>
        <v>7200</v>
      </c>
      <c r="E20" s="338">
        <f xml:space="preserve">
IF($A$4&lt;=12,SUMIFS('ON Data'!L:L,'ON Data'!$D:$D,$A$4,'ON Data'!$E:$E,6),SUMIFS('ON Data'!L:L,'ON Data'!$E:$E,6))</f>
        <v>2046598</v>
      </c>
      <c r="F20" s="338">
        <f xml:space="preserve">
IF($A$4&lt;=12,SUMIFS('ON Data'!Q:Q,'ON Data'!$D:$D,$A$4,'ON Data'!$E:$E,6),SUMIFS('ON Data'!Q:Q,'ON Data'!$E:$E,6))</f>
        <v>219279</v>
      </c>
      <c r="G20" s="338">
        <f xml:space="preserve">
IF($A$4&lt;=12,SUMIFS('ON Data'!R:R,'ON Data'!$D:$D,$A$4,'ON Data'!$E:$E,6),SUMIFS('ON Data'!R:R,'ON Data'!$E:$E,6))</f>
        <v>698668</v>
      </c>
      <c r="H20" s="338">
        <f xml:space="preserve">
IF($A$4&lt;=12,SUMIFS('ON Data'!S:S,'ON Data'!$D:$D,$A$4,'ON Data'!$E:$E,6),SUMIFS('ON Data'!S:S,'ON Data'!$E:$E,6))</f>
        <v>332213</v>
      </c>
      <c r="I20" s="312"/>
    </row>
    <row r="21" spans="1:46" ht="15" hidden="1" outlineLevel="1" thickBot="1" x14ac:dyDescent="0.35">
      <c r="A21" s="240" t="s">
        <v>107</v>
      </c>
      <c r="B21" s="331">
        <f xml:space="preserve">
IF($A$4&lt;=12,SUMIFS('ON Data'!F:F,'ON Data'!$D:$D,$A$4,'ON Data'!$E:$E,12),SUMIFS('ON Data'!F:F,'ON Data'!$E:$E,12))</f>
        <v>0</v>
      </c>
      <c r="C21" s="317"/>
      <c r="D21" s="317">
        <f xml:space="preserve">
IF($A$4&lt;=12,SUMIFS('ON Data'!J:J,'ON Data'!$D:$D,$A$4,'ON Data'!$E:$E,12),SUMIFS('ON Data'!J:J,'ON Data'!$E:$E,12))</f>
        <v>0</v>
      </c>
      <c r="E21" s="317">
        <f xml:space="preserve">
IF($A$4&lt;=12,SUMIFS('ON Data'!L:L,'ON Data'!$D:$D,$A$4,'ON Data'!$E:$E,12),SUMIFS('ON Data'!L:L,'ON Data'!$E:$E,12))</f>
        <v>0</v>
      </c>
      <c r="F21" s="317">
        <f xml:space="preserve">
IF($A$4&lt;=12,SUMIFS('ON Data'!Q:Q,'ON Data'!$D:$D,$A$4,'ON Data'!$E:$E,12),SUMIFS('ON Data'!Q:Q,'ON Data'!$E:$E,12))</f>
        <v>0</v>
      </c>
      <c r="G21" s="317">
        <f xml:space="preserve">
IF($A$4&lt;=12,SUMIFS('ON Data'!R:R,'ON Data'!$D:$D,$A$4,'ON Data'!$E:$E,12),SUMIFS('ON Data'!R:R,'ON Data'!$E:$E,12))</f>
        <v>0</v>
      </c>
      <c r="H21" s="317">
        <f xml:space="preserve">
IF($A$4&lt;=12,SUMIFS('ON Data'!S:S,'ON Data'!$D:$D,$A$4,'ON Data'!$E:$E,12),SUMIFS('ON Data'!S:S,'ON Data'!$E:$E,12))</f>
        <v>0</v>
      </c>
      <c r="I21" s="312"/>
    </row>
    <row r="22" spans="1:46" ht="15" hidden="1" outlineLevel="1" thickBot="1" x14ac:dyDescent="0.35">
      <c r="A22" s="240" t="s">
        <v>75</v>
      </c>
      <c r="B22" s="332" t="str">
        <f xml:space="preserve">
IF(OR(B21="",B21=0),"",B20/B21)</f>
        <v/>
      </c>
      <c r="C22" s="303"/>
      <c r="D22" s="303" t="str">
        <f t="shared" ref="D22:E22" si="1" xml:space="preserve">
IF(OR(D21="",D21=0),"",D20/D21)</f>
        <v/>
      </c>
      <c r="E22" s="303" t="str">
        <f t="shared" si="1"/>
        <v/>
      </c>
      <c r="F22" s="303" t="str">
        <f t="shared" ref="F22:H22" si="2" xml:space="preserve">
IF(OR(F21="",F21=0),"",F20/F21)</f>
        <v/>
      </c>
      <c r="G22" s="303" t="str">
        <f t="shared" si="2"/>
        <v/>
      </c>
      <c r="H22" s="303" t="str">
        <f t="shared" si="2"/>
        <v/>
      </c>
      <c r="I22" s="312"/>
    </row>
    <row r="23" spans="1:46" ht="15" hidden="1" outlineLevel="1" thickBot="1" x14ac:dyDescent="0.35">
      <c r="A23" s="248" t="s">
        <v>68</v>
      </c>
      <c r="B23" s="333">
        <f xml:space="preserve">
IF(B21="","",B20-B21)</f>
        <v>3641613</v>
      </c>
      <c r="C23" s="262"/>
      <c r="D23" s="262">
        <f t="shared" ref="D23:E23" si="3" xml:space="preserve">
IF(D21="","",D20-D21)</f>
        <v>7200</v>
      </c>
      <c r="E23" s="262">
        <f t="shared" si="3"/>
        <v>2046598</v>
      </c>
      <c r="F23" s="262">
        <f t="shared" ref="F23:H23" si="4" xml:space="preserve">
IF(F21="","",F20-F21)</f>
        <v>219279</v>
      </c>
      <c r="G23" s="262">
        <f t="shared" si="4"/>
        <v>698668</v>
      </c>
      <c r="H23" s="262">
        <f t="shared" si="4"/>
        <v>332213</v>
      </c>
      <c r="I23" s="312"/>
    </row>
    <row r="24" spans="1:46" x14ac:dyDescent="0.3">
      <c r="A24" s="242" t="s">
        <v>192</v>
      </c>
      <c r="B24" s="277" t="s">
        <v>3</v>
      </c>
      <c r="C24" s="328" t="s">
        <v>256</v>
      </c>
      <c r="D24" s="329" t="s">
        <v>257</v>
      </c>
      <c r="E24" s="329" t="s">
        <v>258</v>
      </c>
      <c r="F24" s="330" t="s">
        <v>203</v>
      </c>
      <c r="AT24" s="312"/>
    </row>
    <row r="25" spans="1:46" x14ac:dyDescent="0.3">
      <c r="A25" s="243" t="s">
        <v>73</v>
      </c>
      <c r="B25" s="259">
        <f xml:space="preserve">
SUM(C25:F25)</f>
        <v>0</v>
      </c>
      <c r="C25" s="319">
        <f xml:space="preserve">
IF($A$4&lt;=12,SUMIFS('ON Data'!$G:$G,'ON Data'!$D:$D,$A$4,'ON Data'!$E:$E,10),SUMIFS('ON Data'!$G:$G,'ON Data'!$E:$E,10))</f>
        <v>0</v>
      </c>
      <c r="D25" s="320">
        <f xml:space="preserve">
IF($A$4&lt;=12,SUMIFS('ON Data'!$J:$J,'ON Data'!$D:$D,$A$4,'ON Data'!$E:$E,10),SUMIFS('ON Data'!$J:$J,'ON Data'!$E:$E,10))</f>
        <v>0</v>
      </c>
      <c r="E25" s="320">
        <f xml:space="preserve">
IF($A$4&lt;=12,SUMIFS('ON Data'!$H:$H,'ON Data'!$D:$D,$A$4,'ON Data'!$E:$E,10),SUMIFS('ON Data'!$H:$H,'ON Data'!$E:$E,10))</f>
        <v>0</v>
      </c>
      <c r="F25" s="321">
        <f xml:space="preserve">
IF($A$4&lt;=12,SUMIFS('ON Data'!$I:$I,'ON Data'!$D:$D,$A$4,'ON Data'!$E:$E,10),SUMIFS('ON Data'!$I:$I,'ON Data'!$E:$E,10))</f>
        <v>0</v>
      </c>
    </row>
    <row r="26" spans="1:46" x14ac:dyDescent="0.3">
      <c r="A26" s="249" t="s">
        <v>202</v>
      </c>
      <c r="B26" s="265">
        <f xml:space="preserve">
SUM(C26:F26)</f>
        <v>8887.3211953829741</v>
      </c>
      <c r="C26" s="319">
        <f xml:space="preserve">
IF($A$4&lt;=12,SUMIFS('ON Data'!$G:$G,'ON Data'!$D:$D,$A$4,'ON Data'!$E:$E,11),SUMIFS('ON Data'!$G:$G,'ON Data'!$E:$E,11))</f>
        <v>8887.3211953829741</v>
      </c>
      <c r="D26" s="320">
        <f xml:space="preserve">
IF($A$4&lt;=12,SUMIFS('ON Data'!$J:$J,'ON Data'!$D:$D,$A$4,'ON Data'!$E:$E,11),SUMIFS('ON Data'!$J:$J,'ON Data'!$E:$E,11))</f>
        <v>0</v>
      </c>
      <c r="E26" s="320">
        <f xml:space="preserve">
IF($A$4&lt;=12,SUMIFS('ON Data'!$H:$H,'ON Data'!$D:$D,$A$4,'ON Data'!$E:$E,11),SUMIFS('ON Data'!$H:$H,'ON Data'!$E:$E,11))</f>
        <v>0</v>
      </c>
      <c r="F26" s="321">
        <f xml:space="preserve">
IF($A$4&lt;=12,SUMIFS('ON Data'!$I:$I,'ON Data'!$D:$D,$A$4,'ON Data'!$E:$E,11),SUMIFS('ON Data'!$I:$I,'ON Data'!$E:$E,11))</f>
        <v>0</v>
      </c>
    </row>
    <row r="27" spans="1:46" x14ac:dyDescent="0.3">
      <c r="A27" s="249" t="s">
        <v>75</v>
      </c>
      <c r="B27" s="278">
        <f xml:space="preserve">
IF(B26=0,0,B25/B26)</f>
        <v>0</v>
      </c>
      <c r="C27" s="322">
        <f xml:space="preserve">
IF(C26=0,0,C25/C26)</f>
        <v>0</v>
      </c>
      <c r="D27" s="323">
        <f t="shared" ref="D27:E27" si="5" xml:space="preserve">
IF(D26=0,0,D25/D26)</f>
        <v>0</v>
      </c>
      <c r="E27" s="323">
        <f t="shared" si="5"/>
        <v>0</v>
      </c>
      <c r="F27" s="324">
        <f xml:space="preserve">
IF(F26=0,0,F25/F26)</f>
        <v>0</v>
      </c>
    </row>
    <row r="28" spans="1:46" ht="15" thickBot="1" x14ac:dyDescent="0.35">
      <c r="A28" s="249" t="s">
        <v>201</v>
      </c>
      <c r="B28" s="265">
        <f xml:space="preserve">
SUM(C28:F28)</f>
        <v>8887.3211953829741</v>
      </c>
      <c r="C28" s="325">
        <f xml:space="preserve">
C26-C25</f>
        <v>8887.3211953829741</v>
      </c>
      <c r="D28" s="326">
        <f t="shared" ref="D28:E28" si="6" xml:space="preserve">
D26-D25</f>
        <v>0</v>
      </c>
      <c r="E28" s="326">
        <f t="shared" si="6"/>
        <v>0</v>
      </c>
      <c r="F28" s="327">
        <f xml:space="preserve">
F26-F25</f>
        <v>0</v>
      </c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</row>
    <row r="29" spans="1:46" x14ac:dyDescent="0.3">
      <c r="A29" s="250"/>
      <c r="B29" s="250"/>
      <c r="C29" s="251"/>
      <c r="D29" s="250"/>
      <c r="E29" s="250"/>
      <c r="F29" s="250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154"/>
      <c r="AJ29" s="154"/>
      <c r="AK29" s="154"/>
      <c r="AL29" s="154"/>
      <c r="AM29" s="154"/>
    </row>
    <row r="30" spans="1:46" x14ac:dyDescent="0.3">
      <c r="A30" s="113" t="s">
        <v>161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199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74" t="s">
        <v>196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</row>
    <row r="33" spans="1:1" x14ac:dyDescent="0.3">
      <c r="A33" s="276" t="s">
        <v>252</v>
      </c>
    </row>
    <row r="34" spans="1:1" x14ac:dyDescent="0.3">
      <c r="A34" s="276" t="s">
        <v>253</v>
      </c>
    </row>
    <row r="35" spans="1:1" x14ac:dyDescent="0.3">
      <c r="A35" s="276" t="s">
        <v>254</v>
      </c>
    </row>
    <row r="36" spans="1:1" x14ac:dyDescent="0.3">
      <c r="A36" s="276" t="s">
        <v>255</v>
      </c>
    </row>
    <row r="37" spans="1:1" x14ac:dyDescent="0.3">
      <c r="A37" s="276" t="s">
        <v>204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H22">
    <cfRule type="cellIs" dxfId="8" priority="15" operator="greaterThan">
      <formula>1</formula>
    </cfRule>
  </conditionalFormatting>
  <conditionalFormatting sqref="B23:H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43" t="s">
        <v>121</v>
      </c>
      <c r="B1" s="343"/>
      <c r="C1" s="344"/>
      <c r="D1" s="344"/>
      <c r="E1" s="344"/>
    </row>
    <row r="2" spans="1:5" ht="14.4" customHeight="1" thickBot="1" x14ac:dyDescent="0.35">
      <c r="A2" s="235" t="s">
        <v>259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6008.516089147568</v>
      </c>
      <c r="D4" s="160">
        <f ca="1">IF(ISERROR(VLOOKUP("Náklady celkem",INDIRECT("HI!$A:$G"),5,0)),0,VLOOKUP("Náklady celkem",INDIRECT("HI!$A:$G"),5,0))</f>
        <v>6453.2170100000003</v>
      </c>
      <c r="E4" s="161">
        <f ca="1">IF(C4=0,0,D4/C4)</f>
        <v>1.0740117716678232</v>
      </c>
    </row>
    <row r="5" spans="1:5" ht="14.4" customHeight="1" x14ac:dyDescent="0.3">
      <c r="A5" s="162" t="s">
        <v>153</v>
      </c>
      <c r="B5" s="163"/>
      <c r="C5" s="164"/>
      <c r="D5" s="164"/>
      <c r="E5" s="165"/>
    </row>
    <row r="6" spans="1:5" ht="14.4" customHeight="1" x14ac:dyDescent="0.3">
      <c r="A6" s="166" t="s">
        <v>158</v>
      </c>
      <c r="B6" s="167"/>
      <c r="C6" s="168"/>
      <c r="D6" s="168"/>
      <c r="E6" s="165"/>
    </row>
    <row r="7" spans="1:5" ht="14.4" customHeight="1" x14ac:dyDescent="0.3">
      <c r="A7" s="29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309.16667968749999</v>
      </c>
      <c r="D7" s="168">
        <f>IF(ISERROR(HI!E5),"",HI!E5)</f>
        <v>343.06998999999996</v>
      </c>
      <c r="E7" s="165">
        <f t="shared" ref="E7:E15" si="0">IF(C7=0,0,D7/C7)</f>
        <v>1.1096602982791315</v>
      </c>
    </row>
    <row r="8" spans="1:5" ht="14.4" customHeight="1" x14ac:dyDescent="0.3">
      <c r="A8" s="298" t="str">
        <f>HYPERLINK("#'LŽ PL'!A1","Plnění pozitivního listu (min. 90%)")</f>
        <v>Plnění pozitivního listu (min. 90%)</v>
      </c>
      <c r="B8" s="167" t="s">
        <v>145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98" t="str">
        <f>HYPERLINK("#'LŽ Statim'!A1","Podíl statimových žádanek (max. 30%)")</f>
        <v>Podíl statimových žádanek (max. 30%)</v>
      </c>
      <c r="B9" s="296" t="s">
        <v>216</v>
      </c>
      <c r="C9" s="297">
        <v>0.3</v>
      </c>
      <c r="D9" s="297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154</v>
      </c>
      <c r="B10" s="167"/>
      <c r="C10" s="168"/>
      <c r="D10" s="168"/>
      <c r="E10" s="165"/>
    </row>
    <row r="11" spans="1:5" ht="14.4" customHeight="1" x14ac:dyDescent="0.3">
      <c r="A11" s="298" t="str">
        <f>HYPERLINK("#'Léky Recepty'!A1","Záchyt v lékárně (Úhrada Kč, min. 60%)")</f>
        <v>Záchyt v lékárně (Úhrada Kč, min. 60%)</v>
      </c>
      <c r="B11" s="167" t="s">
        <v>116</v>
      </c>
      <c r="C11" s="169">
        <v>0.6</v>
      </c>
      <c r="D11" s="169">
        <f>IF(ISERROR(VLOOKUP("Celkem",'Léky Recepty'!B:H,5,0)),0,VLOOKUP("Celkem",'Léky Recepty'!B:H,5,0))</f>
        <v>0.77029950747202425</v>
      </c>
      <c r="E11" s="165">
        <f t="shared" si="0"/>
        <v>1.2838325124533738</v>
      </c>
    </row>
    <row r="12" spans="1:5" ht="14.4" customHeight="1" x14ac:dyDescent="0.3">
      <c r="A12" s="298" t="str">
        <f>HYPERLINK("#'LRp PL'!A1","Plnění pozitivního listu (min. 80%)")</f>
        <v>Plnění pozitivního listu (min. 80%)</v>
      </c>
      <c r="B12" s="167" t="s">
        <v>146</v>
      </c>
      <c r="C12" s="169">
        <v>0.8</v>
      </c>
      <c r="D12" s="169">
        <f>IF(ISERROR(VLOOKUP("Celkem",'LRp PL'!A:F,5,0)),0,VLOOKUP("Celkem",'LRp PL'!A:F,5,0))</f>
        <v>0.61283715606692668</v>
      </c>
      <c r="E12" s="165">
        <f t="shared" si="0"/>
        <v>0.76604644508365827</v>
      </c>
    </row>
    <row r="13" spans="1:5" ht="14.4" customHeight="1" x14ac:dyDescent="0.3">
      <c r="A13" s="170" t="s">
        <v>155</v>
      </c>
      <c r="B13" s="167"/>
      <c r="C13" s="168"/>
      <c r="D13" s="168"/>
      <c r="E13" s="165"/>
    </row>
    <row r="14" spans="1:5" ht="14.4" customHeight="1" x14ac:dyDescent="0.3">
      <c r="A14" s="171" t="s">
        <v>159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111</v>
      </c>
      <c r="C15" s="168">
        <f>IF(ISERROR(HI!F6),"",HI!F6)</f>
        <v>48.656765441894535</v>
      </c>
      <c r="D15" s="168">
        <f>IF(ISERROR(HI!E6),"",HI!E6)</f>
        <v>44.637109999999993</v>
      </c>
      <c r="E15" s="165">
        <f t="shared" si="0"/>
        <v>0.91738753274311302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4578.5834797363277</v>
      </c>
      <c r="D16" s="164">
        <f ca="1">IF(ISERROR(VLOOKUP("Osobní náklady (Kč) *",INDIRECT("HI!$A:$G"),5,0)),0,VLOOKUP("Osobní náklady (Kč) *",INDIRECT("HI!$A:$G"),5,0))</f>
        <v>4949.0823700000001</v>
      </c>
      <c r="E16" s="165">
        <f ca="1">IF(C16=0,0,D16/C16)</f>
        <v>1.0809199814535235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1362.4693400000003</v>
      </c>
      <c r="D18" s="183">
        <f ca="1">IF(ISERROR(VLOOKUP("Výnosy celkem",INDIRECT("HI!$A:$G"),5,0)),0,VLOOKUP("Výnosy celkem",INDIRECT("HI!$A:$G"),5,0))</f>
        <v>1572.74398</v>
      </c>
      <c r="E18" s="184">
        <f t="shared" ref="E18:E23" ca="1" si="1">IF(C18=0,0,D18/C18)</f>
        <v>1.1543334839373336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1362.4693400000003</v>
      </c>
      <c r="D19" s="164">
        <f ca="1">IF(ISERROR(VLOOKUP("Ambulance *",INDIRECT("HI!$A:$G"),5,0)),0,VLOOKUP("Ambulance *",INDIRECT("HI!$A:$G"),5,0))</f>
        <v>1572.74398</v>
      </c>
      <c r="E19" s="165">
        <f t="shared" ca="1" si="1"/>
        <v>1.1543334839373336</v>
      </c>
    </row>
    <row r="20" spans="1:5" ht="14.4" customHeight="1" x14ac:dyDescent="0.3">
      <c r="A20" s="306" t="str">
        <f>HYPERLINK("#'ZV Vykáz.-A'!A1","Zdravotní výkony vykázané u ambulantních pacientů (min. 100 % 2016)")</f>
        <v>Zdravotní výkony vykázané u ambulantních pacientů (min. 100 % 2016)</v>
      </c>
      <c r="B20" s="307" t="s">
        <v>123</v>
      </c>
      <c r="C20" s="169">
        <v>1</v>
      </c>
      <c r="D20" s="169">
        <f>IF(ISERROR(VLOOKUP("Celkem:",'ZV Vykáz.-A'!$A:$AB,10,0)),"",VLOOKUP("Celkem:",'ZV Vykáz.-A'!$A:$AB,10,0))</f>
        <v>1.1543334839373336</v>
      </c>
      <c r="E20" s="165">
        <f t="shared" si="1"/>
        <v>1.1543334839373336</v>
      </c>
    </row>
    <row r="21" spans="1:5" ht="14.4" customHeight="1" x14ac:dyDescent="0.3">
      <c r="A21" s="305" t="str">
        <f>HYPERLINK("#'ZV Vykáz.-A'!A1","Specializovaná ambulantní péče")</f>
        <v>Specializovaná ambulantní péče</v>
      </c>
      <c r="B21" s="307" t="s">
        <v>123</v>
      </c>
      <c r="C21" s="169">
        <v>1</v>
      </c>
      <c r="D21" s="297">
        <f>IF(ISERROR(VLOOKUP("Specializovaná ambulantní péče",'ZV Vykáz.-A'!$A:$AB,10,0)),"",VLOOKUP("Specializovaná ambulantní péče",'ZV Vykáz.-A'!$A:$AB,10,0))</f>
        <v>1.154333483937334</v>
      </c>
      <c r="E21" s="165">
        <f t="shared" si="1"/>
        <v>1.154333483937334</v>
      </c>
    </row>
    <row r="22" spans="1:5" ht="14.4" customHeight="1" x14ac:dyDescent="0.3">
      <c r="A22" s="305" t="str">
        <f>HYPERLINK("#'ZV Vykáz.-A'!A1","Ambulantní péče ve vyjmenovaných odbornostech (§9)")</f>
        <v>Ambulantní péče ve vyjmenovaných odbornostech (§9)</v>
      </c>
      <c r="B22" s="307" t="s">
        <v>123</v>
      </c>
      <c r="C22" s="169">
        <v>1</v>
      </c>
      <c r="D22" s="297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307" t="s">
        <v>125</v>
      </c>
      <c r="C23" s="169">
        <v>0.85</v>
      </c>
      <c r="D23" s="169">
        <f>IF(ISERROR(VLOOKUP("Celkem:",'ZV Vykáz.-H'!$A:$S,7,0)),"",VLOOKUP("Celkem:",'ZV Vykáz.-H'!$A:$S,7,0))</f>
        <v>2.2969154435486865</v>
      </c>
      <c r="E23" s="165">
        <f t="shared" si="1"/>
        <v>2.7022534629984549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156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157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6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825</v>
      </c>
    </row>
    <row r="2" spans="1:49" x14ac:dyDescent="0.3">
      <c r="A2" s="235" t="s">
        <v>259</v>
      </c>
    </row>
    <row r="3" spans="1:49" x14ac:dyDescent="0.3">
      <c r="A3" s="231" t="s">
        <v>168</v>
      </c>
      <c r="B3" s="254">
        <v>2017</v>
      </c>
      <c r="D3" s="232">
        <f>MAX(D5:D1048576)</f>
        <v>8</v>
      </c>
      <c r="F3" s="232">
        <f>SUMIF($E5:$E1048576,"&lt;10",F5:F1048576)</f>
        <v>3922473.0500000003</v>
      </c>
      <c r="G3" s="232">
        <f t="shared" ref="G3:AW3" si="0">SUMIF($E5:$E1048576,"&lt;10",G5:G1048576)</f>
        <v>0</v>
      </c>
      <c r="H3" s="232">
        <f t="shared" si="0"/>
        <v>0</v>
      </c>
      <c r="I3" s="232">
        <f t="shared" si="0"/>
        <v>364190</v>
      </c>
      <c r="J3" s="232">
        <f t="shared" si="0"/>
        <v>7224</v>
      </c>
      <c r="K3" s="232">
        <f t="shared" si="0"/>
        <v>0</v>
      </c>
      <c r="L3" s="232">
        <f t="shared" si="0"/>
        <v>2202792.0499999998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237025</v>
      </c>
      <c r="R3" s="232">
        <f t="shared" si="0"/>
        <v>747232</v>
      </c>
      <c r="S3" s="232">
        <f t="shared" si="0"/>
        <v>364010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0</v>
      </c>
      <c r="AO3" s="232">
        <f t="shared" si="0"/>
        <v>0</v>
      </c>
      <c r="AP3" s="232">
        <f t="shared" si="0"/>
        <v>0</v>
      </c>
      <c r="AQ3" s="232">
        <f t="shared" si="0"/>
        <v>0</v>
      </c>
      <c r="AR3" s="232">
        <f t="shared" si="0"/>
        <v>0</v>
      </c>
      <c r="AS3" s="232">
        <f t="shared" si="0"/>
        <v>0</v>
      </c>
      <c r="AT3" s="232">
        <f t="shared" si="0"/>
        <v>0</v>
      </c>
      <c r="AU3" s="232">
        <f t="shared" si="0"/>
        <v>0</v>
      </c>
      <c r="AV3" s="232">
        <f t="shared" si="0"/>
        <v>0</v>
      </c>
      <c r="AW3" s="232">
        <f t="shared" si="0"/>
        <v>0</v>
      </c>
    </row>
    <row r="4" spans="1:49" x14ac:dyDescent="0.3">
      <c r="A4" s="231" t="s">
        <v>169</v>
      </c>
      <c r="B4" s="254">
        <v>1</v>
      </c>
      <c r="C4" s="233" t="s">
        <v>5</v>
      </c>
      <c r="D4" s="234" t="s">
        <v>67</v>
      </c>
      <c r="E4" s="234" t="s">
        <v>167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170</v>
      </c>
      <c r="B5" s="254">
        <v>2</v>
      </c>
      <c r="C5" s="231">
        <v>19</v>
      </c>
      <c r="D5" s="231">
        <v>1</v>
      </c>
      <c r="E5" s="231">
        <v>1</v>
      </c>
      <c r="F5" s="231">
        <v>11.35</v>
      </c>
      <c r="G5" s="231">
        <v>0</v>
      </c>
      <c r="H5" s="231">
        <v>0</v>
      </c>
      <c r="I5" s="231">
        <v>2</v>
      </c>
      <c r="J5" s="231">
        <v>0</v>
      </c>
      <c r="K5" s="231">
        <v>0</v>
      </c>
      <c r="L5" s="231">
        <v>4.3499999999999996</v>
      </c>
      <c r="M5" s="231">
        <v>0</v>
      </c>
      <c r="N5" s="231">
        <v>0</v>
      </c>
      <c r="O5" s="231">
        <v>0</v>
      </c>
      <c r="P5" s="231">
        <v>0</v>
      </c>
      <c r="Q5" s="231">
        <v>1</v>
      </c>
      <c r="R5" s="231">
        <v>3</v>
      </c>
      <c r="S5" s="231">
        <v>1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0</v>
      </c>
      <c r="AM5" s="231">
        <v>0</v>
      </c>
      <c r="AN5" s="231">
        <v>0</v>
      </c>
      <c r="AO5" s="231">
        <v>0</v>
      </c>
      <c r="AP5" s="231">
        <v>0</v>
      </c>
      <c r="AQ5" s="231">
        <v>0</v>
      </c>
      <c r="AR5" s="231">
        <v>0</v>
      </c>
      <c r="AS5" s="231">
        <v>0</v>
      </c>
      <c r="AT5" s="231">
        <v>0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171</v>
      </c>
      <c r="B6" s="254">
        <v>3</v>
      </c>
      <c r="C6" s="231">
        <v>19</v>
      </c>
      <c r="D6" s="231">
        <v>1</v>
      </c>
      <c r="E6" s="231">
        <v>2</v>
      </c>
      <c r="F6" s="231">
        <v>1952.8</v>
      </c>
      <c r="G6" s="231">
        <v>0</v>
      </c>
      <c r="H6" s="231">
        <v>0</v>
      </c>
      <c r="I6" s="231">
        <v>320</v>
      </c>
      <c r="J6" s="231">
        <v>0</v>
      </c>
      <c r="K6" s="231">
        <v>0</v>
      </c>
      <c r="L6" s="231">
        <v>760.8</v>
      </c>
      <c r="M6" s="231">
        <v>0</v>
      </c>
      <c r="N6" s="231">
        <v>0</v>
      </c>
      <c r="O6" s="231">
        <v>0</v>
      </c>
      <c r="P6" s="231">
        <v>0</v>
      </c>
      <c r="Q6" s="231">
        <v>176</v>
      </c>
      <c r="R6" s="231">
        <v>520</v>
      </c>
      <c r="S6" s="231">
        <v>176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0</v>
      </c>
      <c r="AN6" s="231">
        <v>0</v>
      </c>
      <c r="AO6" s="231">
        <v>0</v>
      </c>
      <c r="AP6" s="231">
        <v>0</v>
      </c>
      <c r="AQ6" s="231">
        <v>0</v>
      </c>
      <c r="AR6" s="231">
        <v>0</v>
      </c>
      <c r="AS6" s="231">
        <v>0</v>
      </c>
      <c r="AT6" s="231">
        <v>0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172</v>
      </c>
      <c r="B7" s="254">
        <v>4</v>
      </c>
      <c r="C7" s="231">
        <v>19</v>
      </c>
      <c r="D7" s="231">
        <v>1</v>
      </c>
      <c r="E7" s="231">
        <v>6</v>
      </c>
      <c r="F7" s="231">
        <v>475586</v>
      </c>
      <c r="G7" s="231">
        <v>0</v>
      </c>
      <c r="H7" s="231">
        <v>0</v>
      </c>
      <c r="I7" s="231">
        <v>42136</v>
      </c>
      <c r="J7" s="231">
        <v>0</v>
      </c>
      <c r="K7" s="231">
        <v>0</v>
      </c>
      <c r="L7" s="231">
        <v>269451</v>
      </c>
      <c r="M7" s="231">
        <v>0</v>
      </c>
      <c r="N7" s="231">
        <v>0</v>
      </c>
      <c r="O7" s="231">
        <v>0</v>
      </c>
      <c r="P7" s="231">
        <v>0</v>
      </c>
      <c r="Q7" s="231">
        <v>28660</v>
      </c>
      <c r="R7" s="231">
        <v>92589</v>
      </c>
      <c r="S7" s="231">
        <v>42750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173</v>
      </c>
      <c r="B8" s="254">
        <v>5</v>
      </c>
      <c r="C8" s="231">
        <v>19</v>
      </c>
      <c r="D8" s="231">
        <v>1</v>
      </c>
      <c r="E8" s="231">
        <v>11</v>
      </c>
      <c r="F8" s="231">
        <v>1110.9151494228718</v>
      </c>
      <c r="G8" s="231">
        <v>1110.9151494228718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174</v>
      </c>
      <c r="B9" s="254">
        <v>6</v>
      </c>
      <c r="C9" s="231">
        <v>19</v>
      </c>
      <c r="D9" s="231">
        <v>2</v>
      </c>
      <c r="E9" s="231">
        <v>1</v>
      </c>
      <c r="F9" s="231">
        <v>11.35</v>
      </c>
      <c r="G9" s="231">
        <v>0</v>
      </c>
      <c r="H9" s="231">
        <v>0</v>
      </c>
      <c r="I9" s="231">
        <v>2</v>
      </c>
      <c r="J9" s="231">
        <v>0</v>
      </c>
      <c r="K9" s="231">
        <v>0</v>
      </c>
      <c r="L9" s="231">
        <v>4.3499999999999996</v>
      </c>
      <c r="M9" s="231">
        <v>0</v>
      </c>
      <c r="N9" s="231">
        <v>0</v>
      </c>
      <c r="O9" s="231">
        <v>0</v>
      </c>
      <c r="P9" s="231">
        <v>0</v>
      </c>
      <c r="Q9" s="231">
        <v>1</v>
      </c>
      <c r="R9" s="231">
        <v>3</v>
      </c>
      <c r="S9" s="231">
        <v>1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175</v>
      </c>
      <c r="B10" s="254">
        <v>7</v>
      </c>
      <c r="C10" s="231">
        <v>19</v>
      </c>
      <c r="D10" s="231">
        <v>2</v>
      </c>
      <c r="E10" s="231">
        <v>2</v>
      </c>
      <c r="F10" s="231">
        <v>1710.4</v>
      </c>
      <c r="G10" s="231">
        <v>0</v>
      </c>
      <c r="H10" s="231">
        <v>0</v>
      </c>
      <c r="I10" s="231">
        <v>308</v>
      </c>
      <c r="J10" s="231">
        <v>0</v>
      </c>
      <c r="K10" s="231">
        <v>0</v>
      </c>
      <c r="L10" s="231">
        <v>674.40000000000009</v>
      </c>
      <c r="M10" s="231">
        <v>0</v>
      </c>
      <c r="N10" s="231">
        <v>0</v>
      </c>
      <c r="O10" s="231">
        <v>0</v>
      </c>
      <c r="P10" s="231">
        <v>0</v>
      </c>
      <c r="Q10" s="231">
        <v>156</v>
      </c>
      <c r="R10" s="231">
        <v>412</v>
      </c>
      <c r="S10" s="231">
        <v>160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0</v>
      </c>
      <c r="AP10" s="231">
        <v>0</v>
      </c>
      <c r="AQ10" s="231">
        <v>0</v>
      </c>
      <c r="AR10" s="231">
        <v>0</v>
      </c>
      <c r="AS10" s="231">
        <v>0</v>
      </c>
      <c r="AT10" s="231">
        <v>0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176</v>
      </c>
      <c r="B11" s="254">
        <v>8</v>
      </c>
      <c r="C11" s="231">
        <v>19</v>
      </c>
      <c r="D11" s="231">
        <v>2</v>
      </c>
      <c r="E11" s="231">
        <v>6</v>
      </c>
      <c r="F11" s="231">
        <v>477529</v>
      </c>
      <c r="G11" s="231">
        <v>0</v>
      </c>
      <c r="H11" s="231">
        <v>0</v>
      </c>
      <c r="I11" s="231">
        <v>44977</v>
      </c>
      <c r="J11" s="231">
        <v>0</v>
      </c>
      <c r="K11" s="231">
        <v>0</v>
      </c>
      <c r="L11" s="231">
        <v>269209</v>
      </c>
      <c r="M11" s="231">
        <v>0</v>
      </c>
      <c r="N11" s="231">
        <v>0</v>
      </c>
      <c r="O11" s="231">
        <v>0</v>
      </c>
      <c r="P11" s="231">
        <v>0</v>
      </c>
      <c r="Q11" s="231">
        <v>28634</v>
      </c>
      <c r="R11" s="231">
        <v>91959</v>
      </c>
      <c r="S11" s="231">
        <v>42750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177</v>
      </c>
      <c r="B12" s="254">
        <v>9</v>
      </c>
      <c r="C12" s="231">
        <v>19</v>
      </c>
      <c r="D12" s="231">
        <v>2</v>
      </c>
      <c r="E12" s="231">
        <v>11</v>
      </c>
      <c r="F12" s="231">
        <v>1110.9151494228718</v>
      </c>
      <c r="G12" s="231">
        <v>1110.9151494228718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178</v>
      </c>
      <c r="B13" s="254">
        <v>10</v>
      </c>
      <c r="C13" s="231">
        <v>19</v>
      </c>
      <c r="D13" s="231">
        <v>3</v>
      </c>
      <c r="E13" s="231">
        <v>1</v>
      </c>
      <c r="F13" s="231">
        <v>11.35</v>
      </c>
      <c r="G13" s="231">
        <v>0</v>
      </c>
      <c r="H13" s="231">
        <v>0</v>
      </c>
      <c r="I13" s="231">
        <v>2</v>
      </c>
      <c r="J13" s="231">
        <v>0</v>
      </c>
      <c r="K13" s="231">
        <v>0</v>
      </c>
      <c r="L13" s="231">
        <v>4.3499999999999996</v>
      </c>
      <c r="M13" s="231">
        <v>0</v>
      </c>
      <c r="N13" s="231">
        <v>0</v>
      </c>
      <c r="O13" s="231">
        <v>0</v>
      </c>
      <c r="P13" s="231">
        <v>0</v>
      </c>
      <c r="Q13" s="231">
        <v>1</v>
      </c>
      <c r="R13" s="231">
        <v>3</v>
      </c>
      <c r="S13" s="231">
        <v>1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179</v>
      </c>
      <c r="B14" s="254">
        <v>11</v>
      </c>
      <c r="C14" s="231">
        <v>19</v>
      </c>
      <c r="D14" s="231">
        <v>3</v>
      </c>
      <c r="E14" s="231">
        <v>2</v>
      </c>
      <c r="F14" s="231">
        <v>1940</v>
      </c>
      <c r="G14" s="231">
        <v>0</v>
      </c>
      <c r="H14" s="231">
        <v>0</v>
      </c>
      <c r="I14" s="231">
        <v>296</v>
      </c>
      <c r="J14" s="231">
        <v>0</v>
      </c>
      <c r="K14" s="231">
        <v>0</v>
      </c>
      <c r="L14" s="231">
        <v>756</v>
      </c>
      <c r="M14" s="231">
        <v>0</v>
      </c>
      <c r="N14" s="231">
        <v>0</v>
      </c>
      <c r="O14" s="231">
        <v>0</v>
      </c>
      <c r="P14" s="231">
        <v>0</v>
      </c>
      <c r="Q14" s="231">
        <v>184</v>
      </c>
      <c r="R14" s="231">
        <v>544</v>
      </c>
      <c r="S14" s="231">
        <v>160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  <c r="AO14" s="231">
        <v>0</v>
      </c>
      <c r="AP14" s="231">
        <v>0</v>
      </c>
      <c r="AQ14" s="231">
        <v>0</v>
      </c>
      <c r="AR14" s="231">
        <v>0</v>
      </c>
      <c r="AS14" s="231">
        <v>0</v>
      </c>
      <c r="AT14" s="231">
        <v>0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180</v>
      </c>
      <c r="B15" s="254">
        <v>12</v>
      </c>
      <c r="C15" s="231">
        <v>19</v>
      </c>
      <c r="D15" s="231">
        <v>3</v>
      </c>
      <c r="E15" s="231">
        <v>6</v>
      </c>
      <c r="F15" s="231">
        <v>578908</v>
      </c>
      <c r="G15" s="231">
        <v>0</v>
      </c>
      <c r="H15" s="231">
        <v>0</v>
      </c>
      <c r="I15" s="231">
        <v>51304</v>
      </c>
      <c r="J15" s="231">
        <v>0</v>
      </c>
      <c r="K15" s="231">
        <v>0</v>
      </c>
      <c r="L15" s="231">
        <v>335423</v>
      </c>
      <c r="M15" s="231">
        <v>0</v>
      </c>
      <c r="N15" s="231">
        <v>0</v>
      </c>
      <c r="O15" s="231">
        <v>0</v>
      </c>
      <c r="P15" s="231">
        <v>0</v>
      </c>
      <c r="Q15" s="231">
        <v>35660</v>
      </c>
      <c r="R15" s="231">
        <v>107653</v>
      </c>
      <c r="S15" s="231">
        <v>48868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  <c r="AP15" s="231">
        <v>0</v>
      </c>
      <c r="AQ15" s="231">
        <v>0</v>
      </c>
      <c r="AR15" s="231">
        <v>0</v>
      </c>
      <c r="AS15" s="231">
        <v>0</v>
      </c>
      <c r="AT15" s="231">
        <v>0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168</v>
      </c>
      <c r="B16" s="254">
        <v>2017</v>
      </c>
      <c r="C16" s="231">
        <v>19</v>
      </c>
      <c r="D16" s="231">
        <v>3</v>
      </c>
      <c r="E16" s="231">
        <v>9</v>
      </c>
      <c r="F16" s="231">
        <v>97665</v>
      </c>
      <c r="G16" s="231">
        <v>0</v>
      </c>
      <c r="H16" s="231">
        <v>0</v>
      </c>
      <c r="I16" s="231">
        <v>8500</v>
      </c>
      <c r="J16" s="231">
        <v>0</v>
      </c>
      <c r="K16" s="231">
        <v>0</v>
      </c>
      <c r="L16" s="231">
        <v>62165</v>
      </c>
      <c r="M16" s="231">
        <v>0</v>
      </c>
      <c r="N16" s="231">
        <v>0</v>
      </c>
      <c r="O16" s="231">
        <v>0</v>
      </c>
      <c r="P16" s="231">
        <v>0</v>
      </c>
      <c r="Q16" s="231">
        <v>7000</v>
      </c>
      <c r="R16" s="231">
        <v>15000</v>
      </c>
      <c r="S16" s="231">
        <v>5000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19</v>
      </c>
      <c r="D17" s="231">
        <v>3</v>
      </c>
      <c r="E17" s="231">
        <v>11</v>
      </c>
      <c r="F17" s="231">
        <v>1110.9151494228718</v>
      </c>
      <c r="G17" s="231">
        <v>1110.9151494228718</v>
      </c>
      <c r="H17" s="231">
        <v>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19</v>
      </c>
      <c r="D18" s="231">
        <v>4</v>
      </c>
      <c r="E18" s="231">
        <v>1</v>
      </c>
      <c r="F18" s="231">
        <v>11.35</v>
      </c>
      <c r="G18" s="231">
        <v>0</v>
      </c>
      <c r="H18" s="231">
        <v>0</v>
      </c>
      <c r="I18" s="231">
        <v>2</v>
      </c>
      <c r="J18" s="231">
        <v>0</v>
      </c>
      <c r="K18" s="231">
        <v>0</v>
      </c>
      <c r="L18" s="231">
        <v>4.3499999999999996</v>
      </c>
      <c r="M18" s="231">
        <v>0</v>
      </c>
      <c r="N18" s="231">
        <v>0</v>
      </c>
      <c r="O18" s="231">
        <v>0</v>
      </c>
      <c r="P18" s="231">
        <v>0</v>
      </c>
      <c r="Q18" s="231">
        <v>1</v>
      </c>
      <c r="R18" s="231">
        <v>3</v>
      </c>
      <c r="S18" s="231">
        <v>1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  <c r="AP18" s="231">
        <v>0</v>
      </c>
      <c r="AQ18" s="231">
        <v>0</v>
      </c>
      <c r="AR18" s="231">
        <v>0</v>
      </c>
      <c r="AS18" s="231">
        <v>0</v>
      </c>
      <c r="AT18" s="231">
        <v>0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19</v>
      </c>
      <c r="D19" s="231">
        <v>4</v>
      </c>
      <c r="E19" s="231">
        <v>2</v>
      </c>
      <c r="F19" s="231">
        <v>1708</v>
      </c>
      <c r="G19" s="231">
        <v>0</v>
      </c>
      <c r="H19" s="231">
        <v>0</v>
      </c>
      <c r="I19" s="231">
        <v>280</v>
      </c>
      <c r="J19" s="231">
        <v>0</v>
      </c>
      <c r="K19" s="231">
        <v>0</v>
      </c>
      <c r="L19" s="231">
        <v>684</v>
      </c>
      <c r="M19" s="231">
        <v>0</v>
      </c>
      <c r="N19" s="231">
        <v>0</v>
      </c>
      <c r="O19" s="231">
        <v>0</v>
      </c>
      <c r="P19" s="231">
        <v>0</v>
      </c>
      <c r="Q19" s="231">
        <v>152</v>
      </c>
      <c r="R19" s="231">
        <v>432</v>
      </c>
      <c r="S19" s="231">
        <v>160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0</v>
      </c>
      <c r="AR19" s="231">
        <v>0</v>
      </c>
      <c r="AS19" s="231">
        <v>0</v>
      </c>
      <c r="AT19" s="231">
        <v>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19</v>
      </c>
      <c r="D20" s="231">
        <v>4</v>
      </c>
      <c r="E20" s="231">
        <v>6</v>
      </c>
      <c r="F20" s="231">
        <v>481304</v>
      </c>
      <c r="G20" s="231">
        <v>0</v>
      </c>
      <c r="H20" s="231">
        <v>0</v>
      </c>
      <c r="I20" s="231">
        <v>44656</v>
      </c>
      <c r="J20" s="231">
        <v>0</v>
      </c>
      <c r="K20" s="231">
        <v>0</v>
      </c>
      <c r="L20" s="231">
        <v>271338</v>
      </c>
      <c r="M20" s="231">
        <v>0</v>
      </c>
      <c r="N20" s="231">
        <v>0</v>
      </c>
      <c r="O20" s="231">
        <v>0</v>
      </c>
      <c r="P20" s="231">
        <v>0</v>
      </c>
      <c r="Q20" s="231">
        <v>28747</v>
      </c>
      <c r="R20" s="231">
        <v>93813</v>
      </c>
      <c r="S20" s="231">
        <v>42750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0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19</v>
      </c>
      <c r="D21" s="231">
        <v>4</v>
      </c>
      <c r="E21" s="231">
        <v>11</v>
      </c>
      <c r="F21" s="231">
        <v>1110.9151494228718</v>
      </c>
      <c r="G21" s="231">
        <v>1110.9151494228718</v>
      </c>
      <c r="H21" s="231">
        <v>0</v>
      </c>
      <c r="I21" s="231">
        <v>0</v>
      </c>
      <c r="J21" s="231">
        <v>0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19</v>
      </c>
      <c r="D22" s="231">
        <v>5</v>
      </c>
      <c r="E22" s="231">
        <v>1</v>
      </c>
      <c r="F22" s="231">
        <v>11.35</v>
      </c>
      <c r="G22" s="231">
        <v>0</v>
      </c>
      <c r="H22" s="231">
        <v>0</v>
      </c>
      <c r="I22" s="231">
        <v>2</v>
      </c>
      <c r="J22" s="231">
        <v>0</v>
      </c>
      <c r="K22" s="231">
        <v>0</v>
      </c>
      <c r="L22" s="231">
        <v>4.3499999999999996</v>
      </c>
      <c r="M22" s="231">
        <v>0</v>
      </c>
      <c r="N22" s="231">
        <v>0</v>
      </c>
      <c r="O22" s="231">
        <v>0</v>
      </c>
      <c r="P22" s="231">
        <v>0</v>
      </c>
      <c r="Q22" s="231">
        <v>1</v>
      </c>
      <c r="R22" s="231">
        <v>3</v>
      </c>
      <c r="S22" s="231">
        <v>1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  <c r="AP22" s="231">
        <v>0</v>
      </c>
      <c r="AQ22" s="231">
        <v>0</v>
      </c>
      <c r="AR22" s="231">
        <v>0</v>
      </c>
      <c r="AS22" s="231">
        <v>0</v>
      </c>
      <c r="AT22" s="231">
        <v>0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19</v>
      </c>
      <c r="D23" s="231">
        <v>5</v>
      </c>
      <c r="E23" s="231">
        <v>2</v>
      </c>
      <c r="F23" s="231">
        <v>1936.4</v>
      </c>
      <c r="G23" s="231">
        <v>0</v>
      </c>
      <c r="H23" s="231">
        <v>0</v>
      </c>
      <c r="I23" s="231">
        <v>360</v>
      </c>
      <c r="J23" s="231">
        <v>0</v>
      </c>
      <c r="K23" s="231">
        <v>0</v>
      </c>
      <c r="L23" s="231">
        <v>732.40000000000009</v>
      </c>
      <c r="M23" s="231">
        <v>0</v>
      </c>
      <c r="N23" s="231">
        <v>0</v>
      </c>
      <c r="O23" s="231">
        <v>0</v>
      </c>
      <c r="P23" s="231">
        <v>0</v>
      </c>
      <c r="Q23" s="231">
        <v>156</v>
      </c>
      <c r="R23" s="231">
        <v>528</v>
      </c>
      <c r="S23" s="231">
        <v>160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  <c r="AP23" s="231">
        <v>0</v>
      </c>
      <c r="AQ23" s="231">
        <v>0</v>
      </c>
      <c r="AR23" s="231">
        <v>0</v>
      </c>
      <c r="AS23" s="231">
        <v>0</v>
      </c>
      <c r="AT23" s="231">
        <v>0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19</v>
      </c>
      <c r="D24" s="231">
        <v>5</v>
      </c>
      <c r="E24" s="231">
        <v>6</v>
      </c>
      <c r="F24" s="231">
        <v>489839</v>
      </c>
      <c r="G24" s="231">
        <v>0</v>
      </c>
      <c r="H24" s="231">
        <v>0</v>
      </c>
      <c r="I24" s="231">
        <v>46430</v>
      </c>
      <c r="J24" s="231">
        <v>0</v>
      </c>
      <c r="K24" s="231">
        <v>0</v>
      </c>
      <c r="L24" s="231">
        <v>275462</v>
      </c>
      <c r="M24" s="231">
        <v>0</v>
      </c>
      <c r="N24" s="231">
        <v>0</v>
      </c>
      <c r="O24" s="231">
        <v>0</v>
      </c>
      <c r="P24" s="231">
        <v>0</v>
      </c>
      <c r="Q24" s="231">
        <v>29620</v>
      </c>
      <c r="R24" s="231">
        <v>94337</v>
      </c>
      <c r="S24" s="231">
        <v>43990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  <c r="AO24" s="231">
        <v>0</v>
      </c>
      <c r="AP24" s="231">
        <v>0</v>
      </c>
      <c r="AQ24" s="231">
        <v>0</v>
      </c>
      <c r="AR24" s="231">
        <v>0</v>
      </c>
      <c r="AS24" s="231">
        <v>0</v>
      </c>
      <c r="AT24" s="231">
        <v>0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19</v>
      </c>
      <c r="D25" s="231">
        <v>5</v>
      </c>
      <c r="E25" s="231">
        <v>11</v>
      </c>
      <c r="F25" s="231">
        <v>1110.9151494228718</v>
      </c>
      <c r="G25" s="231">
        <v>1110.9151494228718</v>
      </c>
      <c r="H25" s="231">
        <v>0</v>
      </c>
      <c r="I25" s="231">
        <v>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19</v>
      </c>
      <c r="D26" s="231">
        <v>6</v>
      </c>
      <c r="E26" s="231">
        <v>1</v>
      </c>
      <c r="F26" s="231">
        <v>11.35</v>
      </c>
      <c r="G26" s="231">
        <v>0</v>
      </c>
      <c r="H26" s="231">
        <v>0</v>
      </c>
      <c r="I26" s="231">
        <v>2</v>
      </c>
      <c r="J26" s="231">
        <v>0</v>
      </c>
      <c r="K26" s="231">
        <v>0</v>
      </c>
      <c r="L26" s="231">
        <v>4.3499999999999996</v>
      </c>
      <c r="M26" s="231">
        <v>0</v>
      </c>
      <c r="N26" s="231">
        <v>0</v>
      </c>
      <c r="O26" s="231">
        <v>0</v>
      </c>
      <c r="P26" s="231">
        <v>0</v>
      </c>
      <c r="Q26" s="231">
        <v>1</v>
      </c>
      <c r="R26" s="231">
        <v>3</v>
      </c>
      <c r="S26" s="231">
        <v>1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  <c r="AO26" s="231">
        <v>0</v>
      </c>
      <c r="AP26" s="231">
        <v>0</v>
      </c>
      <c r="AQ26" s="231">
        <v>0</v>
      </c>
      <c r="AR26" s="231">
        <v>0</v>
      </c>
      <c r="AS26" s="231">
        <v>0</v>
      </c>
      <c r="AT26" s="231">
        <v>0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19</v>
      </c>
      <c r="D27" s="231">
        <v>6</v>
      </c>
      <c r="E27" s="231">
        <v>2</v>
      </c>
      <c r="F27" s="231">
        <v>1765.2</v>
      </c>
      <c r="G27" s="231">
        <v>0</v>
      </c>
      <c r="H27" s="231">
        <v>0</v>
      </c>
      <c r="I27" s="231">
        <v>328</v>
      </c>
      <c r="J27" s="231">
        <v>0</v>
      </c>
      <c r="K27" s="231">
        <v>0</v>
      </c>
      <c r="L27" s="231">
        <v>653.20000000000005</v>
      </c>
      <c r="M27" s="231">
        <v>0</v>
      </c>
      <c r="N27" s="231">
        <v>0</v>
      </c>
      <c r="O27" s="231">
        <v>0</v>
      </c>
      <c r="P27" s="231">
        <v>0</v>
      </c>
      <c r="Q27" s="231">
        <v>136</v>
      </c>
      <c r="R27" s="231">
        <v>472</v>
      </c>
      <c r="S27" s="231">
        <v>176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19</v>
      </c>
      <c r="D28" s="231">
        <v>6</v>
      </c>
      <c r="E28" s="231">
        <v>6</v>
      </c>
      <c r="F28" s="231">
        <v>490783</v>
      </c>
      <c r="G28" s="231">
        <v>0</v>
      </c>
      <c r="H28" s="231">
        <v>0</v>
      </c>
      <c r="I28" s="231">
        <v>46408</v>
      </c>
      <c r="J28" s="231">
        <v>0</v>
      </c>
      <c r="K28" s="231">
        <v>0</v>
      </c>
      <c r="L28" s="231">
        <v>276929</v>
      </c>
      <c r="M28" s="231">
        <v>0</v>
      </c>
      <c r="N28" s="231">
        <v>0</v>
      </c>
      <c r="O28" s="231">
        <v>0</v>
      </c>
      <c r="P28" s="231">
        <v>0</v>
      </c>
      <c r="Q28" s="231">
        <v>29748</v>
      </c>
      <c r="R28" s="231">
        <v>94948</v>
      </c>
      <c r="S28" s="231">
        <v>42750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0</v>
      </c>
      <c r="AU28" s="231">
        <v>0</v>
      </c>
      <c r="AV28" s="231">
        <v>0</v>
      </c>
      <c r="AW28" s="231">
        <v>0</v>
      </c>
    </row>
    <row r="29" spans="3:49" x14ac:dyDescent="0.3">
      <c r="C29" s="231">
        <v>19</v>
      </c>
      <c r="D29" s="231">
        <v>6</v>
      </c>
      <c r="E29" s="231">
        <v>11</v>
      </c>
      <c r="F29" s="231">
        <v>1110.9151494228718</v>
      </c>
      <c r="G29" s="231">
        <v>1110.9151494228718</v>
      </c>
      <c r="H29" s="231">
        <v>0</v>
      </c>
      <c r="I29" s="231">
        <v>0</v>
      </c>
      <c r="J29" s="231">
        <v>0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  <c r="AO29" s="231">
        <v>0</v>
      </c>
      <c r="AP29" s="231">
        <v>0</v>
      </c>
      <c r="AQ29" s="231">
        <v>0</v>
      </c>
      <c r="AR29" s="231">
        <v>0</v>
      </c>
      <c r="AS29" s="231">
        <v>0</v>
      </c>
      <c r="AT29" s="231">
        <v>0</v>
      </c>
      <c r="AU29" s="231">
        <v>0</v>
      </c>
      <c r="AV29" s="231">
        <v>0</v>
      </c>
      <c r="AW29" s="231">
        <v>0</v>
      </c>
    </row>
    <row r="30" spans="3:49" x14ac:dyDescent="0.3">
      <c r="C30" s="231">
        <v>19</v>
      </c>
      <c r="D30" s="231">
        <v>7</v>
      </c>
      <c r="E30" s="231">
        <v>1</v>
      </c>
      <c r="F30" s="231">
        <v>11.15</v>
      </c>
      <c r="G30" s="231">
        <v>0</v>
      </c>
      <c r="H30" s="231">
        <v>0</v>
      </c>
      <c r="I30" s="231">
        <v>2</v>
      </c>
      <c r="J30" s="231">
        <v>0</v>
      </c>
      <c r="K30" s="231">
        <v>0</v>
      </c>
      <c r="L30" s="231">
        <v>4.1500000000000004</v>
      </c>
      <c r="M30" s="231">
        <v>0</v>
      </c>
      <c r="N30" s="231">
        <v>0</v>
      </c>
      <c r="O30" s="231">
        <v>0</v>
      </c>
      <c r="P30" s="231">
        <v>0</v>
      </c>
      <c r="Q30" s="231">
        <v>1</v>
      </c>
      <c r="R30" s="231">
        <v>3</v>
      </c>
      <c r="S30" s="231">
        <v>1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  <c r="AP30" s="231">
        <v>0</v>
      </c>
      <c r="AQ30" s="231">
        <v>0</v>
      </c>
      <c r="AR30" s="231">
        <v>0</v>
      </c>
      <c r="AS30" s="231">
        <v>0</v>
      </c>
      <c r="AT30" s="231">
        <v>0</v>
      </c>
      <c r="AU30" s="231">
        <v>0</v>
      </c>
      <c r="AV30" s="231">
        <v>0</v>
      </c>
      <c r="AW30" s="231">
        <v>0</v>
      </c>
    </row>
    <row r="31" spans="3:49" x14ac:dyDescent="0.3">
      <c r="C31" s="231">
        <v>19</v>
      </c>
      <c r="D31" s="231">
        <v>7</v>
      </c>
      <c r="E31" s="231">
        <v>2</v>
      </c>
      <c r="F31" s="231">
        <v>1316</v>
      </c>
      <c r="G31" s="231">
        <v>0</v>
      </c>
      <c r="H31" s="231">
        <v>0</v>
      </c>
      <c r="I31" s="231">
        <v>232</v>
      </c>
      <c r="J31" s="231">
        <v>0</v>
      </c>
      <c r="K31" s="231">
        <v>0</v>
      </c>
      <c r="L31" s="231">
        <v>492</v>
      </c>
      <c r="M31" s="231">
        <v>0</v>
      </c>
      <c r="N31" s="231">
        <v>0</v>
      </c>
      <c r="O31" s="231">
        <v>0</v>
      </c>
      <c r="P31" s="231">
        <v>0</v>
      </c>
      <c r="Q31" s="231">
        <v>88</v>
      </c>
      <c r="R31" s="231">
        <v>344</v>
      </c>
      <c r="S31" s="231">
        <v>160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  <c r="AP31" s="231">
        <v>0</v>
      </c>
      <c r="AQ31" s="231">
        <v>0</v>
      </c>
      <c r="AR31" s="231">
        <v>0</v>
      </c>
      <c r="AS31" s="231">
        <v>0</v>
      </c>
      <c r="AT31" s="231">
        <v>0</v>
      </c>
      <c r="AU31" s="231">
        <v>0</v>
      </c>
      <c r="AV31" s="231">
        <v>0</v>
      </c>
      <c r="AW31" s="231">
        <v>0</v>
      </c>
    </row>
    <row r="32" spans="3:49" x14ac:dyDescent="0.3">
      <c r="C32" s="231">
        <v>19</v>
      </c>
      <c r="D32" s="231">
        <v>7</v>
      </c>
      <c r="E32" s="231">
        <v>5</v>
      </c>
      <c r="F32" s="231">
        <v>24</v>
      </c>
      <c r="G32" s="231">
        <v>0</v>
      </c>
      <c r="H32" s="231">
        <v>0</v>
      </c>
      <c r="I32" s="231">
        <v>0</v>
      </c>
      <c r="J32" s="231">
        <v>24</v>
      </c>
      <c r="K32" s="231">
        <v>0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  <c r="AO32" s="231">
        <v>0</v>
      </c>
      <c r="AP32" s="231">
        <v>0</v>
      </c>
      <c r="AQ32" s="231">
        <v>0</v>
      </c>
      <c r="AR32" s="231">
        <v>0</v>
      </c>
      <c r="AS32" s="231">
        <v>0</v>
      </c>
      <c r="AT32" s="231">
        <v>0</v>
      </c>
      <c r="AU32" s="231">
        <v>0</v>
      </c>
      <c r="AV32" s="231">
        <v>0</v>
      </c>
      <c r="AW32" s="231">
        <v>0</v>
      </c>
    </row>
    <row r="33" spans="3:49" x14ac:dyDescent="0.3">
      <c r="C33" s="231">
        <v>19</v>
      </c>
      <c r="D33" s="231">
        <v>7</v>
      </c>
      <c r="E33" s="231">
        <v>6</v>
      </c>
      <c r="F33" s="231">
        <v>647664</v>
      </c>
      <c r="G33" s="231">
        <v>0</v>
      </c>
      <c r="H33" s="231">
        <v>0</v>
      </c>
      <c r="I33" s="231">
        <v>61744</v>
      </c>
      <c r="J33" s="231">
        <v>7200</v>
      </c>
      <c r="K33" s="231">
        <v>0</v>
      </c>
      <c r="L33" s="231">
        <v>348786</v>
      </c>
      <c r="M33" s="231">
        <v>0</v>
      </c>
      <c r="N33" s="231">
        <v>0</v>
      </c>
      <c r="O33" s="231">
        <v>0</v>
      </c>
      <c r="P33" s="231">
        <v>0</v>
      </c>
      <c r="Q33" s="231">
        <v>38210</v>
      </c>
      <c r="R33" s="231">
        <v>123369</v>
      </c>
      <c r="S33" s="231">
        <v>68355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</row>
    <row r="34" spans="3:49" x14ac:dyDescent="0.3">
      <c r="C34" s="231">
        <v>19</v>
      </c>
      <c r="D34" s="231">
        <v>7</v>
      </c>
      <c r="E34" s="231">
        <v>9</v>
      </c>
      <c r="F34" s="231">
        <v>170763</v>
      </c>
      <c r="G34" s="231">
        <v>0</v>
      </c>
      <c r="H34" s="231">
        <v>0</v>
      </c>
      <c r="I34" s="231">
        <v>15897</v>
      </c>
      <c r="J34" s="231">
        <v>0</v>
      </c>
      <c r="K34" s="231">
        <v>0</v>
      </c>
      <c r="L34" s="231">
        <v>89246</v>
      </c>
      <c r="M34" s="231">
        <v>0</v>
      </c>
      <c r="N34" s="231">
        <v>0</v>
      </c>
      <c r="O34" s="231">
        <v>0</v>
      </c>
      <c r="P34" s="231">
        <v>0</v>
      </c>
      <c r="Q34" s="231">
        <v>9691</v>
      </c>
      <c r="R34" s="231">
        <v>30291</v>
      </c>
      <c r="S34" s="231">
        <v>25638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  <c r="AO34" s="231">
        <v>0</v>
      </c>
      <c r="AP34" s="231">
        <v>0</v>
      </c>
      <c r="AQ34" s="231">
        <v>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</row>
    <row r="35" spans="3:49" x14ac:dyDescent="0.3">
      <c r="C35" s="231">
        <v>19</v>
      </c>
      <c r="D35" s="231">
        <v>7</v>
      </c>
      <c r="E35" s="231">
        <v>11</v>
      </c>
      <c r="F35" s="231">
        <v>1110.9151494228718</v>
      </c>
      <c r="G35" s="231">
        <v>1110.9151494228718</v>
      </c>
      <c r="H35" s="231">
        <v>0</v>
      </c>
      <c r="I35" s="231">
        <v>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  <c r="AO35" s="231">
        <v>0</v>
      </c>
      <c r="AP35" s="231">
        <v>0</v>
      </c>
      <c r="AQ35" s="231">
        <v>0</v>
      </c>
      <c r="AR35" s="231">
        <v>0</v>
      </c>
      <c r="AS35" s="231">
        <v>0</v>
      </c>
      <c r="AT35" s="231">
        <v>0</v>
      </c>
      <c r="AU35" s="231">
        <v>0</v>
      </c>
      <c r="AV35" s="231">
        <v>0</v>
      </c>
      <c r="AW35" s="231">
        <v>0</v>
      </c>
    </row>
    <row r="36" spans="3:49" x14ac:dyDescent="0.3">
      <c r="C36" s="231">
        <v>19</v>
      </c>
      <c r="D36" s="231">
        <v>8</v>
      </c>
      <c r="E36" s="231">
        <v>11</v>
      </c>
      <c r="F36" s="231">
        <v>1110.9151494228718</v>
      </c>
      <c r="G36" s="231">
        <v>1110.9151494228718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  <c r="AO36" s="231">
        <v>0</v>
      </c>
      <c r="AP36" s="231">
        <v>0</v>
      </c>
      <c r="AQ36" s="231">
        <v>0</v>
      </c>
      <c r="AR36" s="231">
        <v>0</v>
      </c>
      <c r="AS36" s="231">
        <v>0</v>
      </c>
      <c r="AT36" s="231">
        <v>0</v>
      </c>
      <c r="AU36" s="231">
        <v>0</v>
      </c>
      <c r="AV36" s="231">
        <v>0</v>
      </c>
      <c r="AW36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16" t="s">
        <v>829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</row>
    <row r="2" spans="1:28" ht="14.4" customHeight="1" thickBot="1" x14ac:dyDescent="0.35">
      <c r="A2" s="235" t="s">
        <v>259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1443994.9699999997</v>
      </c>
      <c r="C3" s="222">
        <f t="shared" ref="C3:Z3" si="0">SUBTOTAL(9,C6:C1048576)</f>
        <v>6</v>
      </c>
      <c r="D3" s="222"/>
      <c r="E3" s="222">
        <f>SUBTOTAL(9,E6:E1048576)/4</f>
        <v>1362469.3400000003</v>
      </c>
      <c r="F3" s="222"/>
      <c r="G3" s="222">
        <f t="shared" si="0"/>
        <v>6</v>
      </c>
      <c r="H3" s="222">
        <f>SUBTOTAL(9,H6:H1048576)/4</f>
        <v>1572743.98</v>
      </c>
      <c r="I3" s="225">
        <f>IF(B3&lt;&gt;0,H3/B3,"")</f>
        <v>1.0891616748498787</v>
      </c>
      <c r="J3" s="223">
        <f>IF(E3&lt;&gt;0,H3/E3,"")</f>
        <v>1.1543334839373336</v>
      </c>
      <c r="K3" s="224">
        <f t="shared" si="0"/>
        <v>81614.700000000012</v>
      </c>
      <c r="L3" s="224"/>
      <c r="M3" s="222">
        <f t="shared" si="0"/>
        <v>2.3309028908271507</v>
      </c>
      <c r="N3" s="222">
        <f t="shared" si="0"/>
        <v>70028.399999999994</v>
      </c>
      <c r="O3" s="222"/>
      <c r="P3" s="222">
        <f t="shared" si="0"/>
        <v>2</v>
      </c>
      <c r="Q3" s="222">
        <f t="shared" si="0"/>
        <v>52817.779999999992</v>
      </c>
      <c r="R3" s="225">
        <f>IF(K3&lt;&gt;0,Q3/K3,"")</f>
        <v>0.64716013169196218</v>
      </c>
      <c r="S3" s="225">
        <f>IF(N3&lt;&gt;0,Q3/N3,"")</f>
        <v>0.75423371089443703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17" t="s">
        <v>220</v>
      </c>
      <c r="B4" s="418" t="s">
        <v>99</v>
      </c>
      <c r="C4" s="419"/>
      <c r="D4" s="420"/>
      <c r="E4" s="419"/>
      <c r="F4" s="420"/>
      <c r="G4" s="419"/>
      <c r="H4" s="419"/>
      <c r="I4" s="420"/>
      <c r="J4" s="421"/>
      <c r="K4" s="418" t="s">
        <v>100</v>
      </c>
      <c r="L4" s="420"/>
      <c r="M4" s="419"/>
      <c r="N4" s="419"/>
      <c r="O4" s="420"/>
      <c r="P4" s="419"/>
      <c r="Q4" s="419"/>
      <c r="R4" s="420"/>
      <c r="S4" s="421"/>
      <c r="T4" s="418" t="s">
        <v>101</v>
      </c>
      <c r="U4" s="420"/>
      <c r="V4" s="419"/>
      <c r="W4" s="419"/>
      <c r="X4" s="420"/>
      <c r="Y4" s="419"/>
      <c r="Z4" s="419"/>
      <c r="AA4" s="420"/>
      <c r="AB4" s="421"/>
    </row>
    <row r="5" spans="1:28" ht="14.4" customHeight="1" thickBot="1" x14ac:dyDescent="0.35">
      <c r="A5" s="604"/>
      <c r="B5" s="605">
        <v>2015</v>
      </c>
      <c r="C5" s="606"/>
      <c r="D5" s="606"/>
      <c r="E5" s="606">
        <v>2016</v>
      </c>
      <c r="F5" s="606"/>
      <c r="G5" s="606"/>
      <c r="H5" s="606">
        <v>2017</v>
      </c>
      <c r="I5" s="607" t="s">
        <v>246</v>
      </c>
      <c r="J5" s="608" t="s">
        <v>2</v>
      </c>
      <c r="K5" s="605">
        <v>2015</v>
      </c>
      <c r="L5" s="606"/>
      <c r="M5" s="606"/>
      <c r="N5" s="606">
        <v>2016</v>
      </c>
      <c r="O5" s="606"/>
      <c r="P5" s="606"/>
      <c r="Q5" s="606">
        <v>2017</v>
      </c>
      <c r="R5" s="607" t="s">
        <v>246</v>
      </c>
      <c r="S5" s="608" t="s">
        <v>2</v>
      </c>
      <c r="T5" s="605">
        <v>2015</v>
      </c>
      <c r="U5" s="606"/>
      <c r="V5" s="606"/>
      <c r="W5" s="606">
        <v>2016</v>
      </c>
      <c r="X5" s="606"/>
      <c r="Y5" s="606"/>
      <c r="Z5" s="606">
        <v>2017</v>
      </c>
      <c r="AA5" s="607" t="s">
        <v>246</v>
      </c>
      <c r="AB5" s="608" t="s">
        <v>2</v>
      </c>
    </row>
    <row r="6" spans="1:28" ht="14.4" customHeight="1" x14ac:dyDescent="0.3">
      <c r="A6" s="609" t="s">
        <v>826</v>
      </c>
      <c r="B6" s="610">
        <v>1443994.9699999997</v>
      </c>
      <c r="C6" s="611">
        <v>1</v>
      </c>
      <c r="D6" s="611">
        <v>1.0598366712604335</v>
      </c>
      <c r="E6" s="610">
        <v>1362469.34</v>
      </c>
      <c r="F6" s="611">
        <v>0.94354161081322907</v>
      </c>
      <c r="G6" s="611">
        <v>1</v>
      </c>
      <c r="H6" s="610">
        <v>1572743.9800000002</v>
      </c>
      <c r="I6" s="611">
        <v>1.0891616748498789</v>
      </c>
      <c r="J6" s="611">
        <v>1.154333483937334</v>
      </c>
      <c r="K6" s="610">
        <v>40807.350000000006</v>
      </c>
      <c r="L6" s="611">
        <v>1</v>
      </c>
      <c r="M6" s="611">
        <v>1.1654514454135754</v>
      </c>
      <c r="N6" s="610">
        <v>35014.199999999997</v>
      </c>
      <c r="O6" s="611">
        <v>0.85803660370006851</v>
      </c>
      <c r="P6" s="611">
        <v>1</v>
      </c>
      <c r="Q6" s="610">
        <v>26408.889999999996</v>
      </c>
      <c r="R6" s="611">
        <v>0.64716013169196218</v>
      </c>
      <c r="S6" s="611">
        <v>0.75423371089443703</v>
      </c>
      <c r="T6" s="610"/>
      <c r="U6" s="611"/>
      <c r="V6" s="611"/>
      <c r="W6" s="610"/>
      <c r="X6" s="611"/>
      <c r="Y6" s="611"/>
      <c r="Z6" s="610"/>
      <c r="AA6" s="611"/>
      <c r="AB6" s="612"/>
    </row>
    <row r="7" spans="1:28" ht="14.4" customHeight="1" x14ac:dyDescent="0.3">
      <c r="A7" s="619" t="s">
        <v>827</v>
      </c>
      <c r="B7" s="613">
        <v>1372697.9699999997</v>
      </c>
      <c r="C7" s="614">
        <v>1</v>
      </c>
      <c r="D7" s="614">
        <v>1.0451449932014079</v>
      </c>
      <c r="E7" s="613">
        <v>1313404.3400000001</v>
      </c>
      <c r="F7" s="614">
        <v>0.95680504284565993</v>
      </c>
      <c r="G7" s="614">
        <v>1</v>
      </c>
      <c r="H7" s="613">
        <v>1511638.9800000002</v>
      </c>
      <c r="I7" s="614">
        <v>1.1012174659222382</v>
      </c>
      <c r="J7" s="614">
        <v>1.1509319209345692</v>
      </c>
      <c r="K7" s="613">
        <v>40807.350000000006</v>
      </c>
      <c r="L7" s="614">
        <v>1</v>
      </c>
      <c r="M7" s="614">
        <v>1.1654514454135754</v>
      </c>
      <c r="N7" s="613">
        <v>35014.199999999997</v>
      </c>
      <c r="O7" s="614">
        <v>0.85803660370006851</v>
      </c>
      <c r="P7" s="614">
        <v>1</v>
      </c>
      <c r="Q7" s="613">
        <v>26408.889999999996</v>
      </c>
      <c r="R7" s="614">
        <v>0.64716013169196218</v>
      </c>
      <c r="S7" s="614">
        <v>0.75423371089443703</v>
      </c>
      <c r="T7" s="613"/>
      <c r="U7" s="614"/>
      <c r="V7" s="614"/>
      <c r="W7" s="613"/>
      <c r="X7" s="614"/>
      <c r="Y7" s="614"/>
      <c r="Z7" s="613"/>
      <c r="AA7" s="614"/>
      <c r="AB7" s="615"/>
    </row>
    <row r="8" spans="1:28" ht="14.4" customHeight="1" thickBot="1" x14ac:dyDescent="0.35">
      <c r="A8" s="620" t="s">
        <v>828</v>
      </c>
      <c r="B8" s="616">
        <v>71297</v>
      </c>
      <c r="C8" s="617">
        <v>1</v>
      </c>
      <c r="D8" s="617">
        <v>1.4531132171609089</v>
      </c>
      <c r="E8" s="616">
        <v>49065</v>
      </c>
      <c r="F8" s="617">
        <v>0.68817762318190101</v>
      </c>
      <c r="G8" s="617">
        <v>1</v>
      </c>
      <c r="H8" s="616">
        <v>61105</v>
      </c>
      <c r="I8" s="617">
        <v>0.85704868367532994</v>
      </c>
      <c r="J8" s="617">
        <v>1.245388769998981</v>
      </c>
      <c r="K8" s="616"/>
      <c r="L8" s="617"/>
      <c r="M8" s="617"/>
      <c r="N8" s="616"/>
      <c r="O8" s="617"/>
      <c r="P8" s="617"/>
      <c r="Q8" s="616"/>
      <c r="R8" s="617"/>
      <c r="S8" s="617"/>
      <c r="T8" s="616"/>
      <c r="U8" s="617"/>
      <c r="V8" s="617"/>
      <c r="W8" s="616"/>
      <c r="X8" s="617"/>
      <c r="Y8" s="617"/>
      <c r="Z8" s="616"/>
      <c r="AA8" s="617"/>
      <c r="AB8" s="618"/>
    </row>
    <row r="9" spans="1:28" ht="14.4" customHeight="1" thickBot="1" x14ac:dyDescent="0.35"/>
    <row r="10" spans="1:28" ht="14.4" customHeight="1" x14ac:dyDescent="0.3">
      <c r="A10" s="609" t="s">
        <v>424</v>
      </c>
      <c r="B10" s="610">
        <v>1443994.9699999997</v>
      </c>
      <c r="C10" s="611">
        <v>1</v>
      </c>
      <c r="D10" s="611">
        <v>1.0598366712604335</v>
      </c>
      <c r="E10" s="610">
        <v>1362469.34</v>
      </c>
      <c r="F10" s="611">
        <v>0.94354161081322907</v>
      </c>
      <c r="G10" s="611">
        <v>1</v>
      </c>
      <c r="H10" s="610">
        <v>1572743.98</v>
      </c>
      <c r="I10" s="611">
        <v>1.0891616748498787</v>
      </c>
      <c r="J10" s="612">
        <v>1.1543334839373338</v>
      </c>
    </row>
    <row r="11" spans="1:28" ht="14.4" customHeight="1" x14ac:dyDescent="0.3">
      <c r="A11" s="619" t="s">
        <v>830</v>
      </c>
      <c r="B11" s="613">
        <v>246061.66</v>
      </c>
      <c r="C11" s="614">
        <v>1</v>
      </c>
      <c r="D11" s="614">
        <v>1.4739556795551159</v>
      </c>
      <c r="E11" s="613">
        <v>166939.66</v>
      </c>
      <c r="F11" s="614">
        <v>0.67844645118625957</v>
      </c>
      <c r="G11" s="614">
        <v>1</v>
      </c>
      <c r="H11" s="613">
        <v>233242.33</v>
      </c>
      <c r="I11" s="614">
        <v>0.94790196083371947</v>
      </c>
      <c r="J11" s="615">
        <v>1.3971654788322918</v>
      </c>
    </row>
    <row r="12" spans="1:28" ht="14.4" customHeight="1" thickBot="1" x14ac:dyDescent="0.35">
      <c r="A12" s="620" t="s">
        <v>831</v>
      </c>
      <c r="B12" s="616">
        <v>1197933.3099999998</v>
      </c>
      <c r="C12" s="617">
        <v>1</v>
      </c>
      <c r="D12" s="617">
        <v>1.0020105147034071</v>
      </c>
      <c r="E12" s="616">
        <v>1195529.6800000002</v>
      </c>
      <c r="F12" s="617">
        <v>0.9979935193554309</v>
      </c>
      <c r="G12" s="617">
        <v>1</v>
      </c>
      <c r="H12" s="616">
        <v>1339501.6499999999</v>
      </c>
      <c r="I12" s="617">
        <v>1.1181771462720242</v>
      </c>
      <c r="J12" s="618">
        <v>1.120425257865618</v>
      </c>
    </row>
    <row r="13" spans="1:28" ht="14.4" customHeight="1" x14ac:dyDescent="0.3">
      <c r="A13" s="543" t="s">
        <v>515</v>
      </c>
    </row>
    <row r="14" spans="1:28" ht="14.4" customHeight="1" x14ac:dyDescent="0.3">
      <c r="A14" s="544" t="s">
        <v>516</v>
      </c>
    </row>
    <row r="15" spans="1:28" ht="14.4" customHeight="1" x14ac:dyDescent="0.3">
      <c r="A15" s="543" t="s">
        <v>832</v>
      </c>
    </row>
    <row r="16" spans="1:28" ht="14.4" customHeight="1" x14ac:dyDescent="0.3">
      <c r="A16" s="543" t="s">
        <v>833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16" t="s">
        <v>838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35" t="s">
        <v>259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16" t="s">
        <v>128</v>
      </c>
      <c r="B3" s="300">
        <f t="shared" ref="B3:G3" si="0">SUBTOTAL(9,B6:B1048576)</f>
        <v>12337</v>
      </c>
      <c r="C3" s="301">
        <f t="shared" si="0"/>
        <v>11089</v>
      </c>
      <c r="D3" s="315">
        <f t="shared" si="0"/>
        <v>12059</v>
      </c>
      <c r="E3" s="224">
        <f t="shared" si="0"/>
        <v>1443994.9700000002</v>
      </c>
      <c r="F3" s="222">
        <f t="shared" si="0"/>
        <v>1362469.3399999999</v>
      </c>
      <c r="G3" s="302">
        <f t="shared" si="0"/>
        <v>1572743.98</v>
      </c>
    </row>
    <row r="4" spans="1:7" ht="14.4" customHeight="1" x14ac:dyDescent="0.3">
      <c r="A4" s="417" t="s">
        <v>136</v>
      </c>
      <c r="B4" s="422" t="s">
        <v>218</v>
      </c>
      <c r="C4" s="420"/>
      <c r="D4" s="423"/>
      <c r="E4" s="422" t="s">
        <v>99</v>
      </c>
      <c r="F4" s="420"/>
      <c r="G4" s="423"/>
    </row>
    <row r="5" spans="1:7" ht="14.4" customHeight="1" thickBot="1" x14ac:dyDescent="0.35">
      <c r="A5" s="604"/>
      <c r="B5" s="605">
        <v>2015</v>
      </c>
      <c r="C5" s="606">
        <v>2016</v>
      </c>
      <c r="D5" s="621">
        <v>2017</v>
      </c>
      <c r="E5" s="605">
        <v>2015</v>
      </c>
      <c r="F5" s="606">
        <v>2016</v>
      </c>
      <c r="G5" s="621">
        <v>2017</v>
      </c>
    </row>
    <row r="6" spans="1:7" ht="14.4" customHeight="1" x14ac:dyDescent="0.3">
      <c r="A6" s="595" t="s">
        <v>834</v>
      </c>
      <c r="B6" s="116">
        <v>7</v>
      </c>
      <c r="C6" s="116"/>
      <c r="D6" s="116"/>
      <c r="E6" s="622">
        <v>339</v>
      </c>
      <c r="F6" s="622"/>
      <c r="G6" s="623"/>
    </row>
    <row r="7" spans="1:7" ht="14.4" customHeight="1" x14ac:dyDescent="0.3">
      <c r="A7" s="596" t="s">
        <v>830</v>
      </c>
      <c r="B7" s="588">
        <v>3845</v>
      </c>
      <c r="C7" s="588">
        <v>1902</v>
      </c>
      <c r="D7" s="588">
        <v>2267</v>
      </c>
      <c r="E7" s="624">
        <v>246061.66</v>
      </c>
      <c r="F7" s="624">
        <v>166939.66</v>
      </c>
      <c r="G7" s="625">
        <v>233242.33</v>
      </c>
    </row>
    <row r="8" spans="1:7" ht="14.4" customHeight="1" x14ac:dyDescent="0.3">
      <c r="A8" s="596" t="s">
        <v>518</v>
      </c>
      <c r="B8" s="588">
        <v>3739</v>
      </c>
      <c r="C8" s="588">
        <v>3639</v>
      </c>
      <c r="D8" s="588">
        <v>4096</v>
      </c>
      <c r="E8" s="624">
        <v>377529.66000000003</v>
      </c>
      <c r="F8" s="624">
        <v>365423.01</v>
      </c>
      <c r="G8" s="625">
        <v>441320.31999999995</v>
      </c>
    </row>
    <row r="9" spans="1:7" ht="14.4" customHeight="1" x14ac:dyDescent="0.3">
      <c r="A9" s="596" t="s">
        <v>835</v>
      </c>
      <c r="B9" s="588">
        <v>18</v>
      </c>
      <c r="C9" s="588"/>
      <c r="D9" s="588"/>
      <c r="E9" s="624">
        <v>3002.33</v>
      </c>
      <c r="F9" s="624"/>
      <c r="G9" s="625"/>
    </row>
    <row r="10" spans="1:7" ht="14.4" customHeight="1" x14ac:dyDescent="0.3">
      <c r="A10" s="596" t="s">
        <v>519</v>
      </c>
      <c r="B10" s="588">
        <v>1918</v>
      </c>
      <c r="C10" s="588">
        <v>2096</v>
      </c>
      <c r="D10" s="588">
        <v>1868</v>
      </c>
      <c r="E10" s="624">
        <v>323391.65999999997</v>
      </c>
      <c r="F10" s="624">
        <v>305419.32999999996</v>
      </c>
      <c r="G10" s="625">
        <v>278297.66000000003</v>
      </c>
    </row>
    <row r="11" spans="1:7" ht="14.4" customHeight="1" x14ac:dyDescent="0.3">
      <c r="A11" s="596" t="s">
        <v>836</v>
      </c>
      <c r="B11" s="588"/>
      <c r="C11" s="588">
        <v>9</v>
      </c>
      <c r="D11" s="588">
        <v>16</v>
      </c>
      <c r="E11" s="624"/>
      <c r="F11" s="624">
        <v>1423.33</v>
      </c>
      <c r="G11" s="625">
        <v>2307</v>
      </c>
    </row>
    <row r="12" spans="1:7" ht="14.4" customHeight="1" x14ac:dyDescent="0.3">
      <c r="A12" s="596" t="s">
        <v>520</v>
      </c>
      <c r="B12" s="588">
        <v>71</v>
      </c>
      <c r="C12" s="588">
        <v>116</v>
      </c>
      <c r="D12" s="588">
        <v>142</v>
      </c>
      <c r="E12" s="624">
        <v>11645.99</v>
      </c>
      <c r="F12" s="624">
        <v>20331.66</v>
      </c>
      <c r="G12" s="625">
        <v>25268</v>
      </c>
    </row>
    <row r="13" spans="1:7" ht="14.4" customHeight="1" x14ac:dyDescent="0.3">
      <c r="A13" s="596" t="s">
        <v>521</v>
      </c>
      <c r="B13" s="588">
        <v>1852</v>
      </c>
      <c r="C13" s="588">
        <v>2425</v>
      </c>
      <c r="D13" s="588">
        <v>2800</v>
      </c>
      <c r="E13" s="624">
        <v>368101.33</v>
      </c>
      <c r="F13" s="624">
        <v>400011.67999999993</v>
      </c>
      <c r="G13" s="625">
        <v>471256.33</v>
      </c>
    </row>
    <row r="14" spans="1:7" ht="14.4" customHeight="1" x14ac:dyDescent="0.3">
      <c r="A14" s="596" t="s">
        <v>837</v>
      </c>
      <c r="B14" s="588"/>
      <c r="C14" s="588">
        <v>1</v>
      </c>
      <c r="D14" s="588"/>
      <c r="E14" s="624"/>
      <c r="F14" s="624">
        <v>74</v>
      </c>
      <c r="G14" s="625"/>
    </row>
    <row r="15" spans="1:7" ht="14.4" customHeight="1" thickBot="1" x14ac:dyDescent="0.35">
      <c r="A15" s="628" t="s">
        <v>522</v>
      </c>
      <c r="B15" s="590">
        <v>887</v>
      </c>
      <c r="C15" s="590">
        <v>901</v>
      </c>
      <c r="D15" s="590">
        <v>870</v>
      </c>
      <c r="E15" s="626">
        <v>113923.34</v>
      </c>
      <c r="F15" s="626">
        <v>102846.67</v>
      </c>
      <c r="G15" s="627">
        <v>121052.34</v>
      </c>
    </row>
    <row r="16" spans="1:7" ht="14.4" customHeight="1" x14ac:dyDescent="0.3">
      <c r="A16" s="543" t="s">
        <v>515</v>
      </c>
    </row>
    <row r="17" spans="1:1" ht="14.4" customHeight="1" x14ac:dyDescent="0.3">
      <c r="A17" s="544" t="s">
        <v>516</v>
      </c>
    </row>
    <row r="18" spans="1:1" ht="14.4" customHeight="1" x14ac:dyDescent="0.3">
      <c r="A18" s="543" t="s">
        <v>832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43" t="s">
        <v>909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8" ht="14.4" customHeight="1" thickBot="1" x14ac:dyDescent="0.35">
      <c r="A2" s="235" t="s">
        <v>259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14560</v>
      </c>
      <c r="H3" s="103">
        <f t="shared" si="0"/>
        <v>1484802.3199999998</v>
      </c>
      <c r="I3" s="74"/>
      <c r="J3" s="74"/>
      <c r="K3" s="103">
        <f t="shared" si="0"/>
        <v>13328.2</v>
      </c>
      <c r="L3" s="103">
        <f t="shared" si="0"/>
        <v>1397483.54</v>
      </c>
      <c r="M3" s="74"/>
      <c r="N3" s="74"/>
      <c r="O3" s="103">
        <f t="shared" si="0"/>
        <v>12529.55</v>
      </c>
      <c r="P3" s="103">
        <f t="shared" si="0"/>
        <v>1599152.87</v>
      </c>
      <c r="Q3" s="75">
        <f>IF(L3=0,0,P3/L3)</f>
        <v>1.1443089125758148</v>
      </c>
      <c r="R3" s="104">
        <f>IF(O3=0,0,P3/O3)</f>
        <v>127.63051107182622</v>
      </c>
    </row>
    <row r="4" spans="1:18" ht="14.4" customHeight="1" x14ac:dyDescent="0.3">
      <c r="A4" s="424" t="s">
        <v>247</v>
      </c>
      <c r="B4" s="424" t="s">
        <v>95</v>
      </c>
      <c r="C4" s="432" t="s">
        <v>0</v>
      </c>
      <c r="D4" s="426" t="s">
        <v>96</v>
      </c>
      <c r="E4" s="431" t="s">
        <v>71</v>
      </c>
      <c r="F4" s="427" t="s">
        <v>70</v>
      </c>
      <c r="G4" s="428">
        <v>2015</v>
      </c>
      <c r="H4" s="429"/>
      <c r="I4" s="101"/>
      <c r="J4" s="101"/>
      <c r="K4" s="428">
        <v>2016</v>
      </c>
      <c r="L4" s="429"/>
      <c r="M4" s="101"/>
      <c r="N4" s="101"/>
      <c r="O4" s="428">
        <v>2017</v>
      </c>
      <c r="P4" s="429"/>
      <c r="Q4" s="430" t="s">
        <v>2</v>
      </c>
      <c r="R4" s="425" t="s">
        <v>98</v>
      </c>
    </row>
    <row r="5" spans="1:18" ht="14.4" customHeight="1" thickBot="1" x14ac:dyDescent="0.35">
      <c r="A5" s="629"/>
      <c r="B5" s="629"/>
      <c r="C5" s="630"/>
      <c r="D5" s="631"/>
      <c r="E5" s="632"/>
      <c r="F5" s="633"/>
      <c r="G5" s="634" t="s">
        <v>72</v>
      </c>
      <c r="H5" s="635" t="s">
        <v>14</v>
      </c>
      <c r="I5" s="636"/>
      <c r="J5" s="636"/>
      <c r="K5" s="634" t="s">
        <v>72</v>
      </c>
      <c r="L5" s="635" t="s">
        <v>14</v>
      </c>
      <c r="M5" s="636"/>
      <c r="N5" s="636"/>
      <c r="O5" s="634" t="s">
        <v>72</v>
      </c>
      <c r="P5" s="635" t="s">
        <v>14</v>
      </c>
      <c r="Q5" s="637"/>
      <c r="R5" s="638"/>
    </row>
    <row r="6" spans="1:18" ht="14.4" customHeight="1" x14ac:dyDescent="0.3">
      <c r="A6" s="563" t="s">
        <v>839</v>
      </c>
      <c r="B6" s="564" t="s">
        <v>840</v>
      </c>
      <c r="C6" s="564" t="s">
        <v>424</v>
      </c>
      <c r="D6" s="564" t="s">
        <v>841</v>
      </c>
      <c r="E6" s="564" t="s">
        <v>842</v>
      </c>
      <c r="F6" s="564" t="s">
        <v>843</v>
      </c>
      <c r="G6" s="116">
        <v>328.2</v>
      </c>
      <c r="H6" s="116">
        <v>17755.62</v>
      </c>
      <c r="I6" s="564">
        <v>0.95296167247386765</v>
      </c>
      <c r="J6" s="564">
        <v>54.1</v>
      </c>
      <c r="K6" s="116">
        <v>344.40000000000009</v>
      </c>
      <c r="L6" s="116">
        <v>18632.039999999997</v>
      </c>
      <c r="M6" s="564">
        <v>1</v>
      </c>
      <c r="N6" s="564">
        <v>54.09999999999998</v>
      </c>
      <c r="O6" s="116">
        <v>298.15000000000003</v>
      </c>
      <c r="P6" s="116">
        <v>16129.87</v>
      </c>
      <c r="Q6" s="569">
        <v>0.86570606331888522</v>
      </c>
      <c r="R6" s="587">
        <v>54.099849069260436</v>
      </c>
    </row>
    <row r="7" spans="1:18" ht="14.4" customHeight="1" x14ac:dyDescent="0.3">
      <c r="A7" s="570" t="s">
        <v>839</v>
      </c>
      <c r="B7" s="571" t="s">
        <v>840</v>
      </c>
      <c r="C7" s="571" t="s">
        <v>424</v>
      </c>
      <c r="D7" s="571" t="s">
        <v>841</v>
      </c>
      <c r="E7" s="571" t="s">
        <v>844</v>
      </c>
      <c r="F7" s="571" t="s">
        <v>845</v>
      </c>
      <c r="G7" s="588">
        <v>3.4000000000000004</v>
      </c>
      <c r="H7" s="588">
        <v>368.04999999999995</v>
      </c>
      <c r="I7" s="571"/>
      <c r="J7" s="571">
        <v>108.24999999999997</v>
      </c>
      <c r="K7" s="588"/>
      <c r="L7" s="588"/>
      <c r="M7" s="571"/>
      <c r="N7" s="571"/>
      <c r="O7" s="588"/>
      <c r="P7" s="588"/>
      <c r="Q7" s="576"/>
      <c r="R7" s="589"/>
    </row>
    <row r="8" spans="1:18" ht="14.4" customHeight="1" x14ac:dyDescent="0.3">
      <c r="A8" s="570" t="s">
        <v>839</v>
      </c>
      <c r="B8" s="571" t="s">
        <v>840</v>
      </c>
      <c r="C8" s="571" t="s">
        <v>424</v>
      </c>
      <c r="D8" s="571" t="s">
        <v>841</v>
      </c>
      <c r="E8" s="571" t="s">
        <v>846</v>
      </c>
      <c r="F8" s="571" t="s">
        <v>457</v>
      </c>
      <c r="G8" s="588"/>
      <c r="H8" s="588"/>
      <c r="I8" s="571"/>
      <c r="J8" s="571"/>
      <c r="K8" s="588"/>
      <c r="L8" s="588"/>
      <c r="M8" s="571"/>
      <c r="N8" s="571"/>
      <c r="O8" s="588">
        <v>2</v>
      </c>
      <c r="P8" s="588">
        <v>276.39999999999998</v>
      </c>
      <c r="Q8" s="576"/>
      <c r="R8" s="589">
        <v>138.19999999999999</v>
      </c>
    </row>
    <row r="9" spans="1:18" ht="14.4" customHeight="1" x14ac:dyDescent="0.3">
      <c r="A9" s="570" t="s">
        <v>839</v>
      </c>
      <c r="B9" s="571" t="s">
        <v>840</v>
      </c>
      <c r="C9" s="571" t="s">
        <v>424</v>
      </c>
      <c r="D9" s="571" t="s">
        <v>841</v>
      </c>
      <c r="E9" s="571" t="s">
        <v>847</v>
      </c>
      <c r="F9" s="571" t="s">
        <v>501</v>
      </c>
      <c r="G9" s="588">
        <v>15.599999999999998</v>
      </c>
      <c r="H9" s="588">
        <v>993.29999999999984</v>
      </c>
      <c r="I9" s="571">
        <v>0.99861261913379173</v>
      </c>
      <c r="J9" s="571">
        <v>63.67307692307692</v>
      </c>
      <c r="K9" s="588">
        <v>16.2</v>
      </c>
      <c r="L9" s="588">
        <v>994.67999999999984</v>
      </c>
      <c r="M9" s="571">
        <v>1</v>
      </c>
      <c r="N9" s="571">
        <v>61.399999999999991</v>
      </c>
      <c r="O9" s="588">
        <v>15.6</v>
      </c>
      <c r="P9" s="588">
        <v>958.76999999999987</v>
      </c>
      <c r="Q9" s="576">
        <v>0.96389793702497284</v>
      </c>
      <c r="R9" s="589">
        <v>61.459615384615375</v>
      </c>
    </row>
    <row r="10" spans="1:18" ht="14.4" customHeight="1" x14ac:dyDescent="0.3">
      <c r="A10" s="570" t="s">
        <v>839</v>
      </c>
      <c r="B10" s="571" t="s">
        <v>840</v>
      </c>
      <c r="C10" s="571" t="s">
        <v>424</v>
      </c>
      <c r="D10" s="571" t="s">
        <v>841</v>
      </c>
      <c r="E10" s="571" t="s">
        <v>848</v>
      </c>
      <c r="F10" s="571" t="s">
        <v>849</v>
      </c>
      <c r="G10" s="588">
        <v>0.8</v>
      </c>
      <c r="H10" s="588">
        <v>41.12</v>
      </c>
      <c r="I10" s="571"/>
      <c r="J10" s="571">
        <v>51.399999999999991</v>
      </c>
      <c r="K10" s="588"/>
      <c r="L10" s="588"/>
      <c r="M10" s="571"/>
      <c r="N10" s="571"/>
      <c r="O10" s="588"/>
      <c r="P10" s="588"/>
      <c r="Q10" s="576"/>
      <c r="R10" s="589"/>
    </row>
    <row r="11" spans="1:18" ht="14.4" customHeight="1" x14ac:dyDescent="0.3">
      <c r="A11" s="570" t="s">
        <v>839</v>
      </c>
      <c r="B11" s="571" t="s">
        <v>840</v>
      </c>
      <c r="C11" s="571" t="s">
        <v>424</v>
      </c>
      <c r="D11" s="571" t="s">
        <v>841</v>
      </c>
      <c r="E11" s="571" t="s">
        <v>850</v>
      </c>
      <c r="F11" s="571" t="s">
        <v>851</v>
      </c>
      <c r="G11" s="588">
        <v>16</v>
      </c>
      <c r="H11" s="588">
        <v>2785.52</v>
      </c>
      <c r="I11" s="571">
        <v>1.3566725112020261</v>
      </c>
      <c r="J11" s="571">
        <v>174.095</v>
      </c>
      <c r="K11" s="588">
        <v>11.6</v>
      </c>
      <c r="L11" s="588">
        <v>2053.1999999999998</v>
      </c>
      <c r="M11" s="571">
        <v>1</v>
      </c>
      <c r="N11" s="571">
        <v>177</v>
      </c>
      <c r="O11" s="588">
        <v>7.6999999999999993</v>
      </c>
      <c r="P11" s="588">
        <v>1362.9</v>
      </c>
      <c r="Q11" s="576">
        <v>0.66379310344827591</v>
      </c>
      <c r="R11" s="589">
        <v>177.00000000000003</v>
      </c>
    </row>
    <row r="12" spans="1:18" ht="14.4" customHeight="1" x14ac:dyDescent="0.3">
      <c r="A12" s="570" t="s">
        <v>839</v>
      </c>
      <c r="B12" s="571" t="s">
        <v>840</v>
      </c>
      <c r="C12" s="571" t="s">
        <v>424</v>
      </c>
      <c r="D12" s="571" t="s">
        <v>841</v>
      </c>
      <c r="E12" s="571" t="s">
        <v>852</v>
      </c>
      <c r="F12" s="571" t="s">
        <v>853</v>
      </c>
      <c r="G12" s="588">
        <v>228</v>
      </c>
      <c r="H12" s="588">
        <v>12959.52</v>
      </c>
      <c r="I12" s="571">
        <v>1.4278134254689041</v>
      </c>
      <c r="J12" s="571">
        <v>56.84</v>
      </c>
      <c r="K12" s="588">
        <v>122</v>
      </c>
      <c r="L12" s="588">
        <v>9076.4800000000014</v>
      </c>
      <c r="M12" s="571">
        <v>1</v>
      </c>
      <c r="N12" s="571">
        <v>74.397377049180335</v>
      </c>
      <c r="O12" s="588"/>
      <c r="P12" s="588"/>
      <c r="Q12" s="576"/>
      <c r="R12" s="589"/>
    </row>
    <row r="13" spans="1:18" ht="14.4" customHeight="1" x14ac:dyDescent="0.3">
      <c r="A13" s="570" t="s">
        <v>839</v>
      </c>
      <c r="B13" s="571" t="s">
        <v>840</v>
      </c>
      <c r="C13" s="571" t="s">
        <v>424</v>
      </c>
      <c r="D13" s="571" t="s">
        <v>841</v>
      </c>
      <c r="E13" s="571" t="s">
        <v>854</v>
      </c>
      <c r="F13" s="571" t="s">
        <v>855</v>
      </c>
      <c r="G13" s="588">
        <v>1631</v>
      </c>
      <c r="H13" s="588">
        <v>5904.22</v>
      </c>
      <c r="I13" s="571">
        <v>1.3866832636572881</v>
      </c>
      <c r="J13" s="571">
        <v>3.62</v>
      </c>
      <c r="K13" s="588">
        <v>1745</v>
      </c>
      <c r="L13" s="588">
        <v>4257.7999999999993</v>
      </c>
      <c r="M13" s="571">
        <v>1</v>
      </c>
      <c r="N13" s="571">
        <v>2.4399999999999995</v>
      </c>
      <c r="O13" s="588"/>
      <c r="P13" s="588"/>
      <c r="Q13" s="576"/>
      <c r="R13" s="589"/>
    </row>
    <row r="14" spans="1:18" ht="14.4" customHeight="1" x14ac:dyDescent="0.3">
      <c r="A14" s="570" t="s">
        <v>839</v>
      </c>
      <c r="B14" s="571" t="s">
        <v>840</v>
      </c>
      <c r="C14" s="571" t="s">
        <v>424</v>
      </c>
      <c r="D14" s="571" t="s">
        <v>841</v>
      </c>
      <c r="E14" s="571" t="s">
        <v>856</v>
      </c>
      <c r="F14" s="571" t="s">
        <v>443</v>
      </c>
      <c r="G14" s="588"/>
      <c r="H14" s="588"/>
      <c r="I14" s="571"/>
      <c r="J14" s="571"/>
      <c r="K14" s="588"/>
      <c r="L14" s="588"/>
      <c r="M14" s="571"/>
      <c r="N14" s="571"/>
      <c r="O14" s="588">
        <v>77.099999999999994</v>
      </c>
      <c r="P14" s="588">
        <v>370.15000000000003</v>
      </c>
      <c r="Q14" s="576"/>
      <c r="R14" s="589">
        <v>4.8009079118028541</v>
      </c>
    </row>
    <row r="15" spans="1:18" ht="14.4" customHeight="1" x14ac:dyDescent="0.3">
      <c r="A15" s="570" t="s">
        <v>839</v>
      </c>
      <c r="B15" s="571" t="s">
        <v>840</v>
      </c>
      <c r="C15" s="571" t="s">
        <v>424</v>
      </c>
      <c r="D15" s="571" t="s">
        <v>841</v>
      </c>
      <c r="E15" s="571" t="s">
        <v>857</v>
      </c>
      <c r="F15" s="571" t="s">
        <v>853</v>
      </c>
      <c r="G15" s="588"/>
      <c r="H15" s="588"/>
      <c r="I15" s="571"/>
      <c r="J15" s="571"/>
      <c r="K15" s="588"/>
      <c r="L15" s="588"/>
      <c r="M15" s="571"/>
      <c r="N15" s="571"/>
      <c r="O15" s="588">
        <v>70</v>
      </c>
      <c r="P15" s="588">
        <v>7310.8</v>
      </c>
      <c r="Q15" s="576"/>
      <c r="R15" s="589">
        <v>104.44</v>
      </c>
    </row>
    <row r="16" spans="1:18" ht="14.4" customHeight="1" x14ac:dyDescent="0.3">
      <c r="A16" s="570" t="s">
        <v>839</v>
      </c>
      <c r="B16" s="571" t="s">
        <v>840</v>
      </c>
      <c r="C16" s="571" t="s">
        <v>424</v>
      </c>
      <c r="D16" s="571" t="s">
        <v>858</v>
      </c>
      <c r="E16" s="571" t="s">
        <v>859</v>
      </c>
      <c r="F16" s="571" t="s">
        <v>860</v>
      </c>
      <c r="G16" s="588">
        <v>62</v>
      </c>
      <c r="H16" s="588">
        <v>10602</v>
      </c>
      <c r="I16" s="571">
        <v>0.82763466042154565</v>
      </c>
      <c r="J16" s="571">
        <v>171</v>
      </c>
      <c r="K16" s="588">
        <v>70</v>
      </c>
      <c r="L16" s="588">
        <v>12810</v>
      </c>
      <c r="M16" s="571">
        <v>1</v>
      </c>
      <c r="N16" s="571">
        <v>183</v>
      </c>
      <c r="O16" s="588">
        <v>82</v>
      </c>
      <c r="P16" s="588">
        <v>15006</v>
      </c>
      <c r="Q16" s="576">
        <v>1.1714285714285715</v>
      </c>
      <c r="R16" s="589">
        <v>183</v>
      </c>
    </row>
    <row r="17" spans="1:18" ht="14.4" customHeight="1" x14ac:dyDescent="0.3">
      <c r="A17" s="570" t="s">
        <v>839</v>
      </c>
      <c r="B17" s="571" t="s">
        <v>840</v>
      </c>
      <c r="C17" s="571" t="s">
        <v>424</v>
      </c>
      <c r="D17" s="571" t="s">
        <v>858</v>
      </c>
      <c r="E17" s="571" t="s">
        <v>861</v>
      </c>
      <c r="F17" s="571" t="s">
        <v>862</v>
      </c>
      <c r="G17" s="588">
        <v>31</v>
      </c>
      <c r="H17" s="588">
        <v>3503</v>
      </c>
      <c r="I17" s="571">
        <v>0.6525707898658718</v>
      </c>
      <c r="J17" s="571">
        <v>113</v>
      </c>
      <c r="K17" s="588">
        <v>44</v>
      </c>
      <c r="L17" s="588">
        <v>5368</v>
      </c>
      <c r="M17" s="571">
        <v>1</v>
      </c>
      <c r="N17" s="571">
        <v>122</v>
      </c>
      <c r="O17" s="588">
        <v>36</v>
      </c>
      <c r="P17" s="588">
        <v>4392</v>
      </c>
      <c r="Q17" s="576">
        <v>0.81818181818181823</v>
      </c>
      <c r="R17" s="589">
        <v>122</v>
      </c>
    </row>
    <row r="18" spans="1:18" ht="14.4" customHeight="1" x14ac:dyDescent="0.3">
      <c r="A18" s="570" t="s">
        <v>839</v>
      </c>
      <c r="B18" s="571" t="s">
        <v>840</v>
      </c>
      <c r="C18" s="571" t="s">
        <v>424</v>
      </c>
      <c r="D18" s="571" t="s">
        <v>858</v>
      </c>
      <c r="E18" s="571" t="s">
        <v>863</v>
      </c>
      <c r="F18" s="571" t="s">
        <v>864</v>
      </c>
      <c r="G18" s="588">
        <v>2265</v>
      </c>
      <c r="H18" s="588">
        <v>79275</v>
      </c>
      <c r="I18" s="571">
        <v>0.92792012454203876</v>
      </c>
      <c r="J18" s="571">
        <v>35</v>
      </c>
      <c r="K18" s="588">
        <v>2309</v>
      </c>
      <c r="L18" s="588">
        <v>85433</v>
      </c>
      <c r="M18" s="571">
        <v>1</v>
      </c>
      <c r="N18" s="571">
        <v>37</v>
      </c>
      <c r="O18" s="588">
        <v>2165</v>
      </c>
      <c r="P18" s="588">
        <v>80105</v>
      </c>
      <c r="Q18" s="576">
        <v>0.93763533997401471</v>
      </c>
      <c r="R18" s="589">
        <v>37</v>
      </c>
    </row>
    <row r="19" spans="1:18" ht="14.4" customHeight="1" x14ac:dyDescent="0.3">
      <c r="A19" s="570" t="s">
        <v>839</v>
      </c>
      <c r="B19" s="571" t="s">
        <v>840</v>
      </c>
      <c r="C19" s="571" t="s">
        <v>424</v>
      </c>
      <c r="D19" s="571" t="s">
        <v>858</v>
      </c>
      <c r="E19" s="571" t="s">
        <v>865</v>
      </c>
      <c r="F19" s="571" t="s">
        <v>866</v>
      </c>
      <c r="G19" s="588">
        <v>734</v>
      </c>
      <c r="H19" s="588">
        <v>7340</v>
      </c>
      <c r="I19" s="571">
        <v>1.2152317880794703</v>
      </c>
      <c r="J19" s="571">
        <v>10</v>
      </c>
      <c r="K19" s="588">
        <v>604</v>
      </c>
      <c r="L19" s="588">
        <v>6040</v>
      </c>
      <c r="M19" s="571">
        <v>1</v>
      </c>
      <c r="N19" s="571">
        <v>10</v>
      </c>
      <c r="O19" s="588">
        <v>684</v>
      </c>
      <c r="P19" s="588">
        <v>6840</v>
      </c>
      <c r="Q19" s="576">
        <v>1.1324503311258278</v>
      </c>
      <c r="R19" s="589">
        <v>10</v>
      </c>
    </row>
    <row r="20" spans="1:18" ht="14.4" customHeight="1" x14ac:dyDescent="0.3">
      <c r="A20" s="570" t="s">
        <v>839</v>
      </c>
      <c r="B20" s="571" t="s">
        <v>840</v>
      </c>
      <c r="C20" s="571" t="s">
        <v>424</v>
      </c>
      <c r="D20" s="571" t="s">
        <v>858</v>
      </c>
      <c r="E20" s="571" t="s">
        <v>867</v>
      </c>
      <c r="F20" s="571" t="s">
        <v>868</v>
      </c>
      <c r="G20" s="588">
        <v>71</v>
      </c>
      <c r="H20" s="588">
        <v>355</v>
      </c>
      <c r="I20" s="571">
        <v>0.92207792207792205</v>
      </c>
      <c r="J20" s="571">
        <v>5</v>
      </c>
      <c r="K20" s="588">
        <v>77</v>
      </c>
      <c r="L20" s="588">
        <v>385</v>
      </c>
      <c r="M20" s="571">
        <v>1</v>
      </c>
      <c r="N20" s="571">
        <v>5</v>
      </c>
      <c r="O20" s="588">
        <v>69</v>
      </c>
      <c r="P20" s="588">
        <v>345</v>
      </c>
      <c r="Q20" s="576">
        <v>0.89610389610389607</v>
      </c>
      <c r="R20" s="589">
        <v>5</v>
      </c>
    </row>
    <row r="21" spans="1:18" ht="14.4" customHeight="1" x14ac:dyDescent="0.3">
      <c r="A21" s="570" t="s">
        <v>839</v>
      </c>
      <c r="B21" s="571" t="s">
        <v>840</v>
      </c>
      <c r="C21" s="571" t="s">
        <v>424</v>
      </c>
      <c r="D21" s="571" t="s">
        <v>858</v>
      </c>
      <c r="E21" s="571" t="s">
        <v>869</v>
      </c>
      <c r="F21" s="571" t="s">
        <v>870</v>
      </c>
      <c r="G21" s="588">
        <v>17</v>
      </c>
      <c r="H21" s="588">
        <v>85</v>
      </c>
      <c r="I21" s="571">
        <v>1.2142857142857142</v>
      </c>
      <c r="J21" s="571">
        <v>5</v>
      </c>
      <c r="K21" s="588">
        <v>14</v>
      </c>
      <c r="L21" s="588">
        <v>70</v>
      </c>
      <c r="M21" s="571">
        <v>1</v>
      </c>
      <c r="N21" s="571">
        <v>5</v>
      </c>
      <c r="O21" s="588">
        <v>19</v>
      </c>
      <c r="P21" s="588">
        <v>95</v>
      </c>
      <c r="Q21" s="576">
        <v>1.3571428571428572</v>
      </c>
      <c r="R21" s="589">
        <v>5</v>
      </c>
    </row>
    <row r="22" spans="1:18" ht="14.4" customHeight="1" x14ac:dyDescent="0.3">
      <c r="A22" s="570" t="s">
        <v>839</v>
      </c>
      <c r="B22" s="571" t="s">
        <v>840</v>
      </c>
      <c r="C22" s="571" t="s">
        <v>424</v>
      </c>
      <c r="D22" s="571" t="s">
        <v>858</v>
      </c>
      <c r="E22" s="571" t="s">
        <v>871</v>
      </c>
      <c r="F22" s="571" t="s">
        <v>872</v>
      </c>
      <c r="G22" s="588">
        <v>131</v>
      </c>
      <c r="H22" s="588">
        <v>9170</v>
      </c>
      <c r="I22" s="571">
        <v>1.6093366093366093</v>
      </c>
      <c r="J22" s="571">
        <v>70</v>
      </c>
      <c r="K22" s="588">
        <v>77</v>
      </c>
      <c r="L22" s="588">
        <v>5698</v>
      </c>
      <c r="M22" s="571">
        <v>1</v>
      </c>
      <c r="N22" s="571">
        <v>74</v>
      </c>
      <c r="O22" s="588">
        <v>360</v>
      </c>
      <c r="P22" s="588">
        <v>26640</v>
      </c>
      <c r="Q22" s="576">
        <v>4.6753246753246751</v>
      </c>
      <c r="R22" s="589">
        <v>74</v>
      </c>
    </row>
    <row r="23" spans="1:18" ht="14.4" customHeight="1" x14ac:dyDescent="0.3">
      <c r="A23" s="570" t="s">
        <v>839</v>
      </c>
      <c r="B23" s="571" t="s">
        <v>840</v>
      </c>
      <c r="C23" s="571" t="s">
        <v>424</v>
      </c>
      <c r="D23" s="571" t="s">
        <v>858</v>
      </c>
      <c r="E23" s="571" t="s">
        <v>873</v>
      </c>
      <c r="F23" s="571" t="s">
        <v>874</v>
      </c>
      <c r="G23" s="588">
        <v>79</v>
      </c>
      <c r="H23" s="588">
        <v>2765</v>
      </c>
      <c r="I23" s="571"/>
      <c r="J23" s="571">
        <v>35</v>
      </c>
      <c r="K23" s="588"/>
      <c r="L23" s="588"/>
      <c r="M23" s="571"/>
      <c r="N23" s="571"/>
      <c r="O23" s="588"/>
      <c r="P23" s="588"/>
      <c r="Q23" s="576"/>
      <c r="R23" s="589"/>
    </row>
    <row r="24" spans="1:18" ht="14.4" customHeight="1" x14ac:dyDescent="0.3">
      <c r="A24" s="570" t="s">
        <v>839</v>
      </c>
      <c r="B24" s="571" t="s">
        <v>840</v>
      </c>
      <c r="C24" s="571" t="s">
        <v>424</v>
      </c>
      <c r="D24" s="571" t="s">
        <v>858</v>
      </c>
      <c r="E24" s="571" t="s">
        <v>875</v>
      </c>
      <c r="F24" s="571"/>
      <c r="G24" s="588">
        <v>16</v>
      </c>
      <c r="H24" s="588">
        <v>1904</v>
      </c>
      <c r="I24" s="571"/>
      <c r="J24" s="571">
        <v>119</v>
      </c>
      <c r="K24" s="588"/>
      <c r="L24" s="588"/>
      <c r="M24" s="571"/>
      <c r="N24" s="571"/>
      <c r="O24" s="588"/>
      <c r="P24" s="588"/>
      <c r="Q24" s="576"/>
      <c r="R24" s="589"/>
    </row>
    <row r="25" spans="1:18" ht="14.4" customHeight="1" x14ac:dyDescent="0.3">
      <c r="A25" s="570" t="s">
        <v>839</v>
      </c>
      <c r="B25" s="571" t="s">
        <v>840</v>
      </c>
      <c r="C25" s="571" t="s">
        <v>424</v>
      </c>
      <c r="D25" s="571" t="s">
        <v>858</v>
      </c>
      <c r="E25" s="571" t="s">
        <v>876</v>
      </c>
      <c r="F25" s="571" t="s">
        <v>877</v>
      </c>
      <c r="G25" s="588">
        <v>339</v>
      </c>
      <c r="H25" s="588">
        <v>55935</v>
      </c>
      <c r="I25" s="571">
        <v>0.99064874342489773</v>
      </c>
      <c r="J25" s="571">
        <v>165</v>
      </c>
      <c r="K25" s="588">
        <v>319</v>
      </c>
      <c r="L25" s="588">
        <v>56463</v>
      </c>
      <c r="M25" s="571">
        <v>1</v>
      </c>
      <c r="N25" s="571">
        <v>177</v>
      </c>
      <c r="O25" s="588">
        <v>267</v>
      </c>
      <c r="P25" s="588">
        <v>47259</v>
      </c>
      <c r="Q25" s="576">
        <v>0.8369905956112853</v>
      </c>
      <c r="R25" s="589">
        <v>177</v>
      </c>
    </row>
    <row r="26" spans="1:18" ht="14.4" customHeight="1" x14ac:dyDescent="0.3">
      <c r="A26" s="570" t="s">
        <v>839</v>
      </c>
      <c r="B26" s="571" t="s">
        <v>840</v>
      </c>
      <c r="C26" s="571" t="s">
        <v>424</v>
      </c>
      <c r="D26" s="571" t="s">
        <v>858</v>
      </c>
      <c r="E26" s="571" t="s">
        <v>878</v>
      </c>
      <c r="F26" s="571" t="s">
        <v>879</v>
      </c>
      <c r="G26" s="588">
        <v>310</v>
      </c>
      <c r="H26" s="588">
        <v>53010</v>
      </c>
      <c r="I26" s="571">
        <v>1.1893383590226829</v>
      </c>
      <c r="J26" s="571">
        <v>171</v>
      </c>
      <c r="K26" s="588">
        <v>249</v>
      </c>
      <c r="L26" s="588">
        <v>44571</v>
      </c>
      <c r="M26" s="571">
        <v>1</v>
      </c>
      <c r="N26" s="571">
        <v>179</v>
      </c>
      <c r="O26" s="588">
        <v>253</v>
      </c>
      <c r="P26" s="588">
        <v>68816</v>
      </c>
      <c r="Q26" s="576">
        <v>1.5439635637522156</v>
      </c>
      <c r="R26" s="589">
        <v>272</v>
      </c>
    </row>
    <row r="27" spans="1:18" ht="14.4" customHeight="1" x14ac:dyDescent="0.3">
      <c r="A27" s="570" t="s">
        <v>839</v>
      </c>
      <c r="B27" s="571" t="s">
        <v>840</v>
      </c>
      <c r="C27" s="571" t="s">
        <v>424</v>
      </c>
      <c r="D27" s="571" t="s">
        <v>858</v>
      </c>
      <c r="E27" s="571" t="s">
        <v>880</v>
      </c>
      <c r="F27" s="571" t="s">
        <v>881</v>
      </c>
      <c r="G27" s="588">
        <v>1381</v>
      </c>
      <c r="H27" s="588">
        <v>21399.97</v>
      </c>
      <c r="I27" s="571">
        <v>0.51774112617078616</v>
      </c>
      <c r="J27" s="571">
        <v>15.495995655322231</v>
      </c>
      <c r="K27" s="588">
        <v>1240</v>
      </c>
      <c r="L27" s="588">
        <v>41333.339999999997</v>
      </c>
      <c r="M27" s="571">
        <v>1</v>
      </c>
      <c r="N27" s="571">
        <v>33.333338709677413</v>
      </c>
      <c r="O27" s="588">
        <v>1236</v>
      </c>
      <c r="P27" s="588">
        <v>41199.98000000001</v>
      </c>
      <c r="Q27" s="576">
        <v>0.99677354890749248</v>
      </c>
      <c r="R27" s="589">
        <v>33.333317152103568</v>
      </c>
    </row>
    <row r="28" spans="1:18" ht="14.4" customHeight="1" x14ac:dyDescent="0.3">
      <c r="A28" s="570" t="s">
        <v>839</v>
      </c>
      <c r="B28" s="571" t="s">
        <v>840</v>
      </c>
      <c r="C28" s="571" t="s">
        <v>424</v>
      </c>
      <c r="D28" s="571" t="s">
        <v>858</v>
      </c>
      <c r="E28" s="571" t="s">
        <v>882</v>
      </c>
      <c r="F28" s="571" t="s">
        <v>883</v>
      </c>
      <c r="G28" s="588">
        <v>434</v>
      </c>
      <c r="H28" s="588">
        <v>15624</v>
      </c>
      <c r="I28" s="571">
        <v>0.99357710651828302</v>
      </c>
      <c r="J28" s="571">
        <v>36</v>
      </c>
      <c r="K28" s="588">
        <v>425</v>
      </c>
      <c r="L28" s="588">
        <v>15725</v>
      </c>
      <c r="M28" s="571">
        <v>1</v>
      </c>
      <c r="N28" s="571">
        <v>37</v>
      </c>
      <c r="O28" s="588">
        <v>377</v>
      </c>
      <c r="P28" s="588">
        <v>13949</v>
      </c>
      <c r="Q28" s="576">
        <v>0.88705882352941179</v>
      </c>
      <c r="R28" s="589">
        <v>37</v>
      </c>
    </row>
    <row r="29" spans="1:18" ht="14.4" customHeight="1" x14ac:dyDescent="0.3">
      <c r="A29" s="570" t="s">
        <v>839</v>
      </c>
      <c r="B29" s="571" t="s">
        <v>840</v>
      </c>
      <c r="C29" s="571" t="s">
        <v>424</v>
      </c>
      <c r="D29" s="571" t="s">
        <v>858</v>
      </c>
      <c r="E29" s="571" t="s">
        <v>884</v>
      </c>
      <c r="F29" s="571" t="s">
        <v>885</v>
      </c>
      <c r="G29" s="588">
        <v>1858</v>
      </c>
      <c r="H29" s="588">
        <v>239682</v>
      </c>
      <c r="I29" s="571">
        <v>0.98314539913286381</v>
      </c>
      <c r="J29" s="571">
        <v>129</v>
      </c>
      <c r="K29" s="588">
        <v>1861</v>
      </c>
      <c r="L29" s="588">
        <v>243791</v>
      </c>
      <c r="M29" s="571">
        <v>1</v>
      </c>
      <c r="N29" s="571">
        <v>131</v>
      </c>
      <c r="O29" s="588">
        <v>1596</v>
      </c>
      <c r="P29" s="588">
        <v>210672</v>
      </c>
      <c r="Q29" s="576">
        <v>0.86415003014877501</v>
      </c>
      <c r="R29" s="589">
        <v>132</v>
      </c>
    </row>
    <row r="30" spans="1:18" ht="14.4" customHeight="1" x14ac:dyDescent="0.3">
      <c r="A30" s="570" t="s">
        <v>839</v>
      </c>
      <c r="B30" s="571" t="s">
        <v>840</v>
      </c>
      <c r="C30" s="571" t="s">
        <v>424</v>
      </c>
      <c r="D30" s="571" t="s">
        <v>858</v>
      </c>
      <c r="E30" s="571" t="s">
        <v>886</v>
      </c>
      <c r="F30" s="571" t="s">
        <v>887</v>
      </c>
      <c r="G30" s="588">
        <v>1033</v>
      </c>
      <c r="H30" s="588">
        <v>72310</v>
      </c>
      <c r="I30" s="571">
        <v>1.23535039464243</v>
      </c>
      <c r="J30" s="571">
        <v>70</v>
      </c>
      <c r="K30" s="588">
        <v>791</v>
      </c>
      <c r="L30" s="588">
        <v>58534</v>
      </c>
      <c r="M30" s="571">
        <v>1</v>
      </c>
      <c r="N30" s="571">
        <v>74</v>
      </c>
      <c r="O30" s="588">
        <v>888</v>
      </c>
      <c r="P30" s="588">
        <v>65712</v>
      </c>
      <c r="Q30" s="576">
        <v>1.122629582806574</v>
      </c>
      <c r="R30" s="589">
        <v>74</v>
      </c>
    </row>
    <row r="31" spans="1:18" ht="14.4" customHeight="1" x14ac:dyDescent="0.3">
      <c r="A31" s="570" t="s">
        <v>839</v>
      </c>
      <c r="B31" s="571" t="s">
        <v>840</v>
      </c>
      <c r="C31" s="571" t="s">
        <v>424</v>
      </c>
      <c r="D31" s="571" t="s">
        <v>858</v>
      </c>
      <c r="E31" s="571" t="s">
        <v>888</v>
      </c>
      <c r="F31" s="571" t="s">
        <v>889</v>
      </c>
      <c r="G31" s="588">
        <v>706</v>
      </c>
      <c r="H31" s="588">
        <v>233686</v>
      </c>
      <c r="I31" s="571">
        <v>1.0363107433325351</v>
      </c>
      <c r="J31" s="571">
        <v>331</v>
      </c>
      <c r="K31" s="588">
        <v>637</v>
      </c>
      <c r="L31" s="588">
        <v>225498</v>
      </c>
      <c r="M31" s="571">
        <v>1</v>
      </c>
      <c r="N31" s="571">
        <v>354</v>
      </c>
      <c r="O31" s="588">
        <v>745</v>
      </c>
      <c r="P31" s="588">
        <v>264475</v>
      </c>
      <c r="Q31" s="576">
        <v>1.1728485396766268</v>
      </c>
      <c r="R31" s="589">
        <v>355</v>
      </c>
    </row>
    <row r="32" spans="1:18" ht="14.4" customHeight="1" x14ac:dyDescent="0.3">
      <c r="A32" s="570" t="s">
        <v>839</v>
      </c>
      <c r="B32" s="571" t="s">
        <v>840</v>
      </c>
      <c r="C32" s="571" t="s">
        <v>424</v>
      </c>
      <c r="D32" s="571" t="s">
        <v>858</v>
      </c>
      <c r="E32" s="571" t="s">
        <v>890</v>
      </c>
      <c r="F32" s="571" t="s">
        <v>891</v>
      </c>
      <c r="G32" s="588">
        <v>213</v>
      </c>
      <c r="H32" s="588">
        <v>44730</v>
      </c>
      <c r="I32" s="571">
        <v>1.0891161431701972</v>
      </c>
      <c r="J32" s="571">
        <v>210</v>
      </c>
      <c r="K32" s="588">
        <v>185</v>
      </c>
      <c r="L32" s="588">
        <v>41070</v>
      </c>
      <c r="M32" s="571">
        <v>1</v>
      </c>
      <c r="N32" s="571">
        <v>222</v>
      </c>
      <c r="O32" s="588">
        <v>988</v>
      </c>
      <c r="P32" s="588">
        <v>220324</v>
      </c>
      <c r="Q32" s="576">
        <v>5.3645970294618941</v>
      </c>
      <c r="R32" s="589">
        <v>223</v>
      </c>
    </row>
    <row r="33" spans="1:18" ht="14.4" customHeight="1" x14ac:dyDescent="0.3">
      <c r="A33" s="570" t="s">
        <v>839</v>
      </c>
      <c r="B33" s="571" t="s">
        <v>840</v>
      </c>
      <c r="C33" s="571" t="s">
        <v>424</v>
      </c>
      <c r="D33" s="571" t="s">
        <v>858</v>
      </c>
      <c r="E33" s="571" t="s">
        <v>892</v>
      </c>
      <c r="F33" s="571" t="s">
        <v>893</v>
      </c>
      <c r="G33" s="588">
        <v>431</v>
      </c>
      <c r="H33" s="588">
        <v>33187</v>
      </c>
      <c r="I33" s="571">
        <v>1.1840659340659341</v>
      </c>
      <c r="J33" s="571">
        <v>77</v>
      </c>
      <c r="K33" s="588">
        <v>364</v>
      </c>
      <c r="L33" s="588">
        <v>28028</v>
      </c>
      <c r="M33" s="571">
        <v>1</v>
      </c>
      <c r="N33" s="571">
        <v>77</v>
      </c>
      <c r="O33" s="588">
        <v>382</v>
      </c>
      <c r="P33" s="588">
        <v>29414</v>
      </c>
      <c r="Q33" s="576">
        <v>1.0494505494505495</v>
      </c>
      <c r="R33" s="589">
        <v>77</v>
      </c>
    </row>
    <row r="34" spans="1:18" ht="14.4" customHeight="1" x14ac:dyDescent="0.3">
      <c r="A34" s="570" t="s">
        <v>839</v>
      </c>
      <c r="B34" s="571" t="s">
        <v>840</v>
      </c>
      <c r="C34" s="571" t="s">
        <v>424</v>
      </c>
      <c r="D34" s="571" t="s">
        <v>858</v>
      </c>
      <c r="E34" s="571" t="s">
        <v>894</v>
      </c>
      <c r="F34" s="571" t="s">
        <v>895</v>
      </c>
      <c r="G34" s="588">
        <v>36</v>
      </c>
      <c r="H34" s="588">
        <v>972</v>
      </c>
      <c r="I34" s="571">
        <v>0.4567669172932331</v>
      </c>
      <c r="J34" s="571">
        <v>27</v>
      </c>
      <c r="K34" s="588">
        <v>76</v>
      </c>
      <c r="L34" s="588">
        <v>2128</v>
      </c>
      <c r="M34" s="571">
        <v>1</v>
      </c>
      <c r="N34" s="571">
        <v>28</v>
      </c>
      <c r="O34" s="588">
        <v>96</v>
      </c>
      <c r="P34" s="588">
        <v>2688</v>
      </c>
      <c r="Q34" s="576">
        <v>1.263157894736842</v>
      </c>
      <c r="R34" s="589">
        <v>28</v>
      </c>
    </row>
    <row r="35" spans="1:18" ht="14.4" customHeight="1" x14ac:dyDescent="0.3">
      <c r="A35" s="570" t="s">
        <v>839</v>
      </c>
      <c r="B35" s="571" t="s">
        <v>840</v>
      </c>
      <c r="C35" s="571" t="s">
        <v>424</v>
      </c>
      <c r="D35" s="571" t="s">
        <v>858</v>
      </c>
      <c r="E35" s="571" t="s">
        <v>896</v>
      </c>
      <c r="F35" s="571" t="s">
        <v>897</v>
      </c>
      <c r="G35" s="588">
        <v>113</v>
      </c>
      <c r="H35" s="588">
        <v>6441</v>
      </c>
      <c r="I35" s="571">
        <v>0.76879923609453327</v>
      </c>
      <c r="J35" s="571">
        <v>57</v>
      </c>
      <c r="K35" s="588">
        <v>142</v>
      </c>
      <c r="L35" s="588">
        <v>8378</v>
      </c>
      <c r="M35" s="571">
        <v>1</v>
      </c>
      <c r="N35" s="571">
        <v>59</v>
      </c>
      <c r="O35" s="588">
        <v>104</v>
      </c>
      <c r="P35" s="588">
        <v>6136</v>
      </c>
      <c r="Q35" s="576">
        <v>0.73239436619718312</v>
      </c>
      <c r="R35" s="589">
        <v>59</v>
      </c>
    </row>
    <row r="36" spans="1:18" ht="14.4" customHeight="1" x14ac:dyDescent="0.3">
      <c r="A36" s="570" t="s">
        <v>839</v>
      </c>
      <c r="B36" s="571" t="s">
        <v>840</v>
      </c>
      <c r="C36" s="571" t="s">
        <v>424</v>
      </c>
      <c r="D36" s="571" t="s">
        <v>858</v>
      </c>
      <c r="E36" s="571" t="s">
        <v>898</v>
      </c>
      <c r="F36" s="571"/>
      <c r="G36" s="588">
        <v>188</v>
      </c>
      <c r="H36" s="588">
        <v>45684</v>
      </c>
      <c r="I36" s="571"/>
      <c r="J36" s="571">
        <v>243</v>
      </c>
      <c r="K36" s="588"/>
      <c r="L36" s="588"/>
      <c r="M36" s="571"/>
      <c r="N36" s="571"/>
      <c r="O36" s="588"/>
      <c r="P36" s="588"/>
      <c r="Q36" s="576"/>
      <c r="R36" s="589"/>
    </row>
    <row r="37" spans="1:18" ht="14.4" customHeight="1" x14ac:dyDescent="0.3">
      <c r="A37" s="570" t="s">
        <v>839</v>
      </c>
      <c r="B37" s="571" t="s">
        <v>840</v>
      </c>
      <c r="C37" s="571" t="s">
        <v>424</v>
      </c>
      <c r="D37" s="571" t="s">
        <v>858</v>
      </c>
      <c r="E37" s="571" t="s">
        <v>899</v>
      </c>
      <c r="F37" s="571" t="s">
        <v>900</v>
      </c>
      <c r="G37" s="588">
        <v>361</v>
      </c>
      <c r="H37" s="588">
        <v>235733</v>
      </c>
      <c r="I37" s="571">
        <v>1.1477168160550748</v>
      </c>
      <c r="J37" s="571">
        <v>653</v>
      </c>
      <c r="K37" s="588">
        <v>293</v>
      </c>
      <c r="L37" s="588">
        <v>205393</v>
      </c>
      <c r="M37" s="571">
        <v>1</v>
      </c>
      <c r="N37" s="571">
        <v>701</v>
      </c>
      <c r="O37" s="588">
        <v>224</v>
      </c>
      <c r="P37" s="588">
        <v>157024</v>
      </c>
      <c r="Q37" s="576">
        <v>0.76450511945392496</v>
      </c>
      <c r="R37" s="589">
        <v>701</v>
      </c>
    </row>
    <row r="38" spans="1:18" ht="14.4" customHeight="1" x14ac:dyDescent="0.3">
      <c r="A38" s="570" t="s">
        <v>839</v>
      </c>
      <c r="B38" s="571" t="s">
        <v>840</v>
      </c>
      <c r="C38" s="571" t="s">
        <v>424</v>
      </c>
      <c r="D38" s="571" t="s">
        <v>858</v>
      </c>
      <c r="E38" s="571" t="s">
        <v>901</v>
      </c>
      <c r="F38" s="571" t="s">
        <v>902</v>
      </c>
      <c r="G38" s="588">
        <v>927</v>
      </c>
      <c r="H38" s="588">
        <v>199305</v>
      </c>
      <c r="I38" s="571">
        <v>1.0470779220779221</v>
      </c>
      <c r="J38" s="571">
        <v>215</v>
      </c>
      <c r="K38" s="588">
        <v>824</v>
      </c>
      <c r="L38" s="588">
        <v>190344</v>
      </c>
      <c r="M38" s="571">
        <v>1</v>
      </c>
      <c r="N38" s="571">
        <v>231</v>
      </c>
      <c r="O38" s="588">
        <v>886</v>
      </c>
      <c r="P38" s="588">
        <v>204666</v>
      </c>
      <c r="Q38" s="576">
        <v>1.075242718446602</v>
      </c>
      <c r="R38" s="589">
        <v>231</v>
      </c>
    </row>
    <row r="39" spans="1:18" ht="14.4" customHeight="1" x14ac:dyDescent="0.3">
      <c r="A39" s="570" t="s">
        <v>839</v>
      </c>
      <c r="B39" s="571" t="s">
        <v>840</v>
      </c>
      <c r="C39" s="571" t="s">
        <v>424</v>
      </c>
      <c r="D39" s="571" t="s">
        <v>858</v>
      </c>
      <c r="E39" s="571" t="s">
        <v>903</v>
      </c>
      <c r="F39" s="571" t="s">
        <v>904</v>
      </c>
      <c r="G39" s="588"/>
      <c r="H39" s="588"/>
      <c r="I39" s="571"/>
      <c r="J39" s="571"/>
      <c r="K39" s="588">
        <v>77</v>
      </c>
      <c r="L39" s="588">
        <v>36344</v>
      </c>
      <c r="M39" s="571">
        <v>1</v>
      </c>
      <c r="N39" s="571">
        <v>472</v>
      </c>
      <c r="O39" s="588">
        <v>97</v>
      </c>
      <c r="P39" s="588">
        <v>45881</v>
      </c>
      <c r="Q39" s="576">
        <v>1.262409200968523</v>
      </c>
      <c r="R39" s="589">
        <v>473</v>
      </c>
    </row>
    <row r="40" spans="1:18" ht="14.4" customHeight="1" x14ac:dyDescent="0.3">
      <c r="A40" s="570" t="s">
        <v>905</v>
      </c>
      <c r="B40" s="571" t="s">
        <v>906</v>
      </c>
      <c r="C40" s="571" t="s">
        <v>424</v>
      </c>
      <c r="D40" s="571" t="s">
        <v>858</v>
      </c>
      <c r="E40" s="571" t="s">
        <v>863</v>
      </c>
      <c r="F40" s="571" t="s">
        <v>864</v>
      </c>
      <c r="G40" s="588">
        <v>3</v>
      </c>
      <c r="H40" s="588">
        <v>105</v>
      </c>
      <c r="I40" s="571">
        <v>0.31531531531531531</v>
      </c>
      <c r="J40" s="571">
        <v>35</v>
      </c>
      <c r="K40" s="588">
        <v>9</v>
      </c>
      <c r="L40" s="588">
        <v>333</v>
      </c>
      <c r="M40" s="571">
        <v>1</v>
      </c>
      <c r="N40" s="571">
        <v>37</v>
      </c>
      <c r="O40" s="588"/>
      <c r="P40" s="588"/>
      <c r="Q40" s="576"/>
      <c r="R40" s="589"/>
    </row>
    <row r="41" spans="1:18" ht="14.4" customHeight="1" x14ac:dyDescent="0.3">
      <c r="A41" s="570" t="s">
        <v>905</v>
      </c>
      <c r="B41" s="571" t="s">
        <v>906</v>
      </c>
      <c r="C41" s="571" t="s">
        <v>424</v>
      </c>
      <c r="D41" s="571" t="s">
        <v>858</v>
      </c>
      <c r="E41" s="571" t="s">
        <v>907</v>
      </c>
      <c r="F41" s="571" t="s">
        <v>908</v>
      </c>
      <c r="G41" s="588">
        <v>595</v>
      </c>
      <c r="H41" s="588">
        <v>70805</v>
      </c>
      <c r="I41" s="571">
        <v>1.4889702016697159</v>
      </c>
      <c r="J41" s="571">
        <v>119</v>
      </c>
      <c r="K41" s="588">
        <v>393</v>
      </c>
      <c r="L41" s="588">
        <v>47553</v>
      </c>
      <c r="M41" s="571">
        <v>1</v>
      </c>
      <c r="N41" s="571">
        <v>121</v>
      </c>
      <c r="O41" s="588">
        <v>505</v>
      </c>
      <c r="P41" s="588">
        <v>61105</v>
      </c>
      <c r="Q41" s="576">
        <v>1.2849872773536897</v>
      </c>
      <c r="R41" s="589">
        <v>121</v>
      </c>
    </row>
    <row r="42" spans="1:18" ht="14.4" customHeight="1" x14ac:dyDescent="0.3">
      <c r="A42" s="570" t="s">
        <v>905</v>
      </c>
      <c r="B42" s="571" t="s">
        <v>906</v>
      </c>
      <c r="C42" s="571" t="s">
        <v>424</v>
      </c>
      <c r="D42" s="571" t="s">
        <v>858</v>
      </c>
      <c r="E42" s="571" t="s">
        <v>884</v>
      </c>
      <c r="F42" s="571" t="s">
        <v>885</v>
      </c>
      <c r="G42" s="588">
        <v>3</v>
      </c>
      <c r="H42" s="588">
        <v>387</v>
      </c>
      <c r="I42" s="571">
        <v>0.3282442748091603</v>
      </c>
      <c r="J42" s="571">
        <v>129</v>
      </c>
      <c r="K42" s="588">
        <v>9</v>
      </c>
      <c r="L42" s="588">
        <v>1179</v>
      </c>
      <c r="M42" s="571">
        <v>1</v>
      </c>
      <c r="N42" s="571">
        <v>131</v>
      </c>
      <c r="O42" s="588"/>
      <c r="P42" s="588"/>
      <c r="Q42" s="576"/>
      <c r="R42" s="589"/>
    </row>
    <row r="43" spans="1:18" ht="14.4" customHeight="1" thickBot="1" x14ac:dyDescent="0.35">
      <c r="A43" s="578" t="s">
        <v>905</v>
      </c>
      <c r="B43" s="579" t="s">
        <v>906</v>
      </c>
      <c r="C43" s="579" t="s">
        <v>424</v>
      </c>
      <c r="D43" s="579" t="s">
        <v>858</v>
      </c>
      <c r="E43" s="579" t="s">
        <v>886</v>
      </c>
      <c r="F43" s="579" t="s">
        <v>887</v>
      </c>
      <c r="G43" s="590"/>
      <c r="H43" s="590"/>
      <c r="I43" s="579"/>
      <c r="J43" s="579"/>
      <c r="K43" s="590"/>
      <c r="L43" s="590"/>
      <c r="M43" s="579"/>
      <c r="N43" s="579"/>
      <c r="O43" s="590">
        <v>0</v>
      </c>
      <c r="P43" s="590">
        <v>0</v>
      </c>
      <c r="Q43" s="584"/>
      <c r="R43" s="591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9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43" t="s">
        <v>910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1:19" ht="14.4" customHeight="1" thickBot="1" x14ac:dyDescent="0.35">
      <c r="A2" s="235" t="s">
        <v>259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14560.000000000002</v>
      </c>
      <c r="I3" s="103">
        <f t="shared" si="0"/>
        <v>1484802.32</v>
      </c>
      <c r="J3" s="74"/>
      <c r="K3" s="74"/>
      <c r="L3" s="103">
        <f t="shared" si="0"/>
        <v>13328.2</v>
      </c>
      <c r="M3" s="103">
        <f t="shared" si="0"/>
        <v>1397483.54</v>
      </c>
      <c r="N3" s="74"/>
      <c r="O3" s="74"/>
      <c r="P3" s="103">
        <f t="shared" si="0"/>
        <v>12529.55</v>
      </c>
      <c r="Q3" s="103">
        <f t="shared" si="0"/>
        <v>1599152.8699999999</v>
      </c>
      <c r="R3" s="75">
        <f>IF(M3=0,0,Q3/M3)</f>
        <v>1.1443089125758146</v>
      </c>
      <c r="S3" s="104">
        <f>IF(P3=0,0,Q3/P3)</f>
        <v>127.63051107182621</v>
      </c>
    </row>
    <row r="4" spans="1:19" ht="14.4" customHeight="1" x14ac:dyDescent="0.3">
      <c r="A4" s="424" t="s">
        <v>247</v>
      </c>
      <c r="B4" s="424" t="s">
        <v>95</v>
      </c>
      <c r="C4" s="432" t="s">
        <v>0</v>
      </c>
      <c r="D4" s="308" t="s">
        <v>136</v>
      </c>
      <c r="E4" s="426" t="s">
        <v>96</v>
      </c>
      <c r="F4" s="431" t="s">
        <v>71</v>
      </c>
      <c r="G4" s="427" t="s">
        <v>70</v>
      </c>
      <c r="H4" s="428">
        <v>2015</v>
      </c>
      <c r="I4" s="429"/>
      <c r="J4" s="101"/>
      <c r="K4" s="101"/>
      <c r="L4" s="428">
        <v>2016</v>
      </c>
      <c r="M4" s="429"/>
      <c r="N4" s="101"/>
      <c r="O4" s="101"/>
      <c r="P4" s="428">
        <v>2017</v>
      </c>
      <c r="Q4" s="429"/>
      <c r="R4" s="430" t="s">
        <v>2</v>
      </c>
      <c r="S4" s="425" t="s">
        <v>98</v>
      </c>
    </row>
    <row r="5" spans="1:19" ht="14.4" customHeight="1" thickBot="1" x14ac:dyDescent="0.35">
      <c r="A5" s="629"/>
      <c r="B5" s="629"/>
      <c r="C5" s="630"/>
      <c r="D5" s="639"/>
      <c r="E5" s="631"/>
      <c r="F5" s="632"/>
      <c r="G5" s="633"/>
      <c r="H5" s="634" t="s">
        <v>72</v>
      </c>
      <c r="I5" s="635" t="s">
        <v>14</v>
      </c>
      <c r="J5" s="636"/>
      <c r="K5" s="636"/>
      <c r="L5" s="634" t="s">
        <v>72</v>
      </c>
      <c r="M5" s="635" t="s">
        <v>14</v>
      </c>
      <c r="N5" s="636"/>
      <c r="O5" s="636"/>
      <c r="P5" s="634" t="s">
        <v>72</v>
      </c>
      <c r="Q5" s="635" t="s">
        <v>14</v>
      </c>
      <c r="R5" s="637"/>
      <c r="S5" s="638"/>
    </row>
    <row r="6" spans="1:19" ht="14.4" customHeight="1" x14ac:dyDescent="0.3">
      <c r="A6" s="563" t="s">
        <v>839</v>
      </c>
      <c r="B6" s="564" t="s">
        <v>840</v>
      </c>
      <c r="C6" s="564" t="s">
        <v>424</v>
      </c>
      <c r="D6" s="564" t="s">
        <v>834</v>
      </c>
      <c r="E6" s="564" t="s">
        <v>858</v>
      </c>
      <c r="F6" s="564" t="s">
        <v>863</v>
      </c>
      <c r="G6" s="564" t="s">
        <v>864</v>
      </c>
      <c r="H6" s="116">
        <v>6</v>
      </c>
      <c r="I6" s="116">
        <v>210</v>
      </c>
      <c r="J6" s="564"/>
      <c r="K6" s="564">
        <v>35</v>
      </c>
      <c r="L6" s="116"/>
      <c r="M6" s="116"/>
      <c r="N6" s="564"/>
      <c r="O6" s="564"/>
      <c r="P6" s="116"/>
      <c r="Q6" s="116"/>
      <c r="R6" s="569"/>
      <c r="S6" s="587"/>
    </row>
    <row r="7" spans="1:19" ht="14.4" customHeight="1" x14ac:dyDescent="0.3">
      <c r="A7" s="570" t="s">
        <v>839</v>
      </c>
      <c r="B7" s="571" t="s">
        <v>840</v>
      </c>
      <c r="C7" s="571" t="s">
        <v>424</v>
      </c>
      <c r="D7" s="571" t="s">
        <v>834</v>
      </c>
      <c r="E7" s="571" t="s">
        <v>858</v>
      </c>
      <c r="F7" s="571" t="s">
        <v>884</v>
      </c>
      <c r="G7" s="571" t="s">
        <v>885</v>
      </c>
      <c r="H7" s="588">
        <v>1</v>
      </c>
      <c r="I7" s="588">
        <v>129</v>
      </c>
      <c r="J7" s="571"/>
      <c r="K7" s="571">
        <v>129</v>
      </c>
      <c r="L7" s="588"/>
      <c r="M7" s="588"/>
      <c r="N7" s="571"/>
      <c r="O7" s="571"/>
      <c r="P7" s="588"/>
      <c r="Q7" s="588"/>
      <c r="R7" s="576"/>
      <c r="S7" s="589"/>
    </row>
    <row r="8" spans="1:19" ht="14.4" customHeight="1" x14ac:dyDescent="0.3">
      <c r="A8" s="570" t="s">
        <v>839</v>
      </c>
      <c r="B8" s="571" t="s">
        <v>840</v>
      </c>
      <c r="C8" s="571" t="s">
        <v>424</v>
      </c>
      <c r="D8" s="571" t="s">
        <v>830</v>
      </c>
      <c r="E8" s="571" t="s">
        <v>841</v>
      </c>
      <c r="F8" s="571" t="s">
        <v>842</v>
      </c>
      <c r="G8" s="571" t="s">
        <v>843</v>
      </c>
      <c r="H8" s="588">
        <v>2.2000000000000002</v>
      </c>
      <c r="I8" s="588">
        <v>119.01999999999998</v>
      </c>
      <c r="J8" s="571">
        <v>0.78571428571428548</v>
      </c>
      <c r="K8" s="571">
        <v>54.099999999999987</v>
      </c>
      <c r="L8" s="588">
        <v>2.8</v>
      </c>
      <c r="M8" s="588">
        <v>151.48000000000002</v>
      </c>
      <c r="N8" s="571">
        <v>1</v>
      </c>
      <c r="O8" s="571">
        <v>54.100000000000009</v>
      </c>
      <c r="P8" s="588">
        <v>34.869999999999997</v>
      </c>
      <c r="Q8" s="588">
        <v>1886.46</v>
      </c>
      <c r="R8" s="576">
        <v>12.45352521785054</v>
      </c>
      <c r="S8" s="589">
        <v>54.099799254373394</v>
      </c>
    </row>
    <row r="9" spans="1:19" ht="14.4" customHeight="1" x14ac:dyDescent="0.3">
      <c r="A9" s="570" t="s">
        <v>839</v>
      </c>
      <c r="B9" s="571" t="s">
        <v>840</v>
      </c>
      <c r="C9" s="571" t="s">
        <v>424</v>
      </c>
      <c r="D9" s="571" t="s">
        <v>830</v>
      </c>
      <c r="E9" s="571" t="s">
        <v>841</v>
      </c>
      <c r="F9" s="571" t="s">
        <v>847</v>
      </c>
      <c r="G9" s="571" t="s">
        <v>501</v>
      </c>
      <c r="H9" s="588">
        <v>0.2</v>
      </c>
      <c r="I9" s="588">
        <v>12.28</v>
      </c>
      <c r="J9" s="571">
        <v>2</v>
      </c>
      <c r="K9" s="571">
        <v>61.399999999999991</v>
      </c>
      <c r="L9" s="588">
        <v>0.1</v>
      </c>
      <c r="M9" s="588">
        <v>6.14</v>
      </c>
      <c r="N9" s="571">
        <v>1</v>
      </c>
      <c r="O9" s="571">
        <v>61.399999999999991</v>
      </c>
      <c r="P9" s="588">
        <v>2.2000000000000002</v>
      </c>
      <c r="Q9" s="588">
        <v>135.19999999999999</v>
      </c>
      <c r="R9" s="576">
        <v>22.019543973941367</v>
      </c>
      <c r="S9" s="589">
        <v>61.454545454545446</v>
      </c>
    </row>
    <row r="10" spans="1:19" ht="14.4" customHeight="1" x14ac:dyDescent="0.3">
      <c r="A10" s="570" t="s">
        <v>839</v>
      </c>
      <c r="B10" s="571" t="s">
        <v>840</v>
      </c>
      <c r="C10" s="571" t="s">
        <v>424</v>
      </c>
      <c r="D10" s="571" t="s">
        <v>830</v>
      </c>
      <c r="E10" s="571" t="s">
        <v>841</v>
      </c>
      <c r="F10" s="571" t="s">
        <v>850</v>
      </c>
      <c r="G10" s="571" t="s">
        <v>851</v>
      </c>
      <c r="H10" s="588">
        <v>0.2</v>
      </c>
      <c r="I10" s="588">
        <v>35.4</v>
      </c>
      <c r="J10" s="571">
        <v>2</v>
      </c>
      <c r="K10" s="571">
        <v>176.99999999999997</v>
      </c>
      <c r="L10" s="588">
        <v>0.1</v>
      </c>
      <c r="M10" s="588">
        <v>17.7</v>
      </c>
      <c r="N10" s="571">
        <v>1</v>
      </c>
      <c r="O10" s="571">
        <v>176.99999999999997</v>
      </c>
      <c r="P10" s="588">
        <v>0.2</v>
      </c>
      <c r="Q10" s="588">
        <v>35.4</v>
      </c>
      <c r="R10" s="576">
        <v>2</v>
      </c>
      <c r="S10" s="589">
        <v>176.99999999999997</v>
      </c>
    </row>
    <row r="11" spans="1:19" ht="14.4" customHeight="1" x14ac:dyDescent="0.3">
      <c r="A11" s="570" t="s">
        <v>839</v>
      </c>
      <c r="B11" s="571" t="s">
        <v>840</v>
      </c>
      <c r="C11" s="571" t="s">
        <v>424</v>
      </c>
      <c r="D11" s="571" t="s">
        <v>830</v>
      </c>
      <c r="E11" s="571" t="s">
        <v>841</v>
      </c>
      <c r="F11" s="571" t="s">
        <v>852</v>
      </c>
      <c r="G11" s="571" t="s">
        <v>853</v>
      </c>
      <c r="H11" s="588"/>
      <c r="I11" s="588"/>
      <c r="J11" s="571"/>
      <c r="K11" s="571"/>
      <c r="L11" s="588">
        <v>1</v>
      </c>
      <c r="M11" s="588">
        <v>56.84</v>
      </c>
      <c r="N11" s="571">
        <v>1</v>
      </c>
      <c r="O11" s="571">
        <v>56.84</v>
      </c>
      <c r="P11" s="588"/>
      <c r="Q11" s="588"/>
      <c r="R11" s="576"/>
      <c r="S11" s="589"/>
    </row>
    <row r="12" spans="1:19" ht="14.4" customHeight="1" x14ac:dyDescent="0.3">
      <c r="A12" s="570" t="s">
        <v>839</v>
      </c>
      <c r="B12" s="571" t="s">
        <v>840</v>
      </c>
      <c r="C12" s="571" t="s">
        <v>424</v>
      </c>
      <c r="D12" s="571" t="s">
        <v>830</v>
      </c>
      <c r="E12" s="571" t="s">
        <v>841</v>
      </c>
      <c r="F12" s="571" t="s">
        <v>854</v>
      </c>
      <c r="G12" s="571" t="s">
        <v>855</v>
      </c>
      <c r="H12" s="588">
        <v>11</v>
      </c>
      <c r="I12" s="588">
        <v>39.819999999999993</v>
      </c>
      <c r="J12" s="571">
        <v>1.1656908665105385</v>
      </c>
      <c r="K12" s="571">
        <v>3.6199999999999992</v>
      </c>
      <c r="L12" s="588">
        <v>14</v>
      </c>
      <c r="M12" s="588">
        <v>34.159999999999997</v>
      </c>
      <c r="N12" s="571">
        <v>1</v>
      </c>
      <c r="O12" s="571">
        <v>2.44</v>
      </c>
      <c r="P12" s="588"/>
      <c r="Q12" s="588"/>
      <c r="R12" s="576"/>
      <c r="S12" s="589"/>
    </row>
    <row r="13" spans="1:19" ht="14.4" customHeight="1" x14ac:dyDescent="0.3">
      <c r="A13" s="570" t="s">
        <v>839</v>
      </c>
      <c r="B13" s="571" t="s">
        <v>840</v>
      </c>
      <c r="C13" s="571" t="s">
        <v>424</v>
      </c>
      <c r="D13" s="571" t="s">
        <v>830</v>
      </c>
      <c r="E13" s="571" t="s">
        <v>841</v>
      </c>
      <c r="F13" s="571" t="s">
        <v>856</v>
      </c>
      <c r="G13" s="571" t="s">
        <v>443</v>
      </c>
      <c r="H13" s="588"/>
      <c r="I13" s="588"/>
      <c r="J13" s="571"/>
      <c r="K13" s="571"/>
      <c r="L13" s="588"/>
      <c r="M13" s="588"/>
      <c r="N13" s="571"/>
      <c r="O13" s="571"/>
      <c r="P13" s="588">
        <v>7.95</v>
      </c>
      <c r="Q13" s="588">
        <v>38.229999999999997</v>
      </c>
      <c r="R13" s="576"/>
      <c r="S13" s="589">
        <v>4.80880503144654</v>
      </c>
    </row>
    <row r="14" spans="1:19" ht="14.4" customHeight="1" x14ac:dyDescent="0.3">
      <c r="A14" s="570" t="s">
        <v>839</v>
      </c>
      <c r="B14" s="571" t="s">
        <v>840</v>
      </c>
      <c r="C14" s="571" t="s">
        <v>424</v>
      </c>
      <c r="D14" s="571" t="s">
        <v>830</v>
      </c>
      <c r="E14" s="571" t="s">
        <v>841</v>
      </c>
      <c r="F14" s="571" t="s">
        <v>857</v>
      </c>
      <c r="G14" s="571" t="s">
        <v>853</v>
      </c>
      <c r="H14" s="588"/>
      <c r="I14" s="588"/>
      <c r="J14" s="571"/>
      <c r="K14" s="571"/>
      <c r="L14" s="588"/>
      <c r="M14" s="588"/>
      <c r="N14" s="571"/>
      <c r="O14" s="571"/>
      <c r="P14" s="588">
        <v>8</v>
      </c>
      <c r="Q14" s="588">
        <v>835.52</v>
      </c>
      <c r="R14" s="576"/>
      <c r="S14" s="589">
        <v>104.44</v>
      </c>
    </row>
    <row r="15" spans="1:19" ht="14.4" customHeight="1" x14ac:dyDescent="0.3">
      <c r="A15" s="570" t="s">
        <v>839</v>
      </c>
      <c r="B15" s="571" t="s">
        <v>840</v>
      </c>
      <c r="C15" s="571" t="s">
        <v>424</v>
      </c>
      <c r="D15" s="571" t="s">
        <v>830</v>
      </c>
      <c r="E15" s="571" t="s">
        <v>858</v>
      </c>
      <c r="F15" s="571" t="s">
        <v>859</v>
      </c>
      <c r="G15" s="571" t="s">
        <v>860</v>
      </c>
      <c r="H15" s="588">
        <v>59</v>
      </c>
      <c r="I15" s="588">
        <v>10089</v>
      </c>
      <c r="J15" s="571">
        <v>0.82285294837288969</v>
      </c>
      <c r="K15" s="571">
        <v>171</v>
      </c>
      <c r="L15" s="588">
        <v>67</v>
      </c>
      <c r="M15" s="588">
        <v>12261</v>
      </c>
      <c r="N15" s="571">
        <v>1</v>
      </c>
      <c r="O15" s="571">
        <v>183</v>
      </c>
      <c r="P15" s="588">
        <v>81</v>
      </c>
      <c r="Q15" s="588">
        <v>14823</v>
      </c>
      <c r="R15" s="576">
        <v>1.208955223880597</v>
      </c>
      <c r="S15" s="589">
        <v>183</v>
      </c>
    </row>
    <row r="16" spans="1:19" ht="14.4" customHeight="1" x14ac:dyDescent="0.3">
      <c r="A16" s="570" t="s">
        <v>839</v>
      </c>
      <c r="B16" s="571" t="s">
        <v>840</v>
      </c>
      <c r="C16" s="571" t="s">
        <v>424</v>
      </c>
      <c r="D16" s="571" t="s">
        <v>830</v>
      </c>
      <c r="E16" s="571" t="s">
        <v>858</v>
      </c>
      <c r="F16" s="571" t="s">
        <v>861</v>
      </c>
      <c r="G16" s="571" t="s">
        <v>862</v>
      </c>
      <c r="H16" s="588">
        <v>21</v>
      </c>
      <c r="I16" s="588">
        <v>2373</v>
      </c>
      <c r="J16" s="571">
        <v>1.0806010928961749</v>
      </c>
      <c r="K16" s="571">
        <v>113</v>
      </c>
      <c r="L16" s="588">
        <v>18</v>
      </c>
      <c r="M16" s="588">
        <v>2196</v>
      </c>
      <c r="N16" s="571">
        <v>1</v>
      </c>
      <c r="O16" s="571">
        <v>122</v>
      </c>
      <c r="P16" s="588">
        <v>18</v>
      </c>
      <c r="Q16" s="588">
        <v>2196</v>
      </c>
      <c r="R16" s="576">
        <v>1</v>
      </c>
      <c r="S16" s="589">
        <v>122</v>
      </c>
    </row>
    <row r="17" spans="1:19" ht="14.4" customHeight="1" x14ac:dyDescent="0.3">
      <c r="A17" s="570" t="s">
        <v>839</v>
      </c>
      <c r="B17" s="571" t="s">
        <v>840</v>
      </c>
      <c r="C17" s="571" t="s">
        <v>424</v>
      </c>
      <c r="D17" s="571" t="s">
        <v>830</v>
      </c>
      <c r="E17" s="571" t="s">
        <v>858</v>
      </c>
      <c r="F17" s="571" t="s">
        <v>863</v>
      </c>
      <c r="G17" s="571" t="s">
        <v>864</v>
      </c>
      <c r="H17" s="588">
        <v>376</v>
      </c>
      <c r="I17" s="588">
        <v>13160</v>
      </c>
      <c r="J17" s="571">
        <v>1.0369553226696084</v>
      </c>
      <c r="K17" s="571">
        <v>35</v>
      </c>
      <c r="L17" s="588">
        <v>343</v>
      </c>
      <c r="M17" s="588">
        <v>12691</v>
      </c>
      <c r="N17" s="571">
        <v>1</v>
      </c>
      <c r="O17" s="571">
        <v>37</v>
      </c>
      <c r="P17" s="588">
        <v>385</v>
      </c>
      <c r="Q17" s="588">
        <v>14245</v>
      </c>
      <c r="R17" s="576">
        <v>1.1224489795918366</v>
      </c>
      <c r="S17" s="589">
        <v>37</v>
      </c>
    </row>
    <row r="18" spans="1:19" ht="14.4" customHeight="1" x14ac:dyDescent="0.3">
      <c r="A18" s="570" t="s">
        <v>839</v>
      </c>
      <c r="B18" s="571" t="s">
        <v>840</v>
      </c>
      <c r="C18" s="571" t="s">
        <v>424</v>
      </c>
      <c r="D18" s="571" t="s">
        <v>830</v>
      </c>
      <c r="E18" s="571" t="s">
        <v>858</v>
      </c>
      <c r="F18" s="571" t="s">
        <v>865</v>
      </c>
      <c r="G18" s="571" t="s">
        <v>866</v>
      </c>
      <c r="H18" s="588">
        <v>2</v>
      </c>
      <c r="I18" s="588">
        <v>20</v>
      </c>
      <c r="J18" s="571">
        <v>0.66666666666666663</v>
      </c>
      <c r="K18" s="571">
        <v>10</v>
      </c>
      <c r="L18" s="588">
        <v>3</v>
      </c>
      <c r="M18" s="588">
        <v>30</v>
      </c>
      <c r="N18" s="571">
        <v>1</v>
      </c>
      <c r="O18" s="571">
        <v>10</v>
      </c>
      <c r="P18" s="588">
        <v>1</v>
      </c>
      <c r="Q18" s="588">
        <v>10</v>
      </c>
      <c r="R18" s="576">
        <v>0.33333333333333331</v>
      </c>
      <c r="S18" s="589">
        <v>10</v>
      </c>
    </row>
    <row r="19" spans="1:19" ht="14.4" customHeight="1" x14ac:dyDescent="0.3">
      <c r="A19" s="570" t="s">
        <v>839</v>
      </c>
      <c r="B19" s="571" t="s">
        <v>840</v>
      </c>
      <c r="C19" s="571" t="s">
        <v>424</v>
      </c>
      <c r="D19" s="571" t="s">
        <v>830</v>
      </c>
      <c r="E19" s="571" t="s">
        <v>858</v>
      </c>
      <c r="F19" s="571" t="s">
        <v>867</v>
      </c>
      <c r="G19" s="571" t="s">
        <v>868</v>
      </c>
      <c r="H19" s="588">
        <v>3</v>
      </c>
      <c r="I19" s="588">
        <v>15</v>
      </c>
      <c r="J19" s="571">
        <v>1.5</v>
      </c>
      <c r="K19" s="571">
        <v>5</v>
      </c>
      <c r="L19" s="588">
        <v>2</v>
      </c>
      <c r="M19" s="588">
        <v>10</v>
      </c>
      <c r="N19" s="571">
        <v>1</v>
      </c>
      <c r="O19" s="571">
        <v>5</v>
      </c>
      <c r="P19" s="588">
        <v>20</v>
      </c>
      <c r="Q19" s="588">
        <v>100</v>
      </c>
      <c r="R19" s="576">
        <v>10</v>
      </c>
      <c r="S19" s="589">
        <v>5</v>
      </c>
    </row>
    <row r="20" spans="1:19" ht="14.4" customHeight="1" x14ac:dyDescent="0.3">
      <c r="A20" s="570" t="s">
        <v>839</v>
      </c>
      <c r="B20" s="571" t="s">
        <v>840</v>
      </c>
      <c r="C20" s="571" t="s">
        <v>424</v>
      </c>
      <c r="D20" s="571" t="s">
        <v>830</v>
      </c>
      <c r="E20" s="571" t="s">
        <v>858</v>
      </c>
      <c r="F20" s="571" t="s">
        <v>869</v>
      </c>
      <c r="G20" s="571" t="s">
        <v>870</v>
      </c>
      <c r="H20" s="588">
        <v>4</v>
      </c>
      <c r="I20" s="588">
        <v>20</v>
      </c>
      <c r="J20" s="571">
        <v>4</v>
      </c>
      <c r="K20" s="571">
        <v>5</v>
      </c>
      <c r="L20" s="588">
        <v>1</v>
      </c>
      <c r="M20" s="588">
        <v>5</v>
      </c>
      <c r="N20" s="571">
        <v>1</v>
      </c>
      <c r="O20" s="571">
        <v>5</v>
      </c>
      <c r="P20" s="588">
        <v>2</v>
      </c>
      <c r="Q20" s="588">
        <v>10</v>
      </c>
      <c r="R20" s="576">
        <v>2</v>
      </c>
      <c r="S20" s="589">
        <v>5</v>
      </c>
    </row>
    <row r="21" spans="1:19" ht="14.4" customHeight="1" x14ac:dyDescent="0.3">
      <c r="A21" s="570" t="s">
        <v>839</v>
      </c>
      <c r="B21" s="571" t="s">
        <v>840</v>
      </c>
      <c r="C21" s="571" t="s">
        <v>424</v>
      </c>
      <c r="D21" s="571" t="s">
        <v>830</v>
      </c>
      <c r="E21" s="571" t="s">
        <v>858</v>
      </c>
      <c r="F21" s="571" t="s">
        <v>871</v>
      </c>
      <c r="G21" s="571" t="s">
        <v>872</v>
      </c>
      <c r="H21" s="588">
        <v>49</v>
      </c>
      <c r="I21" s="588">
        <v>3430</v>
      </c>
      <c r="J21" s="571">
        <v>46.351351351351354</v>
      </c>
      <c r="K21" s="571">
        <v>70</v>
      </c>
      <c r="L21" s="588">
        <v>1</v>
      </c>
      <c r="M21" s="588">
        <v>74</v>
      </c>
      <c r="N21" s="571">
        <v>1</v>
      </c>
      <c r="O21" s="571">
        <v>74</v>
      </c>
      <c r="P21" s="588"/>
      <c r="Q21" s="588"/>
      <c r="R21" s="576"/>
      <c r="S21" s="589"/>
    </row>
    <row r="22" spans="1:19" ht="14.4" customHeight="1" x14ac:dyDescent="0.3">
      <c r="A22" s="570" t="s">
        <v>839</v>
      </c>
      <c r="B22" s="571" t="s">
        <v>840</v>
      </c>
      <c r="C22" s="571" t="s">
        <v>424</v>
      </c>
      <c r="D22" s="571" t="s">
        <v>830</v>
      </c>
      <c r="E22" s="571" t="s">
        <v>858</v>
      </c>
      <c r="F22" s="571" t="s">
        <v>873</v>
      </c>
      <c r="G22" s="571" t="s">
        <v>874</v>
      </c>
      <c r="H22" s="588">
        <v>54</v>
      </c>
      <c r="I22" s="588">
        <v>1890</v>
      </c>
      <c r="J22" s="571"/>
      <c r="K22" s="571">
        <v>35</v>
      </c>
      <c r="L22" s="588"/>
      <c r="M22" s="588"/>
      <c r="N22" s="571"/>
      <c r="O22" s="571"/>
      <c r="P22" s="588"/>
      <c r="Q22" s="588"/>
      <c r="R22" s="576"/>
      <c r="S22" s="589"/>
    </row>
    <row r="23" spans="1:19" ht="14.4" customHeight="1" x14ac:dyDescent="0.3">
      <c r="A23" s="570" t="s">
        <v>839</v>
      </c>
      <c r="B23" s="571" t="s">
        <v>840</v>
      </c>
      <c r="C23" s="571" t="s">
        <v>424</v>
      </c>
      <c r="D23" s="571" t="s">
        <v>830</v>
      </c>
      <c r="E23" s="571" t="s">
        <v>858</v>
      </c>
      <c r="F23" s="571" t="s">
        <v>875</v>
      </c>
      <c r="G23" s="571"/>
      <c r="H23" s="588">
        <v>16</v>
      </c>
      <c r="I23" s="588">
        <v>1904</v>
      </c>
      <c r="J23" s="571"/>
      <c r="K23" s="571">
        <v>119</v>
      </c>
      <c r="L23" s="588"/>
      <c r="M23" s="588"/>
      <c r="N23" s="571"/>
      <c r="O23" s="571"/>
      <c r="P23" s="588"/>
      <c r="Q23" s="588"/>
      <c r="R23" s="576"/>
      <c r="S23" s="589"/>
    </row>
    <row r="24" spans="1:19" ht="14.4" customHeight="1" x14ac:dyDescent="0.3">
      <c r="A24" s="570" t="s">
        <v>839</v>
      </c>
      <c r="B24" s="571" t="s">
        <v>840</v>
      </c>
      <c r="C24" s="571" t="s">
        <v>424</v>
      </c>
      <c r="D24" s="571" t="s">
        <v>830</v>
      </c>
      <c r="E24" s="571" t="s">
        <v>858</v>
      </c>
      <c r="F24" s="571" t="s">
        <v>876</v>
      </c>
      <c r="G24" s="571" t="s">
        <v>877</v>
      </c>
      <c r="H24" s="588">
        <v>2</v>
      </c>
      <c r="I24" s="588">
        <v>330</v>
      </c>
      <c r="J24" s="571"/>
      <c r="K24" s="571">
        <v>165</v>
      </c>
      <c r="L24" s="588"/>
      <c r="M24" s="588"/>
      <c r="N24" s="571"/>
      <c r="O24" s="571"/>
      <c r="P24" s="588"/>
      <c r="Q24" s="588"/>
      <c r="R24" s="576"/>
      <c r="S24" s="589"/>
    </row>
    <row r="25" spans="1:19" ht="14.4" customHeight="1" x14ac:dyDescent="0.3">
      <c r="A25" s="570" t="s">
        <v>839</v>
      </c>
      <c r="B25" s="571" t="s">
        <v>840</v>
      </c>
      <c r="C25" s="571" t="s">
        <v>424</v>
      </c>
      <c r="D25" s="571" t="s">
        <v>830</v>
      </c>
      <c r="E25" s="571" t="s">
        <v>858</v>
      </c>
      <c r="F25" s="571" t="s">
        <v>878</v>
      </c>
      <c r="G25" s="571" t="s">
        <v>879</v>
      </c>
      <c r="H25" s="588">
        <v>305</v>
      </c>
      <c r="I25" s="588">
        <v>52155</v>
      </c>
      <c r="J25" s="571">
        <v>1.1844256710723531</v>
      </c>
      <c r="K25" s="571">
        <v>171</v>
      </c>
      <c r="L25" s="588">
        <v>246</v>
      </c>
      <c r="M25" s="588">
        <v>44034</v>
      </c>
      <c r="N25" s="571">
        <v>1</v>
      </c>
      <c r="O25" s="571">
        <v>179</v>
      </c>
      <c r="P25" s="588">
        <v>251</v>
      </c>
      <c r="Q25" s="588">
        <v>68272</v>
      </c>
      <c r="R25" s="576">
        <v>1.5504382976790663</v>
      </c>
      <c r="S25" s="589">
        <v>272</v>
      </c>
    </row>
    <row r="26" spans="1:19" ht="14.4" customHeight="1" x14ac:dyDescent="0.3">
      <c r="A26" s="570" t="s">
        <v>839</v>
      </c>
      <c r="B26" s="571" t="s">
        <v>840</v>
      </c>
      <c r="C26" s="571" t="s">
        <v>424</v>
      </c>
      <c r="D26" s="571" t="s">
        <v>830</v>
      </c>
      <c r="E26" s="571" t="s">
        <v>858</v>
      </c>
      <c r="F26" s="571" t="s">
        <v>880</v>
      </c>
      <c r="G26" s="571" t="s">
        <v>881</v>
      </c>
      <c r="H26" s="588">
        <v>1021</v>
      </c>
      <c r="I26" s="588">
        <v>14666.66</v>
      </c>
      <c r="J26" s="571">
        <v>220.02190219021904</v>
      </c>
      <c r="K26" s="571">
        <v>14.364995102840352</v>
      </c>
      <c r="L26" s="588">
        <v>2</v>
      </c>
      <c r="M26" s="588">
        <v>66.66</v>
      </c>
      <c r="N26" s="571">
        <v>1</v>
      </c>
      <c r="O26" s="571">
        <v>33.33</v>
      </c>
      <c r="P26" s="588">
        <v>1</v>
      </c>
      <c r="Q26" s="588">
        <v>33.33</v>
      </c>
      <c r="R26" s="576">
        <v>0.5</v>
      </c>
      <c r="S26" s="589">
        <v>33.33</v>
      </c>
    </row>
    <row r="27" spans="1:19" ht="14.4" customHeight="1" x14ac:dyDescent="0.3">
      <c r="A27" s="570" t="s">
        <v>839</v>
      </c>
      <c r="B27" s="571" t="s">
        <v>840</v>
      </c>
      <c r="C27" s="571" t="s">
        <v>424</v>
      </c>
      <c r="D27" s="571" t="s">
        <v>830</v>
      </c>
      <c r="E27" s="571" t="s">
        <v>858</v>
      </c>
      <c r="F27" s="571" t="s">
        <v>882</v>
      </c>
      <c r="G27" s="571" t="s">
        <v>883</v>
      </c>
      <c r="H27" s="588">
        <v>432</v>
      </c>
      <c r="I27" s="588">
        <v>15552</v>
      </c>
      <c r="J27" s="571">
        <v>1.0455828963291649</v>
      </c>
      <c r="K27" s="571">
        <v>36</v>
      </c>
      <c r="L27" s="588">
        <v>402</v>
      </c>
      <c r="M27" s="588">
        <v>14874</v>
      </c>
      <c r="N27" s="571">
        <v>1</v>
      </c>
      <c r="O27" s="571">
        <v>37</v>
      </c>
      <c r="P27" s="588">
        <v>360</v>
      </c>
      <c r="Q27" s="588">
        <v>13320</v>
      </c>
      <c r="R27" s="576">
        <v>0.89552238805970152</v>
      </c>
      <c r="S27" s="589">
        <v>37</v>
      </c>
    </row>
    <row r="28" spans="1:19" ht="14.4" customHeight="1" x14ac:dyDescent="0.3">
      <c r="A28" s="570" t="s">
        <v>839</v>
      </c>
      <c r="B28" s="571" t="s">
        <v>840</v>
      </c>
      <c r="C28" s="571" t="s">
        <v>424</v>
      </c>
      <c r="D28" s="571" t="s">
        <v>830</v>
      </c>
      <c r="E28" s="571" t="s">
        <v>858</v>
      </c>
      <c r="F28" s="571" t="s">
        <v>884</v>
      </c>
      <c r="G28" s="571" t="s">
        <v>885</v>
      </c>
      <c r="H28" s="588">
        <v>8</v>
      </c>
      <c r="I28" s="588">
        <v>1032</v>
      </c>
      <c r="J28" s="571">
        <v>0.98473282442748089</v>
      </c>
      <c r="K28" s="571">
        <v>129</v>
      </c>
      <c r="L28" s="588">
        <v>8</v>
      </c>
      <c r="M28" s="588">
        <v>1048</v>
      </c>
      <c r="N28" s="571">
        <v>1</v>
      </c>
      <c r="O28" s="571">
        <v>131</v>
      </c>
      <c r="P28" s="588">
        <v>21</v>
      </c>
      <c r="Q28" s="588">
        <v>2772</v>
      </c>
      <c r="R28" s="576">
        <v>2.6450381679389312</v>
      </c>
      <c r="S28" s="589">
        <v>132</v>
      </c>
    </row>
    <row r="29" spans="1:19" ht="14.4" customHeight="1" x14ac:dyDescent="0.3">
      <c r="A29" s="570" t="s">
        <v>839</v>
      </c>
      <c r="B29" s="571" t="s">
        <v>840</v>
      </c>
      <c r="C29" s="571" t="s">
        <v>424</v>
      </c>
      <c r="D29" s="571" t="s">
        <v>830</v>
      </c>
      <c r="E29" s="571" t="s">
        <v>858</v>
      </c>
      <c r="F29" s="571" t="s">
        <v>886</v>
      </c>
      <c r="G29" s="571" t="s">
        <v>887</v>
      </c>
      <c r="H29" s="588">
        <v>813</v>
      </c>
      <c r="I29" s="588">
        <v>56910</v>
      </c>
      <c r="J29" s="571">
        <v>3.5937105329628696</v>
      </c>
      <c r="K29" s="571">
        <v>70</v>
      </c>
      <c r="L29" s="588">
        <v>214</v>
      </c>
      <c r="M29" s="588">
        <v>15836</v>
      </c>
      <c r="N29" s="571">
        <v>1</v>
      </c>
      <c r="O29" s="571">
        <v>74</v>
      </c>
      <c r="P29" s="588">
        <v>460</v>
      </c>
      <c r="Q29" s="588">
        <v>34040</v>
      </c>
      <c r="R29" s="576">
        <v>2.1495327102803738</v>
      </c>
      <c r="S29" s="589">
        <v>74</v>
      </c>
    </row>
    <row r="30" spans="1:19" ht="14.4" customHeight="1" x14ac:dyDescent="0.3">
      <c r="A30" s="570" t="s">
        <v>839</v>
      </c>
      <c r="B30" s="571" t="s">
        <v>840</v>
      </c>
      <c r="C30" s="571" t="s">
        <v>424</v>
      </c>
      <c r="D30" s="571" t="s">
        <v>830</v>
      </c>
      <c r="E30" s="571" t="s">
        <v>858</v>
      </c>
      <c r="F30" s="571" t="s">
        <v>888</v>
      </c>
      <c r="G30" s="571" t="s">
        <v>889</v>
      </c>
      <c r="H30" s="588">
        <v>1</v>
      </c>
      <c r="I30" s="588">
        <v>331</v>
      </c>
      <c r="J30" s="571">
        <v>0.4675141242937853</v>
      </c>
      <c r="K30" s="571">
        <v>331</v>
      </c>
      <c r="L30" s="588">
        <v>2</v>
      </c>
      <c r="M30" s="588">
        <v>708</v>
      </c>
      <c r="N30" s="571">
        <v>1</v>
      </c>
      <c r="O30" s="571">
        <v>354</v>
      </c>
      <c r="P30" s="588">
        <v>1</v>
      </c>
      <c r="Q30" s="588">
        <v>355</v>
      </c>
      <c r="R30" s="576">
        <v>0.50141242937853103</v>
      </c>
      <c r="S30" s="589">
        <v>355</v>
      </c>
    </row>
    <row r="31" spans="1:19" ht="14.4" customHeight="1" x14ac:dyDescent="0.3">
      <c r="A31" s="570" t="s">
        <v>839</v>
      </c>
      <c r="B31" s="571" t="s">
        <v>840</v>
      </c>
      <c r="C31" s="571" t="s">
        <v>424</v>
      </c>
      <c r="D31" s="571" t="s">
        <v>830</v>
      </c>
      <c r="E31" s="571" t="s">
        <v>858</v>
      </c>
      <c r="F31" s="571" t="s">
        <v>890</v>
      </c>
      <c r="G31" s="571" t="s">
        <v>891</v>
      </c>
      <c r="H31" s="588">
        <v>1</v>
      </c>
      <c r="I31" s="588">
        <v>210</v>
      </c>
      <c r="J31" s="571">
        <v>0.94594594594594594</v>
      </c>
      <c r="K31" s="571">
        <v>210</v>
      </c>
      <c r="L31" s="588">
        <v>1</v>
      </c>
      <c r="M31" s="588">
        <v>222</v>
      </c>
      <c r="N31" s="571">
        <v>1</v>
      </c>
      <c r="O31" s="571">
        <v>222</v>
      </c>
      <c r="P31" s="588">
        <v>1</v>
      </c>
      <c r="Q31" s="588">
        <v>223</v>
      </c>
      <c r="R31" s="576">
        <v>1.0045045045045045</v>
      </c>
      <c r="S31" s="589">
        <v>223</v>
      </c>
    </row>
    <row r="32" spans="1:19" ht="14.4" customHeight="1" x14ac:dyDescent="0.3">
      <c r="A32" s="570" t="s">
        <v>839</v>
      </c>
      <c r="B32" s="571" t="s">
        <v>840</v>
      </c>
      <c r="C32" s="571" t="s">
        <v>424</v>
      </c>
      <c r="D32" s="571" t="s">
        <v>830</v>
      </c>
      <c r="E32" s="571" t="s">
        <v>858</v>
      </c>
      <c r="F32" s="571" t="s">
        <v>892</v>
      </c>
      <c r="G32" s="571" t="s">
        <v>893</v>
      </c>
      <c r="H32" s="588">
        <v>388</v>
      </c>
      <c r="I32" s="588">
        <v>29876</v>
      </c>
      <c r="J32" s="571">
        <v>1.2163009404388714</v>
      </c>
      <c r="K32" s="571">
        <v>77</v>
      </c>
      <c r="L32" s="588">
        <v>319</v>
      </c>
      <c r="M32" s="588">
        <v>24563</v>
      </c>
      <c r="N32" s="571">
        <v>1</v>
      </c>
      <c r="O32" s="571">
        <v>77</v>
      </c>
      <c r="P32" s="588">
        <v>354</v>
      </c>
      <c r="Q32" s="588">
        <v>27258</v>
      </c>
      <c r="R32" s="576">
        <v>1.109717868338558</v>
      </c>
      <c r="S32" s="589">
        <v>77</v>
      </c>
    </row>
    <row r="33" spans="1:19" ht="14.4" customHeight="1" x14ac:dyDescent="0.3">
      <c r="A33" s="570" t="s">
        <v>839</v>
      </c>
      <c r="B33" s="571" t="s">
        <v>840</v>
      </c>
      <c r="C33" s="571" t="s">
        <v>424</v>
      </c>
      <c r="D33" s="571" t="s">
        <v>830</v>
      </c>
      <c r="E33" s="571" t="s">
        <v>858</v>
      </c>
      <c r="F33" s="571" t="s">
        <v>894</v>
      </c>
      <c r="G33" s="571" t="s">
        <v>895</v>
      </c>
      <c r="H33" s="588">
        <v>36</v>
      </c>
      <c r="I33" s="588">
        <v>972</v>
      </c>
      <c r="J33" s="571">
        <v>0.46285714285714286</v>
      </c>
      <c r="K33" s="571">
        <v>27</v>
      </c>
      <c r="L33" s="588">
        <v>75</v>
      </c>
      <c r="M33" s="588">
        <v>2100</v>
      </c>
      <c r="N33" s="571">
        <v>1</v>
      </c>
      <c r="O33" s="571">
        <v>28</v>
      </c>
      <c r="P33" s="588">
        <v>96</v>
      </c>
      <c r="Q33" s="588">
        <v>2688</v>
      </c>
      <c r="R33" s="576">
        <v>1.28</v>
      </c>
      <c r="S33" s="589">
        <v>28</v>
      </c>
    </row>
    <row r="34" spans="1:19" ht="14.4" customHeight="1" x14ac:dyDescent="0.3">
      <c r="A34" s="570" t="s">
        <v>839</v>
      </c>
      <c r="B34" s="571" t="s">
        <v>840</v>
      </c>
      <c r="C34" s="571" t="s">
        <v>424</v>
      </c>
      <c r="D34" s="571" t="s">
        <v>830</v>
      </c>
      <c r="E34" s="571" t="s">
        <v>858</v>
      </c>
      <c r="F34" s="571" t="s">
        <v>896</v>
      </c>
      <c r="G34" s="571" t="s">
        <v>897</v>
      </c>
      <c r="H34" s="588">
        <v>111</v>
      </c>
      <c r="I34" s="588">
        <v>6327</v>
      </c>
      <c r="J34" s="571">
        <v>0.77708179808400879</v>
      </c>
      <c r="K34" s="571">
        <v>57</v>
      </c>
      <c r="L34" s="588">
        <v>138</v>
      </c>
      <c r="M34" s="588">
        <v>8142</v>
      </c>
      <c r="N34" s="571">
        <v>1</v>
      </c>
      <c r="O34" s="571">
        <v>59</v>
      </c>
      <c r="P34" s="588">
        <v>104</v>
      </c>
      <c r="Q34" s="588">
        <v>6136</v>
      </c>
      <c r="R34" s="576">
        <v>0.75362318840579712</v>
      </c>
      <c r="S34" s="589">
        <v>59</v>
      </c>
    </row>
    <row r="35" spans="1:19" ht="14.4" customHeight="1" x14ac:dyDescent="0.3">
      <c r="A35" s="570" t="s">
        <v>839</v>
      </c>
      <c r="B35" s="571" t="s">
        <v>840</v>
      </c>
      <c r="C35" s="571" t="s">
        <v>424</v>
      </c>
      <c r="D35" s="571" t="s">
        <v>830</v>
      </c>
      <c r="E35" s="571" t="s">
        <v>858</v>
      </c>
      <c r="F35" s="571" t="s">
        <v>898</v>
      </c>
      <c r="G35" s="571"/>
      <c r="H35" s="588">
        <v>136</v>
      </c>
      <c r="I35" s="588">
        <v>33048</v>
      </c>
      <c r="J35" s="571"/>
      <c r="K35" s="571">
        <v>243</v>
      </c>
      <c r="L35" s="588"/>
      <c r="M35" s="588"/>
      <c r="N35" s="571"/>
      <c r="O35" s="571"/>
      <c r="P35" s="588"/>
      <c r="Q35" s="588"/>
      <c r="R35" s="576"/>
      <c r="S35" s="589"/>
    </row>
    <row r="36" spans="1:19" ht="14.4" customHeight="1" x14ac:dyDescent="0.3">
      <c r="A36" s="570" t="s">
        <v>839</v>
      </c>
      <c r="B36" s="571" t="s">
        <v>840</v>
      </c>
      <c r="C36" s="571" t="s">
        <v>424</v>
      </c>
      <c r="D36" s="571" t="s">
        <v>830</v>
      </c>
      <c r="E36" s="571" t="s">
        <v>858</v>
      </c>
      <c r="F36" s="571" t="s">
        <v>899</v>
      </c>
      <c r="G36" s="571" t="s">
        <v>900</v>
      </c>
      <c r="H36" s="588">
        <v>1</v>
      </c>
      <c r="I36" s="588">
        <v>653</v>
      </c>
      <c r="J36" s="571"/>
      <c r="K36" s="571">
        <v>653</v>
      </c>
      <c r="L36" s="588"/>
      <c r="M36" s="588"/>
      <c r="N36" s="571"/>
      <c r="O36" s="571"/>
      <c r="P36" s="588"/>
      <c r="Q36" s="588"/>
      <c r="R36" s="576"/>
      <c r="S36" s="589"/>
    </row>
    <row r="37" spans="1:19" ht="14.4" customHeight="1" x14ac:dyDescent="0.3">
      <c r="A37" s="570" t="s">
        <v>839</v>
      </c>
      <c r="B37" s="571" t="s">
        <v>840</v>
      </c>
      <c r="C37" s="571" t="s">
        <v>424</v>
      </c>
      <c r="D37" s="571" t="s">
        <v>830</v>
      </c>
      <c r="E37" s="571" t="s">
        <v>858</v>
      </c>
      <c r="F37" s="571" t="s">
        <v>901</v>
      </c>
      <c r="G37" s="571" t="s">
        <v>902</v>
      </c>
      <c r="H37" s="588">
        <v>4</v>
      </c>
      <c r="I37" s="588">
        <v>860</v>
      </c>
      <c r="J37" s="571">
        <v>3.722943722943723</v>
      </c>
      <c r="K37" s="571">
        <v>215</v>
      </c>
      <c r="L37" s="588">
        <v>1</v>
      </c>
      <c r="M37" s="588">
        <v>231</v>
      </c>
      <c r="N37" s="571">
        <v>1</v>
      </c>
      <c r="O37" s="571">
        <v>231</v>
      </c>
      <c r="P37" s="588">
        <v>15</v>
      </c>
      <c r="Q37" s="588">
        <v>3465</v>
      </c>
      <c r="R37" s="576">
        <v>15</v>
      </c>
      <c r="S37" s="589">
        <v>231</v>
      </c>
    </row>
    <row r="38" spans="1:19" ht="14.4" customHeight="1" x14ac:dyDescent="0.3">
      <c r="A38" s="570" t="s">
        <v>839</v>
      </c>
      <c r="B38" s="571" t="s">
        <v>840</v>
      </c>
      <c r="C38" s="571" t="s">
        <v>424</v>
      </c>
      <c r="D38" s="571" t="s">
        <v>830</v>
      </c>
      <c r="E38" s="571" t="s">
        <v>858</v>
      </c>
      <c r="F38" s="571" t="s">
        <v>903</v>
      </c>
      <c r="G38" s="571" t="s">
        <v>904</v>
      </c>
      <c r="H38" s="588"/>
      <c r="I38" s="588"/>
      <c r="J38" s="571"/>
      <c r="K38" s="571"/>
      <c r="L38" s="588">
        <v>59</v>
      </c>
      <c r="M38" s="588">
        <v>27848</v>
      </c>
      <c r="N38" s="571">
        <v>1</v>
      </c>
      <c r="O38" s="571">
        <v>472</v>
      </c>
      <c r="P38" s="588">
        <v>90</v>
      </c>
      <c r="Q38" s="588">
        <v>42570</v>
      </c>
      <c r="R38" s="576">
        <v>1.5286555587474864</v>
      </c>
      <c r="S38" s="589">
        <v>473</v>
      </c>
    </row>
    <row r="39" spans="1:19" ht="14.4" customHeight="1" x14ac:dyDescent="0.3">
      <c r="A39" s="570" t="s">
        <v>839</v>
      </c>
      <c r="B39" s="571" t="s">
        <v>840</v>
      </c>
      <c r="C39" s="571" t="s">
        <v>424</v>
      </c>
      <c r="D39" s="571" t="s">
        <v>518</v>
      </c>
      <c r="E39" s="571" t="s">
        <v>841</v>
      </c>
      <c r="F39" s="571" t="s">
        <v>842</v>
      </c>
      <c r="G39" s="571" t="s">
        <v>843</v>
      </c>
      <c r="H39" s="588">
        <v>252.40000000000003</v>
      </c>
      <c r="I39" s="588">
        <v>13654.84</v>
      </c>
      <c r="J39" s="571">
        <v>0.98363211223694458</v>
      </c>
      <c r="K39" s="571">
        <v>54.099999999999994</v>
      </c>
      <c r="L39" s="588">
        <v>256.60000000000002</v>
      </c>
      <c r="M39" s="588">
        <v>13882.060000000001</v>
      </c>
      <c r="N39" s="571">
        <v>1</v>
      </c>
      <c r="O39" s="571">
        <v>54.1</v>
      </c>
      <c r="P39" s="588">
        <v>229.44</v>
      </c>
      <c r="Q39" s="588">
        <v>12412.64</v>
      </c>
      <c r="R39" s="576">
        <v>0.89414971553213274</v>
      </c>
      <c r="S39" s="589">
        <v>54.099721059972104</v>
      </c>
    </row>
    <row r="40" spans="1:19" ht="14.4" customHeight="1" x14ac:dyDescent="0.3">
      <c r="A40" s="570" t="s">
        <v>839</v>
      </c>
      <c r="B40" s="571" t="s">
        <v>840</v>
      </c>
      <c r="C40" s="571" t="s">
        <v>424</v>
      </c>
      <c r="D40" s="571" t="s">
        <v>518</v>
      </c>
      <c r="E40" s="571" t="s">
        <v>841</v>
      </c>
      <c r="F40" s="571" t="s">
        <v>844</v>
      </c>
      <c r="G40" s="571" t="s">
        <v>845</v>
      </c>
      <c r="H40" s="588">
        <v>3.2</v>
      </c>
      <c r="I40" s="588">
        <v>346.4</v>
      </c>
      <c r="J40" s="571"/>
      <c r="K40" s="571">
        <v>108.24999999999999</v>
      </c>
      <c r="L40" s="588"/>
      <c r="M40" s="588"/>
      <c r="N40" s="571"/>
      <c r="O40" s="571"/>
      <c r="P40" s="588"/>
      <c r="Q40" s="588"/>
      <c r="R40" s="576"/>
      <c r="S40" s="589"/>
    </row>
    <row r="41" spans="1:19" ht="14.4" customHeight="1" x14ac:dyDescent="0.3">
      <c r="A41" s="570" t="s">
        <v>839</v>
      </c>
      <c r="B41" s="571" t="s">
        <v>840</v>
      </c>
      <c r="C41" s="571" t="s">
        <v>424</v>
      </c>
      <c r="D41" s="571" t="s">
        <v>518</v>
      </c>
      <c r="E41" s="571" t="s">
        <v>841</v>
      </c>
      <c r="F41" s="571" t="s">
        <v>846</v>
      </c>
      <c r="G41" s="571" t="s">
        <v>457</v>
      </c>
      <c r="H41" s="588"/>
      <c r="I41" s="588"/>
      <c r="J41" s="571"/>
      <c r="K41" s="571"/>
      <c r="L41" s="588"/>
      <c r="M41" s="588"/>
      <c r="N41" s="571"/>
      <c r="O41" s="571"/>
      <c r="P41" s="588">
        <v>2</v>
      </c>
      <c r="Q41" s="588">
        <v>276.39999999999998</v>
      </c>
      <c r="R41" s="576"/>
      <c r="S41" s="589">
        <v>138.19999999999999</v>
      </c>
    </row>
    <row r="42" spans="1:19" ht="14.4" customHeight="1" x14ac:dyDescent="0.3">
      <c r="A42" s="570" t="s">
        <v>839</v>
      </c>
      <c r="B42" s="571" t="s">
        <v>840</v>
      </c>
      <c r="C42" s="571" t="s">
        <v>424</v>
      </c>
      <c r="D42" s="571" t="s">
        <v>518</v>
      </c>
      <c r="E42" s="571" t="s">
        <v>841</v>
      </c>
      <c r="F42" s="571" t="s">
        <v>847</v>
      </c>
      <c r="G42" s="571" t="s">
        <v>501</v>
      </c>
      <c r="H42" s="588">
        <v>12.399999999999999</v>
      </c>
      <c r="I42" s="588">
        <v>792.88</v>
      </c>
      <c r="J42" s="571">
        <v>1.0248694483222172</v>
      </c>
      <c r="K42" s="571">
        <v>63.941935483870978</v>
      </c>
      <c r="L42" s="588">
        <v>12.6</v>
      </c>
      <c r="M42" s="588">
        <v>773.64</v>
      </c>
      <c r="N42" s="571">
        <v>1</v>
      </c>
      <c r="O42" s="571">
        <v>61.4</v>
      </c>
      <c r="P42" s="588">
        <v>12.7</v>
      </c>
      <c r="Q42" s="588">
        <v>780.46999999999991</v>
      </c>
      <c r="R42" s="576">
        <v>1.0088283956362132</v>
      </c>
      <c r="S42" s="589">
        <v>61.454330708661416</v>
      </c>
    </row>
    <row r="43" spans="1:19" ht="14.4" customHeight="1" x14ac:dyDescent="0.3">
      <c r="A43" s="570" t="s">
        <v>839</v>
      </c>
      <c r="B43" s="571" t="s">
        <v>840</v>
      </c>
      <c r="C43" s="571" t="s">
        <v>424</v>
      </c>
      <c r="D43" s="571" t="s">
        <v>518</v>
      </c>
      <c r="E43" s="571" t="s">
        <v>841</v>
      </c>
      <c r="F43" s="571" t="s">
        <v>848</v>
      </c>
      <c r="G43" s="571" t="s">
        <v>849</v>
      </c>
      <c r="H43" s="588">
        <v>0.8</v>
      </c>
      <c r="I43" s="588">
        <v>41.12</v>
      </c>
      <c r="J43" s="571"/>
      <c r="K43" s="571">
        <v>51.399999999999991</v>
      </c>
      <c r="L43" s="588"/>
      <c r="M43" s="588"/>
      <c r="N43" s="571"/>
      <c r="O43" s="571"/>
      <c r="P43" s="588"/>
      <c r="Q43" s="588"/>
      <c r="R43" s="576"/>
      <c r="S43" s="589"/>
    </row>
    <row r="44" spans="1:19" ht="14.4" customHeight="1" x14ac:dyDescent="0.3">
      <c r="A44" s="570" t="s">
        <v>839</v>
      </c>
      <c r="B44" s="571" t="s">
        <v>840</v>
      </c>
      <c r="C44" s="571" t="s">
        <v>424</v>
      </c>
      <c r="D44" s="571" t="s">
        <v>518</v>
      </c>
      <c r="E44" s="571" t="s">
        <v>841</v>
      </c>
      <c r="F44" s="571" t="s">
        <v>850</v>
      </c>
      <c r="G44" s="571" t="s">
        <v>851</v>
      </c>
      <c r="H44" s="588">
        <v>13.1</v>
      </c>
      <c r="I44" s="588">
        <v>2285.5</v>
      </c>
      <c r="J44" s="571">
        <v>1.4189482833550631</v>
      </c>
      <c r="K44" s="571">
        <v>174.46564885496184</v>
      </c>
      <c r="L44" s="588">
        <v>9.1000000000000014</v>
      </c>
      <c r="M44" s="588">
        <v>1610.6999999999998</v>
      </c>
      <c r="N44" s="571">
        <v>1</v>
      </c>
      <c r="O44" s="571">
        <v>176.99999999999994</v>
      </c>
      <c r="P44" s="588">
        <v>7</v>
      </c>
      <c r="Q44" s="588">
        <v>1239</v>
      </c>
      <c r="R44" s="576">
        <v>0.76923076923076927</v>
      </c>
      <c r="S44" s="589">
        <v>177</v>
      </c>
    </row>
    <row r="45" spans="1:19" ht="14.4" customHeight="1" x14ac:dyDescent="0.3">
      <c r="A45" s="570" t="s">
        <v>839</v>
      </c>
      <c r="B45" s="571" t="s">
        <v>840</v>
      </c>
      <c r="C45" s="571" t="s">
        <v>424</v>
      </c>
      <c r="D45" s="571" t="s">
        <v>518</v>
      </c>
      <c r="E45" s="571" t="s">
        <v>841</v>
      </c>
      <c r="F45" s="571" t="s">
        <v>852</v>
      </c>
      <c r="G45" s="571" t="s">
        <v>853</v>
      </c>
      <c r="H45" s="588">
        <v>184</v>
      </c>
      <c r="I45" s="588">
        <v>10458.56</v>
      </c>
      <c r="J45" s="571">
        <v>1.3713698278077617</v>
      </c>
      <c r="K45" s="571">
        <v>56.839999999999996</v>
      </c>
      <c r="L45" s="588">
        <v>99</v>
      </c>
      <c r="M45" s="588">
        <v>7626.3599999999988</v>
      </c>
      <c r="N45" s="571">
        <v>1</v>
      </c>
      <c r="O45" s="571">
        <v>77.033939393939377</v>
      </c>
      <c r="P45" s="588"/>
      <c r="Q45" s="588"/>
      <c r="R45" s="576"/>
      <c r="S45" s="589"/>
    </row>
    <row r="46" spans="1:19" ht="14.4" customHeight="1" x14ac:dyDescent="0.3">
      <c r="A46" s="570" t="s">
        <v>839</v>
      </c>
      <c r="B46" s="571" t="s">
        <v>840</v>
      </c>
      <c r="C46" s="571" t="s">
        <v>424</v>
      </c>
      <c r="D46" s="571" t="s">
        <v>518</v>
      </c>
      <c r="E46" s="571" t="s">
        <v>841</v>
      </c>
      <c r="F46" s="571" t="s">
        <v>854</v>
      </c>
      <c r="G46" s="571" t="s">
        <v>855</v>
      </c>
      <c r="H46" s="588">
        <v>1246</v>
      </c>
      <c r="I46" s="588">
        <v>4510.5200000000004</v>
      </c>
      <c r="J46" s="571">
        <v>1.457865749599214</v>
      </c>
      <c r="K46" s="571">
        <v>3.6200000000000006</v>
      </c>
      <c r="L46" s="588">
        <v>1268</v>
      </c>
      <c r="M46" s="588">
        <v>3093.92</v>
      </c>
      <c r="N46" s="571">
        <v>1</v>
      </c>
      <c r="O46" s="571">
        <v>2.44</v>
      </c>
      <c r="P46" s="588"/>
      <c r="Q46" s="588"/>
      <c r="R46" s="576"/>
      <c r="S46" s="589"/>
    </row>
    <row r="47" spans="1:19" ht="14.4" customHeight="1" x14ac:dyDescent="0.3">
      <c r="A47" s="570" t="s">
        <v>839</v>
      </c>
      <c r="B47" s="571" t="s">
        <v>840</v>
      </c>
      <c r="C47" s="571" t="s">
        <v>424</v>
      </c>
      <c r="D47" s="571" t="s">
        <v>518</v>
      </c>
      <c r="E47" s="571" t="s">
        <v>841</v>
      </c>
      <c r="F47" s="571" t="s">
        <v>856</v>
      </c>
      <c r="G47" s="571" t="s">
        <v>443</v>
      </c>
      <c r="H47" s="588"/>
      <c r="I47" s="588"/>
      <c r="J47" s="571"/>
      <c r="K47" s="571"/>
      <c r="L47" s="588"/>
      <c r="M47" s="588"/>
      <c r="N47" s="571"/>
      <c r="O47" s="571"/>
      <c r="P47" s="588">
        <v>60.350000000000009</v>
      </c>
      <c r="Q47" s="588">
        <v>289.68</v>
      </c>
      <c r="R47" s="576"/>
      <c r="S47" s="589">
        <v>4.8</v>
      </c>
    </row>
    <row r="48" spans="1:19" ht="14.4" customHeight="1" x14ac:dyDescent="0.3">
      <c r="A48" s="570" t="s">
        <v>839</v>
      </c>
      <c r="B48" s="571" t="s">
        <v>840</v>
      </c>
      <c r="C48" s="571" t="s">
        <v>424</v>
      </c>
      <c r="D48" s="571" t="s">
        <v>518</v>
      </c>
      <c r="E48" s="571" t="s">
        <v>841</v>
      </c>
      <c r="F48" s="571" t="s">
        <v>857</v>
      </c>
      <c r="G48" s="571" t="s">
        <v>853</v>
      </c>
      <c r="H48" s="588"/>
      <c r="I48" s="588"/>
      <c r="J48" s="571"/>
      <c r="K48" s="571"/>
      <c r="L48" s="588"/>
      <c r="M48" s="588"/>
      <c r="N48" s="571"/>
      <c r="O48" s="571"/>
      <c r="P48" s="588">
        <v>59</v>
      </c>
      <c r="Q48" s="588">
        <v>6161.96</v>
      </c>
      <c r="R48" s="576"/>
      <c r="S48" s="589">
        <v>104.44</v>
      </c>
    </row>
    <row r="49" spans="1:19" ht="14.4" customHeight="1" x14ac:dyDescent="0.3">
      <c r="A49" s="570" t="s">
        <v>839</v>
      </c>
      <c r="B49" s="571" t="s">
        <v>840</v>
      </c>
      <c r="C49" s="571" t="s">
        <v>424</v>
      </c>
      <c r="D49" s="571" t="s">
        <v>518</v>
      </c>
      <c r="E49" s="571" t="s">
        <v>858</v>
      </c>
      <c r="F49" s="571" t="s">
        <v>859</v>
      </c>
      <c r="G49" s="571" t="s">
        <v>860</v>
      </c>
      <c r="H49" s="588"/>
      <c r="I49" s="588"/>
      <c r="J49" s="571"/>
      <c r="K49" s="571"/>
      <c r="L49" s="588"/>
      <c r="M49" s="588"/>
      <c r="N49" s="571"/>
      <c r="O49" s="571"/>
      <c r="P49" s="588">
        <v>1</v>
      </c>
      <c r="Q49" s="588">
        <v>183</v>
      </c>
      <c r="R49" s="576"/>
      <c r="S49" s="589">
        <v>183</v>
      </c>
    </row>
    <row r="50" spans="1:19" ht="14.4" customHeight="1" x14ac:dyDescent="0.3">
      <c r="A50" s="570" t="s">
        <v>839</v>
      </c>
      <c r="B50" s="571" t="s">
        <v>840</v>
      </c>
      <c r="C50" s="571" t="s">
        <v>424</v>
      </c>
      <c r="D50" s="571" t="s">
        <v>518</v>
      </c>
      <c r="E50" s="571" t="s">
        <v>858</v>
      </c>
      <c r="F50" s="571" t="s">
        <v>861</v>
      </c>
      <c r="G50" s="571" t="s">
        <v>862</v>
      </c>
      <c r="H50" s="588">
        <v>8</v>
      </c>
      <c r="I50" s="588">
        <v>904</v>
      </c>
      <c r="J50" s="571">
        <v>0.30874316939890711</v>
      </c>
      <c r="K50" s="571">
        <v>113</v>
      </c>
      <c r="L50" s="588">
        <v>24</v>
      </c>
      <c r="M50" s="588">
        <v>2928</v>
      </c>
      <c r="N50" s="571">
        <v>1</v>
      </c>
      <c r="O50" s="571">
        <v>122</v>
      </c>
      <c r="P50" s="588">
        <v>18</v>
      </c>
      <c r="Q50" s="588">
        <v>2196</v>
      </c>
      <c r="R50" s="576">
        <v>0.75</v>
      </c>
      <c r="S50" s="589">
        <v>122</v>
      </c>
    </row>
    <row r="51" spans="1:19" ht="14.4" customHeight="1" x14ac:dyDescent="0.3">
      <c r="A51" s="570" t="s">
        <v>839</v>
      </c>
      <c r="B51" s="571" t="s">
        <v>840</v>
      </c>
      <c r="C51" s="571" t="s">
        <v>424</v>
      </c>
      <c r="D51" s="571" t="s">
        <v>518</v>
      </c>
      <c r="E51" s="571" t="s">
        <v>858</v>
      </c>
      <c r="F51" s="571" t="s">
        <v>863</v>
      </c>
      <c r="G51" s="571" t="s">
        <v>864</v>
      </c>
      <c r="H51" s="588">
        <v>1319</v>
      </c>
      <c r="I51" s="588">
        <v>46165</v>
      </c>
      <c r="J51" s="571">
        <v>1.0062118570183087</v>
      </c>
      <c r="K51" s="571">
        <v>35</v>
      </c>
      <c r="L51" s="588">
        <v>1240</v>
      </c>
      <c r="M51" s="588">
        <v>45880</v>
      </c>
      <c r="N51" s="571">
        <v>1</v>
      </c>
      <c r="O51" s="571">
        <v>37</v>
      </c>
      <c r="P51" s="588">
        <v>1206</v>
      </c>
      <c r="Q51" s="588">
        <v>44622</v>
      </c>
      <c r="R51" s="576">
        <v>0.97258064516129028</v>
      </c>
      <c r="S51" s="589">
        <v>37</v>
      </c>
    </row>
    <row r="52" spans="1:19" ht="14.4" customHeight="1" x14ac:dyDescent="0.3">
      <c r="A52" s="570" t="s">
        <v>839</v>
      </c>
      <c r="B52" s="571" t="s">
        <v>840</v>
      </c>
      <c r="C52" s="571" t="s">
        <v>424</v>
      </c>
      <c r="D52" s="571" t="s">
        <v>518</v>
      </c>
      <c r="E52" s="571" t="s">
        <v>858</v>
      </c>
      <c r="F52" s="571" t="s">
        <v>865</v>
      </c>
      <c r="G52" s="571" t="s">
        <v>866</v>
      </c>
      <c r="H52" s="588">
        <v>57</v>
      </c>
      <c r="I52" s="588">
        <v>570</v>
      </c>
      <c r="J52" s="571">
        <v>1.5</v>
      </c>
      <c r="K52" s="571">
        <v>10</v>
      </c>
      <c r="L52" s="588">
        <v>38</v>
      </c>
      <c r="M52" s="588">
        <v>380</v>
      </c>
      <c r="N52" s="571">
        <v>1</v>
      </c>
      <c r="O52" s="571">
        <v>10</v>
      </c>
      <c r="P52" s="588">
        <v>79</v>
      </c>
      <c r="Q52" s="588">
        <v>790</v>
      </c>
      <c r="R52" s="576">
        <v>2.0789473684210527</v>
      </c>
      <c r="S52" s="589">
        <v>10</v>
      </c>
    </row>
    <row r="53" spans="1:19" ht="14.4" customHeight="1" x14ac:dyDescent="0.3">
      <c r="A53" s="570" t="s">
        <v>839</v>
      </c>
      <c r="B53" s="571" t="s">
        <v>840</v>
      </c>
      <c r="C53" s="571" t="s">
        <v>424</v>
      </c>
      <c r="D53" s="571" t="s">
        <v>518</v>
      </c>
      <c r="E53" s="571" t="s">
        <v>858</v>
      </c>
      <c r="F53" s="571" t="s">
        <v>867</v>
      </c>
      <c r="G53" s="571" t="s">
        <v>868</v>
      </c>
      <c r="H53" s="588">
        <v>3</v>
      </c>
      <c r="I53" s="588">
        <v>15</v>
      </c>
      <c r="J53" s="571">
        <v>3</v>
      </c>
      <c r="K53" s="571">
        <v>5</v>
      </c>
      <c r="L53" s="588">
        <v>1</v>
      </c>
      <c r="M53" s="588">
        <v>5</v>
      </c>
      <c r="N53" s="571">
        <v>1</v>
      </c>
      <c r="O53" s="571">
        <v>5</v>
      </c>
      <c r="P53" s="588">
        <v>14</v>
      </c>
      <c r="Q53" s="588">
        <v>70</v>
      </c>
      <c r="R53" s="576">
        <v>14</v>
      </c>
      <c r="S53" s="589">
        <v>5</v>
      </c>
    </row>
    <row r="54" spans="1:19" ht="14.4" customHeight="1" x14ac:dyDescent="0.3">
      <c r="A54" s="570" t="s">
        <v>839</v>
      </c>
      <c r="B54" s="571" t="s">
        <v>840</v>
      </c>
      <c r="C54" s="571" t="s">
        <v>424</v>
      </c>
      <c r="D54" s="571" t="s">
        <v>518</v>
      </c>
      <c r="E54" s="571" t="s">
        <v>858</v>
      </c>
      <c r="F54" s="571" t="s">
        <v>869</v>
      </c>
      <c r="G54" s="571" t="s">
        <v>870</v>
      </c>
      <c r="H54" s="588">
        <v>12</v>
      </c>
      <c r="I54" s="588">
        <v>60</v>
      </c>
      <c r="J54" s="571">
        <v>1.2</v>
      </c>
      <c r="K54" s="571">
        <v>5</v>
      </c>
      <c r="L54" s="588">
        <v>10</v>
      </c>
      <c r="M54" s="588">
        <v>50</v>
      </c>
      <c r="N54" s="571">
        <v>1</v>
      </c>
      <c r="O54" s="571">
        <v>5</v>
      </c>
      <c r="P54" s="588">
        <v>15</v>
      </c>
      <c r="Q54" s="588">
        <v>75</v>
      </c>
      <c r="R54" s="576">
        <v>1.5</v>
      </c>
      <c r="S54" s="589">
        <v>5</v>
      </c>
    </row>
    <row r="55" spans="1:19" ht="14.4" customHeight="1" x14ac:dyDescent="0.3">
      <c r="A55" s="570" t="s">
        <v>839</v>
      </c>
      <c r="B55" s="571" t="s">
        <v>840</v>
      </c>
      <c r="C55" s="571" t="s">
        <v>424</v>
      </c>
      <c r="D55" s="571" t="s">
        <v>518</v>
      </c>
      <c r="E55" s="571" t="s">
        <v>858</v>
      </c>
      <c r="F55" s="571" t="s">
        <v>871</v>
      </c>
      <c r="G55" s="571" t="s">
        <v>872</v>
      </c>
      <c r="H55" s="588">
        <v>4</v>
      </c>
      <c r="I55" s="588">
        <v>280</v>
      </c>
      <c r="J55" s="571">
        <v>8.5995085995085999E-2</v>
      </c>
      <c r="K55" s="571">
        <v>70</v>
      </c>
      <c r="L55" s="588">
        <v>44</v>
      </c>
      <c r="M55" s="588">
        <v>3256</v>
      </c>
      <c r="N55" s="571">
        <v>1</v>
      </c>
      <c r="O55" s="571">
        <v>74</v>
      </c>
      <c r="P55" s="588">
        <v>109</v>
      </c>
      <c r="Q55" s="588">
        <v>8066</v>
      </c>
      <c r="R55" s="576">
        <v>2.4772727272727271</v>
      </c>
      <c r="S55" s="589">
        <v>74</v>
      </c>
    </row>
    <row r="56" spans="1:19" ht="14.4" customHeight="1" x14ac:dyDescent="0.3">
      <c r="A56" s="570" t="s">
        <v>839</v>
      </c>
      <c r="B56" s="571" t="s">
        <v>840</v>
      </c>
      <c r="C56" s="571" t="s">
        <v>424</v>
      </c>
      <c r="D56" s="571" t="s">
        <v>518</v>
      </c>
      <c r="E56" s="571" t="s">
        <v>858</v>
      </c>
      <c r="F56" s="571" t="s">
        <v>876</v>
      </c>
      <c r="G56" s="571" t="s">
        <v>877</v>
      </c>
      <c r="H56" s="588">
        <v>146</v>
      </c>
      <c r="I56" s="588">
        <v>24090</v>
      </c>
      <c r="J56" s="571">
        <v>0.98624416605256693</v>
      </c>
      <c r="K56" s="571">
        <v>165</v>
      </c>
      <c r="L56" s="588">
        <v>138</v>
      </c>
      <c r="M56" s="588">
        <v>24426</v>
      </c>
      <c r="N56" s="571">
        <v>1</v>
      </c>
      <c r="O56" s="571">
        <v>177</v>
      </c>
      <c r="P56" s="588">
        <v>152</v>
      </c>
      <c r="Q56" s="588">
        <v>26904</v>
      </c>
      <c r="R56" s="576">
        <v>1.1014492753623188</v>
      </c>
      <c r="S56" s="589">
        <v>177</v>
      </c>
    </row>
    <row r="57" spans="1:19" ht="14.4" customHeight="1" x14ac:dyDescent="0.3">
      <c r="A57" s="570" t="s">
        <v>839</v>
      </c>
      <c r="B57" s="571" t="s">
        <v>840</v>
      </c>
      <c r="C57" s="571" t="s">
        <v>424</v>
      </c>
      <c r="D57" s="571" t="s">
        <v>518</v>
      </c>
      <c r="E57" s="571" t="s">
        <v>858</v>
      </c>
      <c r="F57" s="571" t="s">
        <v>878</v>
      </c>
      <c r="G57" s="571" t="s">
        <v>879</v>
      </c>
      <c r="H57" s="588">
        <v>1</v>
      </c>
      <c r="I57" s="588">
        <v>171</v>
      </c>
      <c r="J57" s="571">
        <v>0.95530726256983245</v>
      </c>
      <c r="K57" s="571">
        <v>171</v>
      </c>
      <c r="L57" s="588">
        <v>1</v>
      </c>
      <c r="M57" s="588">
        <v>179</v>
      </c>
      <c r="N57" s="571">
        <v>1</v>
      </c>
      <c r="O57" s="571">
        <v>179</v>
      </c>
      <c r="P57" s="588">
        <v>1</v>
      </c>
      <c r="Q57" s="588">
        <v>272</v>
      </c>
      <c r="R57" s="576">
        <v>1.5195530726256983</v>
      </c>
      <c r="S57" s="589">
        <v>272</v>
      </c>
    </row>
    <row r="58" spans="1:19" ht="14.4" customHeight="1" x14ac:dyDescent="0.3">
      <c r="A58" s="570" t="s">
        <v>839</v>
      </c>
      <c r="B58" s="571" t="s">
        <v>840</v>
      </c>
      <c r="C58" s="571" t="s">
        <v>424</v>
      </c>
      <c r="D58" s="571" t="s">
        <v>518</v>
      </c>
      <c r="E58" s="571" t="s">
        <v>858</v>
      </c>
      <c r="F58" s="571" t="s">
        <v>880</v>
      </c>
      <c r="G58" s="571" t="s">
        <v>881</v>
      </c>
      <c r="H58" s="588">
        <v>57</v>
      </c>
      <c r="I58" s="588">
        <v>1166.6599999999999</v>
      </c>
      <c r="J58" s="571">
        <v>0.18229034017134346</v>
      </c>
      <c r="K58" s="571">
        <v>20.467719298245612</v>
      </c>
      <c r="L58" s="588">
        <v>192</v>
      </c>
      <c r="M58" s="588">
        <v>6400.01</v>
      </c>
      <c r="N58" s="571">
        <v>1</v>
      </c>
      <c r="O58" s="571">
        <v>33.333385416666665</v>
      </c>
      <c r="P58" s="588">
        <v>241</v>
      </c>
      <c r="Q58" s="588">
        <v>8033.32</v>
      </c>
      <c r="R58" s="576">
        <v>1.2552042887432988</v>
      </c>
      <c r="S58" s="589">
        <v>33.333278008298755</v>
      </c>
    </row>
    <row r="59" spans="1:19" ht="14.4" customHeight="1" x14ac:dyDescent="0.3">
      <c r="A59" s="570" t="s">
        <v>839</v>
      </c>
      <c r="B59" s="571" t="s">
        <v>840</v>
      </c>
      <c r="C59" s="571" t="s">
        <v>424</v>
      </c>
      <c r="D59" s="571" t="s">
        <v>518</v>
      </c>
      <c r="E59" s="571" t="s">
        <v>858</v>
      </c>
      <c r="F59" s="571" t="s">
        <v>882</v>
      </c>
      <c r="G59" s="571" t="s">
        <v>883</v>
      </c>
      <c r="H59" s="588">
        <v>1</v>
      </c>
      <c r="I59" s="588">
        <v>36</v>
      </c>
      <c r="J59" s="571">
        <v>0.10810810810810811</v>
      </c>
      <c r="K59" s="571">
        <v>36</v>
      </c>
      <c r="L59" s="588">
        <v>9</v>
      </c>
      <c r="M59" s="588">
        <v>333</v>
      </c>
      <c r="N59" s="571">
        <v>1</v>
      </c>
      <c r="O59" s="571">
        <v>37</v>
      </c>
      <c r="P59" s="588">
        <v>1</v>
      </c>
      <c r="Q59" s="588">
        <v>37</v>
      </c>
      <c r="R59" s="576">
        <v>0.1111111111111111</v>
      </c>
      <c r="S59" s="589">
        <v>37</v>
      </c>
    </row>
    <row r="60" spans="1:19" ht="14.4" customHeight="1" x14ac:dyDescent="0.3">
      <c r="A60" s="570" t="s">
        <v>839</v>
      </c>
      <c r="B60" s="571" t="s">
        <v>840</v>
      </c>
      <c r="C60" s="571" t="s">
        <v>424</v>
      </c>
      <c r="D60" s="571" t="s">
        <v>518</v>
      </c>
      <c r="E60" s="571" t="s">
        <v>858</v>
      </c>
      <c r="F60" s="571" t="s">
        <v>884</v>
      </c>
      <c r="G60" s="571" t="s">
        <v>885</v>
      </c>
      <c r="H60" s="588">
        <v>1426</v>
      </c>
      <c r="I60" s="588">
        <v>183954</v>
      </c>
      <c r="J60" s="571">
        <v>1.0294934073560027</v>
      </c>
      <c r="K60" s="571">
        <v>129</v>
      </c>
      <c r="L60" s="588">
        <v>1364</v>
      </c>
      <c r="M60" s="588">
        <v>178684</v>
      </c>
      <c r="N60" s="571">
        <v>1</v>
      </c>
      <c r="O60" s="571">
        <v>131</v>
      </c>
      <c r="P60" s="588">
        <v>1341</v>
      </c>
      <c r="Q60" s="588">
        <v>177012</v>
      </c>
      <c r="R60" s="576">
        <v>0.99064269884264955</v>
      </c>
      <c r="S60" s="589">
        <v>132</v>
      </c>
    </row>
    <row r="61" spans="1:19" ht="14.4" customHeight="1" x14ac:dyDescent="0.3">
      <c r="A61" s="570" t="s">
        <v>839</v>
      </c>
      <c r="B61" s="571" t="s">
        <v>840</v>
      </c>
      <c r="C61" s="571" t="s">
        <v>424</v>
      </c>
      <c r="D61" s="571" t="s">
        <v>518</v>
      </c>
      <c r="E61" s="571" t="s">
        <v>858</v>
      </c>
      <c r="F61" s="571" t="s">
        <v>886</v>
      </c>
      <c r="G61" s="571" t="s">
        <v>887</v>
      </c>
      <c r="H61" s="588">
        <v>13</v>
      </c>
      <c r="I61" s="588">
        <v>910</v>
      </c>
      <c r="J61" s="571">
        <v>0.45545545545545546</v>
      </c>
      <c r="K61" s="571">
        <v>70</v>
      </c>
      <c r="L61" s="588">
        <v>27</v>
      </c>
      <c r="M61" s="588">
        <v>1998</v>
      </c>
      <c r="N61" s="571">
        <v>1</v>
      </c>
      <c r="O61" s="571">
        <v>74</v>
      </c>
      <c r="P61" s="588">
        <v>32</v>
      </c>
      <c r="Q61" s="588">
        <v>2368</v>
      </c>
      <c r="R61" s="576">
        <v>1.1851851851851851</v>
      </c>
      <c r="S61" s="589">
        <v>74</v>
      </c>
    </row>
    <row r="62" spans="1:19" ht="14.4" customHeight="1" x14ac:dyDescent="0.3">
      <c r="A62" s="570" t="s">
        <v>839</v>
      </c>
      <c r="B62" s="571" t="s">
        <v>840</v>
      </c>
      <c r="C62" s="571" t="s">
        <v>424</v>
      </c>
      <c r="D62" s="571" t="s">
        <v>518</v>
      </c>
      <c r="E62" s="571" t="s">
        <v>858</v>
      </c>
      <c r="F62" s="571" t="s">
        <v>888</v>
      </c>
      <c r="G62" s="571" t="s">
        <v>889</v>
      </c>
      <c r="H62" s="588">
        <v>48</v>
      </c>
      <c r="I62" s="588">
        <v>15888</v>
      </c>
      <c r="J62" s="571">
        <v>1.2467043314500941</v>
      </c>
      <c r="K62" s="571">
        <v>331</v>
      </c>
      <c r="L62" s="588">
        <v>36</v>
      </c>
      <c r="M62" s="588">
        <v>12744</v>
      </c>
      <c r="N62" s="571">
        <v>1</v>
      </c>
      <c r="O62" s="571">
        <v>354</v>
      </c>
      <c r="P62" s="588">
        <v>66</v>
      </c>
      <c r="Q62" s="588">
        <v>23430</v>
      </c>
      <c r="R62" s="576">
        <v>1.838512241054614</v>
      </c>
      <c r="S62" s="589">
        <v>355</v>
      </c>
    </row>
    <row r="63" spans="1:19" ht="14.4" customHeight="1" x14ac:dyDescent="0.3">
      <c r="A63" s="570" t="s">
        <v>839</v>
      </c>
      <c r="B63" s="571" t="s">
        <v>840</v>
      </c>
      <c r="C63" s="571" t="s">
        <v>424</v>
      </c>
      <c r="D63" s="571" t="s">
        <v>518</v>
      </c>
      <c r="E63" s="571" t="s">
        <v>858</v>
      </c>
      <c r="F63" s="571" t="s">
        <v>890</v>
      </c>
      <c r="G63" s="571" t="s">
        <v>891</v>
      </c>
      <c r="H63" s="588">
        <v>68</v>
      </c>
      <c r="I63" s="588">
        <v>14280</v>
      </c>
      <c r="J63" s="571">
        <v>0.7068607068607069</v>
      </c>
      <c r="K63" s="571">
        <v>210</v>
      </c>
      <c r="L63" s="588">
        <v>91</v>
      </c>
      <c r="M63" s="588">
        <v>20202</v>
      </c>
      <c r="N63" s="571">
        <v>1</v>
      </c>
      <c r="O63" s="571">
        <v>222</v>
      </c>
      <c r="P63" s="588">
        <v>252</v>
      </c>
      <c r="Q63" s="588">
        <v>56196</v>
      </c>
      <c r="R63" s="576">
        <v>2.7817047817047817</v>
      </c>
      <c r="S63" s="589">
        <v>223</v>
      </c>
    </row>
    <row r="64" spans="1:19" ht="14.4" customHeight="1" x14ac:dyDescent="0.3">
      <c r="A64" s="570" t="s">
        <v>839</v>
      </c>
      <c r="B64" s="571" t="s">
        <v>840</v>
      </c>
      <c r="C64" s="571" t="s">
        <v>424</v>
      </c>
      <c r="D64" s="571" t="s">
        <v>518</v>
      </c>
      <c r="E64" s="571" t="s">
        <v>858</v>
      </c>
      <c r="F64" s="571" t="s">
        <v>892</v>
      </c>
      <c r="G64" s="571" t="s">
        <v>893</v>
      </c>
      <c r="H64" s="588">
        <v>10</v>
      </c>
      <c r="I64" s="588">
        <v>770</v>
      </c>
      <c r="J64" s="571">
        <v>0.4</v>
      </c>
      <c r="K64" s="571">
        <v>77</v>
      </c>
      <c r="L64" s="588">
        <v>25</v>
      </c>
      <c r="M64" s="588">
        <v>1925</v>
      </c>
      <c r="N64" s="571">
        <v>1</v>
      </c>
      <c r="O64" s="571">
        <v>77</v>
      </c>
      <c r="P64" s="588">
        <v>18</v>
      </c>
      <c r="Q64" s="588">
        <v>1386</v>
      </c>
      <c r="R64" s="576">
        <v>0.72</v>
      </c>
      <c r="S64" s="589">
        <v>77</v>
      </c>
    </row>
    <row r="65" spans="1:19" ht="14.4" customHeight="1" x14ac:dyDescent="0.3">
      <c r="A65" s="570" t="s">
        <v>839</v>
      </c>
      <c r="B65" s="571" t="s">
        <v>840</v>
      </c>
      <c r="C65" s="571" t="s">
        <v>424</v>
      </c>
      <c r="D65" s="571" t="s">
        <v>518</v>
      </c>
      <c r="E65" s="571" t="s">
        <v>858</v>
      </c>
      <c r="F65" s="571" t="s">
        <v>899</v>
      </c>
      <c r="G65" s="571" t="s">
        <v>900</v>
      </c>
      <c r="H65" s="588">
        <v>27</v>
      </c>
      <c r="I65" s="588">
        <v>17631</v>
      </c>
      <c r="J65" s="571">
        <v>1.2575606276747504</v>
      </c>
      <c r="K65" s="571">
        <v>653</v>
      </c>
      <c r="L65" s="588">
        <v>20</v>
      </c>
      <c r="M65" s="588">
        <v>14020</v>
      </c>
      <c r="N65" s="571">
        <v>1</v>
      </c>
      <c r="O65" s="571">
        <v>701</v>
      </c>
      <c r="P65" s="588">
        <v>23</v>
      </c>
      <c r="Q65" s="588">
        <v>16123</v>
      </c>
      <c r="R65" s="576">
        <v>1.1499999999999999</v>
      </c>
      <c r="S65" s="589">
        <v>701</v>
      </c>
    </row>
    <row r="66" spans="1:19" ht="14.4" customHeight="1" x14ac:dyDescent="0.3">
      <c r="A66" s="570" t="s">
        <v>839</v>
      </c>
      <c r="B66" s="571" t="s">
        <v>840</v>
      </c>
      <c r="C66" s="571" t="s">
        <v>424</v>
      </c>
      <c r="D66" s="571" t="s">
        <v>518</v>
      </c>
      <c r="E66" s="571" t="s">
        <v>858</v>
      </c>
      <c r="F66" s="571" t="s">
        <v>901</v>
      </c>
      <c r="G66" s="571" t="s">
        <v>902</v>
      </c>
      <c r="H66" s="588">
        <v>70</v>
      </c>
      <c r="I66" s="588">
        <v>15050</v>
      </c>
      <c r="J66" s="571">
        <v>1.0508308895405669</v>
      </c>
      <c r="K66" s="571">
        <v>215</v>
      </c>
      <c r="L66" s="588">
        <v>62</v>
      </c>
      <c r="M66" s="588">
        <v>14322</v>
      </c>
      <c r="N66" s="571">
        <v>1</v>
      </c>
      <c r="O66" s="571">
        <v>231</v>
      </c>
      <c r="P66" s="588">
        <v>89</v>
      </c>
      <c r="Q66" s="588">
        <v>20559</v>
      </c>
      <c r="R66" s="576">
        <v>1.435483870967742</v>
      </c>
      <c r="S66" s="589">
        <v>231</v>
      </c>
    </row>
    <row r="67" spans="1:19" ht="14.4" customHeight="1" x14ac:dyDescent="0.3">
      <c r="A67" s="570" t="s">
        <v>839</v>
      </c>
      <c r="B67" s="571" t="s">
        <v>840</v>
      </c>
      <c r="C67" s="571" t="s">
        <v>424</v>
      </c>
      <c r="D67" s="571" t="s">
        <v>835</v>
      </c>
      <c r="E67" s="571" t="s">
        <v>858</v>
      </c>
      <c r="F67" s="571" t="s">
        <v>865</v>
      </c>
      <c r="G67" s="571" t="s">
        <v>866</v>
      </c>
      <c r="H67" s="588">
        <v>3</v>
      </c>
      <c r="I67" s="588">
        <v>30</v>
      </c>
      <c r="J67" s="571"/>
      <c r="K67" s="571">
        <v>10</v>
      </c>
      <c r="L67" s="588"/>
      <c r="M67" s="588"/>
      <c r="N67" s="571"/>
      <c r="O67" s="571"/>
      <c r="P67" s="588"/>
      <c r="Q67" s="588"/>
      <c r="R67" s="576"/>
      <c r="S67" s="589"/>
    </row>
    <row r="68" spans="1:19" ht="14.4" customHeight="1" x14ac:dyDescent="0.3">
      <c r="A68" s="570" t="s">
        <v>839</v>
      </c>
      <c r="B68" s="571" t="s">
        <v>840</v>
      </c>
      <c r="C68" s="571" t="s">
        <v>424</v>
      </c>
      <c r="D68" s="571" t="s">
        <v>835</v>
      </c>
      <c r="E68" s="571" t="s">
        <v>858</v>
      </c>
      <c r="F68" s="571" t="s">
        <v>871</v>
      </c>
      <c r="G68" s="571" t="s">
        <v>872</v>
      </c>
      <c r="H68" s="588">
        <v>2</v>
      </c>
      <c r="I68" s="588">
        <v>140</v>
      </c>
      <c r="J68" s="571"/>
      <c r="K68" s="571">
        <v>70</v>
      </c>
      <c r="L68" s="588"/>
      <c r="M68" s="588"/>
      <c r="N68" s="571"/>
      <c r="O68" s="571"/>
      <c r="P68" s="588"/>
      <c r="Q68" s="588"/>
      <c r="R68" s="576"/>
      <c r="S68" s="589"/>
    </row>
    <row r="69" spans="1:19" ht="14.4" customHeight="1" x14ac:dyDescent="0.3">
      <c r="A69" s="570" t="s">
        <v>839</v>
      </c>
      <c r="B69" s="571" t="s">
        <v>840</v>
      </c>
      <c r="C69" s="571" t="s">
        <v>424</v>
      </c>
      <c r="D69" s="571" t="s">
        <v>835</v>
      </c>
      <c r="E69" s="571" t="s">
        <v>858</v>
      </c>
      <c r="F69" s="571" t="s">
        <v>880</v>
      </c>
      <c r="G69" s="571" t="s">
        <v>881</v>
      </c>
      <c r="H69" s="588">
        <v>2</v>
      </c>
      <c r="I69" s="588">
        <v>33.33</v>
      </c>
      <c r="J69" s="571"/>
      <c r="K69" s="571">
        <v>16.664999999999999</v>
      </c>
      <c r="L69" s="588"/>
      <c r="M69" s="588"/>
      <c r="N69" s="571"/>
      <c r="O69" s="571"/>
      <c r="P69" s="588"/>
      <c r="Q69" s="588"/>
      <c r="R69" s="576"/>
      <c r="S69" s="589"/>
    </row>
    <row r="70" spans="1:19" ht="14.4" customHeight="1" x14ac:dyDescent="0.3">
      <c r="A70" s="570" t="s">
        <v>839</v>
      </c>
      <c r="B70" s="571" t="s">
        <v>840</v>
      </c>
      <c r="C70" s="571" t="s">
        <v>424</v>
      </c>
      <c r="D70" s="571" t="s">
        <v>835</v>
      </c>
      <c r="E70" s="571" t="s">
        <v>858</v>
      </c>
      <c r="F70" s="571" t="s">
        <v>886</v>
      </c>
      <c r="G70" s="571" t="s">
        <v>887</v>
      </c>
      <c r="H70" s="588">
        <v>6</v>
      </c>
      <c r="I70" s="588">
        <v>420</v>
      </c>
      <c r="J70" s="571"/>
      <c r="K70" s="571">
        <v>70</v>
      </c>
      <c r="L70" s="588"/>
      <c r="M70" s="588"/>
      <c r="N70" s="571"/>
      <c r="O70" s="571"/>
      <c r="P70" s="588"/>
      <c r="Q70" s="588"/>
      <c r="R70" s="576"/>
      <c r="S70" s="589"/>
    </row>
    <row r="71" spans="1:19" ht="14.4" customHeight="1" x14ac:dyDescent="0.3">
      <c r="A71" s="570" t="s">
        <v>839</v>
      </c>
      <c r="B71" s="571" t="s">
        <v>840</v>
      </c>
      <c r="C71" s="571" t="s">
        <v>424</v>
      </c>
      <c r="D71" s="571" t="s">
        <v>835</v>
      </c>
      <c r="E71" s="571" t="s">
        <v>858</v>
      </c>
      <c r="F71" s="571" t="s">
        <v>890</v>
      </c>
      <c r="G71" s="571" t="s">
        <v>891</v>
      </c>
      <c r="H71" s="588">
        <v>2</v>
      </c>
      <c r="I71" s="588">
        <v>420</v>
      </c>
      <c r="J71" s="571"/>
      <c r="K71" s="571">
        <v>210</v>
      </c>
      <c r="L71" s="588"/>
      <c r="M71" s="588"/>
      <c r="N71" s="571"/>
      <c r="O71" s="571"/>
      <c r="P71" s="588"/>
      <c r="Q71" s="588"/>
      <c r="R71" s="576"/>
      <c r="S71" s="589"/>
    </row>
    <row r="72" spans="1:19" ht="14.4" customHeight="1" x14ac:dyDescent="0.3">
      <c r="A72" s="570" t="s">
        <v>839</v>
      </c>
      <c r="B72" s="571" t="s">
        <v>840</v>
      </c>
      <c r="C72" s="571" t="s">
        <v>424</v>
      </c>
      <c r="D72" s="571" t="s">
        <v>835</v>
      </c>
      <c r="E72" s="571" t="s">
        <v>858</v>
      </c>
      <c r="F72" s="571" t="s">
        <v>899</v>
      </c>
      <c r="G72" s="571" t="s">
        <v>900</v>
      </c>
      <c r="H72" s="588">
        <v>3</v>
      </c>
      <c r="I72" s="588">
        <v>1959</v>
      </c>
      <c r="J72" s="571"/>
      <c r="K72" s="571">
        <v>653</v>
      </c>
      <c r="L72" s="588"/>
      <c r="M72" s="588"/>
      <c r="N72" s="571"/>
      <c r="O72" s="571"/>
      <c r="P72" s="588"/>
      <c r="Q72" s="588"/>
      <c r="R72" s="576"/>
      <c r="S72" s="589"/>
    </row>
    <row r="73" spans="1:19" ht="14.4" customHeight="1" x14ac:dyDescent="0.3">
      <c r="A73" s="570" t="s">
        <v>839</v>
      </c>
      <c r="B73" s="571" t="s">
        <v>840</v>
      </c>
      <c r="C73" s="571" t="s">
        <v>424</v>
      </c>
      <c r="D73" s="571" t="s">
        <v>519</v>
      </c>
      <c r="E73" s="571" t="s">
        <v>841</v>
      </c>
      <c r="F73" s="571" t="s">
        <v>842</v>
      </c>
      <c r="G73" s="571" t="s">
        <v>843</v>
      </c>
      <c r="H73" s="588">
        <v>36.799999999999997</v>
      </c>
      <c r="I73" s="588">
        <v>1990.88</v>
      </c>
      <c r="J73" s="571">
        <v>1.0823529411764705</v>
      </c>
      <c r="K73" s="571">
        <v>54.100000000000009</v>
      </c>
      <c r="L73" s="588">
        <v>34</v>
      </c>
      <c r="M73" s="588">
        <v>1839.4</v>
      </c>
      <c r="N73" s="571">
        <v>1</v>
      </c>
      <c r="O73" s="571">
        <v>54.1</v>
      </c>
      <c r="P73" s="588">
        <v>14.04</v>
      </c>
      <c r="Q73" s="588">
        <v>759.59</v>
      </c>
      <c r="R73" s="576">
        <v>0.41295531151462433</v>
      </c>
      <c r="S73" s="589">
        <v>54.101851851851855</v>
      </c>
    </row>
    <row r="74" spans="1:19" ht="14.4" customHeight="1" x14ac:dyDescent="0.3">
      <c r="A74" s="570" t="s">
        <v>839</v>
      </c>
      <c r="B74" s="571" t="s">
        <v>840</v>
      </c>
      <c r="C74" s="571" t="s">
        <v>424</v>
      </c>
      <c r="D74" s="571" t="s">
        <v>519</v>
      </c>
      <c r="E74" s="571" t="s">
        <v>841</v>
      </c>
      <c r="F74" s="571" t="s">
        <v>844</v>
      </c>
      <c r="G74" s="571" t="s">
        <v>845</v>
      </c>
      <c r="H74" s="588">
        <v>0.2</v>
      </c>
      <c r="I74" s="588">
        <v>21.65</v>
      </c>
      <c r="J74" s="571"/>
      <c r="K74" s="571">
        <v>108.24999999999999</v>
      </c>
      <c r="L74" s="588"/>
      <c r="M74" s="588"/>
      <c r="N74" s="571"/>
      <c r="O74" s="571"/>
      <c r="P74" s="588"/>
      <c r="Q74" s="588"/>
      <c r="R74" s="576"/>
      <c r="S74" s="589"/>
    </row>
    <row r="75" spans="1:19" ht="14.4" customHeight="1" x14ac:dyDescent="0.3">
      <c r="A75" s="570" t="s">
        <v>839</v>
      </c>
      <c r="B75" s="571" t="s">
        <v>840</v>
      </c>
      <c r="C75" s="571" t="s">
        <v>424</v>
      </c>
      <c r="D75" s="571" t="s">
        <v>519</v>
      </c>
      <c r="E75" s="571" t="s">
        <v>841</v>
      </c>
      <c r="F75" s="571" t="s">
        <v>847</v>
      </c>
      <c r="G75" s="571" t="s">
        <v>501</v>
      </c>
      <c r="H75" s="588">
        <v>1.7</v>
      </c>
      <c r="I75" s="588">
        <v>108.32</v>
      </c>
      <c r="J75" s="571">
        <v>1.1761129207383276</v>
      </c>
      <c r="K75" s="571">
        <v>63.71764705882353</v>
      </c>
      <c r="L75" s="588">
        <v>1.5</v>
      </c>
      <c r="M75" s="588">
        <v>92.100000000000009</v>
      </c>
      <c r="N75" s="571">
        <v>1</v>
      </c>
      <c r="O75" s="571">
        <v>61.400000000000006</v>
      </c>
      <c r="P75" s="588">
        <v>0.4</v>
      </c>
      <c r="Q75" s="588">
        <v>24.68</v>
      </c>
      <c r="R75" s="576">
        <v>0.26796959826275785</v>
      </c>
      <c r="S75" s="589">
        <v>61.699999999999996</v>
      </c>
    </row>
    <row r="76" spans="1:19" ht="14.4" customHeight="1" x14ac:dyDescent="0.3">
      <c r="A76" s="570" t="s">
        <v>839</v>
      </c>
      <c r="B76" s="571" t="s">
        <v>840</v>
      </c>
      <c r="C76" s="571" t="s">
        <v>424</v>
      </c>
      <c r="D76" s="571" t="s">
        <v>519</v>
      </c>
      <c r="E76" s="571" t="s">
        <v>841</v>
      </c>
      <c r="F76" s="571" t="s">
        <v>850</v>
      </c>
      <c r="G76" s="571" t="s">
        <v>851</v>
      </c>
      <c r="H76" s="588">
        <v>1.2</v>
      </c>
      <c r="I76" s="588">
        <v>205.76</v>
      </c>
      <c r="J76" s="571">
        <v>1.660694108151735</v>
      </c>
      <c r="K76" s="571">
        <v>171.46666666666667</v>
      </c>
      <c r="L76" s="588">
        <v>0.7</v>
      </c>
      <c r="M76" s="588">
        <v>123.9</v>
      </c>
      <c r="N76" s="571">
        <v>1</v>
      </c>
      <c r="O76" s="571">
        <v>177.00000000000003</v>
      </c>
      <c r="P76" s="588"/>
      <c r="Q76" s="588"/>
      <c r="R76" s="576"/>
      <c r="S76" s="589"/>
    </row>
    <row r="77" spans="1:19" ht="14.4" customHeight="1" x14ac:dyDescent="0.3">
      <c r="A77" s="570" t="s">
        <v>839</v>
      </c>
      <c r="B77" s="571" t="s">
        <v>840</v>
      </c>
      <c r="C77" s="571" t="s">
        <v>424</v>
      </c>
      <c r="D77" s="571" t="s">
        <v>519</v>
      </c>
      <c r="E77" s="571" t="s">
        <v>841</v>
      </c>
      <c r="F77" s="571" t="s">
        <v>852</v>
      </c>
      <c r="G77" s="571" t="s">
        <v>853</v>
      </c>
      <c r="H77" s="588">
        <v>15</v>
      </c>
      <c r="I77" s="588">
        <v>852.59999999999991</v>
      </c>
      <c r="J77" s="571">
        <v>1.4268978444236173</v>
      </c>
      <c r="K77" s="571">
        <v>56.839999999999996</v>
      </c>
      <c r="L77" s="588">
        <v>8</v>
      </c>
      <c r="M77" s="588">
        <v>597.5200000000001</v>
      </c>
      <c r="N77" s="571">
        <v>1</v>
      </c>
      <c r="O77" s="571">
        <v>74.690000000000012</v>
      </c>
      <c r="P77" s="588"/>
      <c r="Q77" s="588"/>
      <c r="R77" s="576"/>
      <c r="S77" s="589"/>
    </row>
    <row r="78" spans="1:19" ht="14.4" customHeight="1" x14ac:dyDescent="0.3">
      <c r="A78" s="570" t="s">
        <v>839</v>
      </c>
      <c r="B78" s="571" t="s">
        <v>840</v>
      </c>
      <c r="C78" s="571" t="s">
        <v>424</v>
      </c>
      <c r="D78" s="571" t="s">
        <v>519</v>
      </c>
      <c r="E78" s="571" t="s">
        <v>841</v>
      </c>
      <c r="F78" s="571" t="s">
        <v>854</v>
      </c>
      <c r="G78" s="571" t="s">
        <v>855</v>
      </c>
      <c r="H78" s="588">
        <v>186</v>
      </c>
      <c r="I78" s="588">
        <v>673.32</v>
      </c>
      <c r="J78" s="571">
        <v>1.6043652306519256</v>
      </c>
      <c r="K78" s="571">
        <v>3.62</v>
      </c>
      <c r="L78" s="588">
        <v>172</v>
      </c>
      <c r="M78" s="588">
        <v>419.67999999999995</v>
      </c>
      <c r="N78" s="571">
        <v>1</v>
      </c>
      <c r="O78" s="571">
        <v>2.4399999999999995</v>
      </c>
      <c r="P78" s="588"/>
      <c r="Q78" s="588"/>
      <c r="R78" s="576"/>
      <c r="S78" s="589"/>
    </row>
    <row r="79" spans="1:19" ht="14.4" customHeight="1" x14ac:dyDescent="0.3">
      <c r="A79" s="570" t="s">
        <v>839</v>
      </c>
      <c r="B79" s="571" t="s">
        <v>840</v>
      </c>
      <c r="C79" s="571" t="s">
        <v>424</v>
      </c>
      <c r="D79" s="571" t="s">
        <v>519</v>
      </c>
      <c r="E79" s="571" t="s">
        <v>841</v>
      </c>
      <c r="F79" s="571" t="s">
        <v>856</v>
      </c>
      <c r="G79" s="571" t="s">
        <v>443</v>
      </c>
      <c r="H79" s="588"/>
      <c r="I79" s="588"/>
      <c r="J79" s="571"/>
      <c r="K79" s="571"/>
      <c r="L79" s="588"/>
      <c r="M79" s="588"/>
      <c r="N79" s="571"/>
      <c r="O79" s="571"/>
      <c r="P79" s="588">
        <v>3.75</v>
      </c>
      <c r="Q79" s="588">
        <v>18</v>
      </c>
      <c r="R79" s="576"/>
      <c r="S79" s="589">
        <v>4.8</v>
      </c>
    </row>
    <row r="80" spans="1:19" ht="14.4" customHeight="1" x14ac:dyDescent="0.3">
      <c r="A80" s="570" t="s">
        <v>839</v>
      </c>
      <c r="B80" s="571" t="s">
        <v>840</v>
      </c>
      <c r="C80" s="571" t="s">
        <v>424</v>
      </c>
      <c r="D80" s="571" t="s">
        <v>519</v>
      </c>
      <c r="E80" s="571" t="s">
        <v>841</v>
      </c>
      <c r="F80" s="571" t="s">
        <v>857</v>
      </c>
      <c r="G80" s="571" t="s">
        <v>853</v>
      </c>
      <c r="H80" s="588"/>
      <c r="I80" s="588"/>
      <c r="J80" s="571"/>
      <c r="K80" s="571"/>
      <c r="L80" s="588"/>
      <c r="M80" s="588"/>
      <c r="N80" s="571"/>
      <c r="O80" s="571"/>
      <c r="P80" s="588">
        <v>2</v>
      </c>
      <c r="Q80" s="588">
        <v>208.88</v>
      </c>
      <c r="R80" s="576"/>
      <c r="S80" s="589">
        <v>104.44</v>
      </c>
    </row>
    <row r="81" spans="1:19" ht="14.4" customHeight="1" x14ac:dyDescent="0.3">
      <c r="A81" s="570" t="s">
        <v>839</v>
      </c>
      <c r="B81" s="571" t="s">
        <v>840</v>
      </c>
      <c r="C81" s="571" t="s">
        <v>424</v>
      </c>
      <c r="D81" s="571" t="s">
        <v>519</v>
      </c>
      <c r="E81" s="571" t="s">
        <v>858</v>
      </c>
      <c r="F81" s="571" t="s">
        <v>859</v>
      </c>
      <c r="G81" s="571" t="s">
        <v>860</v>
      </c>
      <c r="H81" s="588">
        <v>2</v>
      </c>
      <c r="I81" s="588">
        <v>342</v>
      </c>
      <c r="J81" s="571">
        <v>0.62295081967213117</v>
      </c>
      <c r="K81" s="571">
        <v>171</v>
      </c>
      <c r="L81" s="588">
        <v>3</v>
      </c>
      <c r="M81" s="588">
        <v>549</v>
      </c>
      <c r="N81" s="571">
        <v>1</v>
      </c>
      <c r="O81" s="571">
        <v>183</v>
      </c>
      <c r="P81" s="588"/>
      <c r="Q81" s="588"/>
      <c r="R81" s="576"/>
      <c r="S81" s="589"/>
    </row>
    <row r="82" spans="1:19" ht="14.4" customHeight="1" x14ac:dyDescent="0.3">
      <c r="A82" s="570" t="s">
        <v>839</v>
      </c>
      <c r="B82" s="571" t="s">
        <v>840</v>
      </c>
      <c r="C82" s="571" t="s">
        <v>424</v>
      </c>
      <c r="D82" s="571" t="s">
        <v>519</v>
      </c>
      <c r="E82" s="571" t="s">
        <v>858</v>
      </c>
      <c r="F82" s="571" t="s">
        <v>861</v>
      </c>
      <c r="G82" s="571" t="s">
        <v>862</v>
      </c>
      <c r="H82" s="588">
        <v>1</v>
      </c>
      <c r="I82" s="588">
        <v>113</v>
      </c>
      <c r="J82" s="571">
        <v>0.92622950819672134</v>
      </c>
      <c r="K82" s="571">
        <v>113</v>
      </c>
      <c r="L82" s="588">
        <v>1</v>
      </c>
      <c r="M82" s="588">
        <v>122</v>
      </c>
      <c r="N82" s="571">
        <v>1</v>
      </c>
      <c r="O82" s="571">
        <v>122</v>
      </c>
      <c r="P82" s="588"/>
      <c r="Q82" s="588"/>
      <c r="R82" s="576"/>
      <c r="S82" s="589"/>
    </row>
    <row r="83" spans="1:19" ht="14.4" customHeight="1" x14ac:dyDescent="0.3">
      <c r="A83" s="570" t="s">
        <v>839</v>
      </c>
      <c r="B83" s="571" t="s">
        <v>840</v>
      </c>
      <c r="C83" s="571" t="s">
        <v>424</v>
      </c>
      <c r="D83" s="571" t="s">
        <v>519</v>
      </c>
      <c r="E83" s="571" t="s">
        <v>858</v>
      </c>
      <c r="F83" s="571" t="s">
        <v>863</v>
      </c>
      <c r="G83" s="571" t="s">
        <v>864</v>
      </c>
      <c r="H83" s="588">
        <v>225</v>
      </c>
      <c r="I83" s="588">
        <v>7875</v>
      </c>
      <c r="J83" s="571">
        <v>0.80014224751066854</v>
      </c>
      <c r="K83" s="571">
        <v>35</v>
      </c>
      <c r="L83" s="588">
        <v>266</v>
      </c>
      <c r="M83" s="588">
        <v>9842</v>
      </c>
      <c r="N83" s="571">
        <v>1</v>
      </c>
      <c r="O83" s="571">
        <v>37</v>
      </c>
      <c r="P83" s="588">
        <v>223</v>
      </c>
      <c r="Q83" s="588">
        <v>8251</v>
      </c>
      <c r="R83" s="576">
        <v>0.83834586466165417</v>
      </c>
      <c r="S83" s="589">
        <v>37</v>
      </c>
    </row>
    <row r="84" spans="1:19" ht="14.4" customHeight="1" x14ac:dyDescent="0.3">
      <c r="A84" s="570" t="s">
        <v>839</v>
      </c>
      <c r="B84" s="571" t="s">
        <v>840</v>
      </c>
      <c r="C84" s="571" t="s">
        <v>424</v>
      </c>
      <c r="D84" s="571" t="s">
        <v>519</v>
      </c>
      <c r="E84" s="571" t="s">
        <v>858</v>
      </c>
      <c r="F84" s="571" t="s">
        <v>865</v>
      </c>
      <c r="G84" s="571" t="s">
        <v>866</v>
      </c>
      <c r="H84" s="588">
        <v>258</v>
      </c>
      <c r="I84" s="588">
        <v>2580</v>
      </c>
      <c r="J84" s="571">
        <v>1.5176470588235293</v>
      </c>
      <c r="K84" s="571">
        <v>10</v>
      </c>
      <c r="L84" s="588">
        <v>170</v>
      </c>
      <c r="M84" s="588">
        <v>1700</v>
      </c>
      <c r="N84" s="571">
        <v>1</v>
      </c>
      <c r="O84" s="571">
        <v>10</v>
      </c>
      <c r="P84" s="588">
        <v>200</v>
      </c>
      <c r="Q84" s="588">
        <v>2000</v>
      </c>
      <c r="R84" s="576">
        <v>1.1764705882352942</v>
      </c>
      <c r="S84" s="589">
        <v>10</v>
      </c>
    </row>
    <row r="85" spans="1:19" ht="14.4" customHeight="1" x14ac:dyDescent="0.3">
      <c r="A85" s="570" t="s">
        <v>839</v>
      </c>
      <c r="B85" s="571" t="s">
        <v>840</v>
      </c>
      <c r="C85" s="571" t="s">
        <v>424</v>
      </c>
      <c r="D85" s="571" t="s">
        <v>519</v>
      </c>
      <c r="E85" s="571" t="s">
        <v>858</v>
      </c>
      <c r="F85" s="571" t="s">
        <v>867</v>
      </c>
      <c r="G85" s="571" t="s">
        <v>868</v>
      </c>
      <c r="H85" s="588">
        <v>51</v>
      </c>
      <c r="I85" s="588">
        <v>255</v>
      </c>
      <c r="J85" s="571">
        <v>0.9107142857142857</v>
      </c>
      <c r="K85" s="571">
        <v>5</v>
      </c>
      <c r="L85" s="588">
        <v>56</v>
      </c>
      <c r="M85" s="588">
        <v>280</v>
      </c>
      <c r="N85" s="571">
        <v>1</v>
      </c>
      <c r="O85" s="571">
        <v>5</v>
      </c>
      <c r="P85" s="588">
        <v>24</v>
      </c>
      <c r="Q85" s="588">
        <v>120</v>
      </c>
      <c r="R85" s="576">
        <v>0.42857142857142855</v>
      </c>
      <c r="S85" s="589">
        <v>5</v>
      </c>
    </row>
    <row r="86" spans="1:19" ht="14.4" customHeight="1" x14ac:dyDescent="0.3">
      <c r="A86" s="570" t="s">
        <v>839</v>
      </c>
      <c r="B86" s="571" t="s">
        <v>840</v>
      </c>
      <c r="C86" s="571" t="s">
        <v>424</v>
      </c>
      <c r="D86" s="571" t="s">
        <v>519</v>
      </c>
      <c r="E86" s="571" t="s">
        <v>858</v>
      </c>
      <c r="F86" s="571" t="s">
        <v>869</v>
      </c>
      <c r="G86" s="571" t="s">
        <v>870</v>
      </c>
      <c r="H86" s="588">
        <v>1</v>
      </c>
      <c r="I86" s="588">
        <v>5</v>
      </c>
      <c r="J86" s="571"/>
      <c r="K86" s="571">
        <v>5</v>
      </c>
      <c r="L86" s="588"/>
      <c r="M86" s="588"/>
      <c r="N86" s="571"/>
      <c r="O86" s="571"/>
      <c r="P86" s="588"/>
      <c r="Q86" s="588"/>
      <c r="R86" s="576"/>
      <c r="S86" s="589"/>
    </row>
    <row r="87" spans="1:19" ht="14.4" customHeight="1" x14ac:dyDescent="0.3">
      <c r="A87" s="570" t="s">
        <v>839</v>
      </c>
      <c r="B87" s="571" t="s">
        <v>840</v>
      </c>
      <c r="C87" s="571" t="s">
        <v>424</v>
      </c>
      <c r="D87" s="571" t="s">
        <v>519</v>
      </c>
      <c r="E87" s="571" t="s">
        <v>858</v>
      </c>
      <c r="F87" s="571" t="s">
        <v>871</v>
      </c>
      <c r="G87" s="571" t="s">
        <v>872</v>
      </c>
      <c r="H87" s="588">
        <v>12</v>
      </c>
      <c r="I87" s="588">
        <v>840</v>
      </c>
      <c r="J87" s="571">
        <v>5.6756756756756754</v>
      </c>
      <c r="K87" s="571">
        <v>70</v>
      </c>
      <c r="L87" s="588">
        <v>2</v>
      </c>
      <c r="M87" s="588">
        <v>148</v>
      </c>
      <c r="N87" s="571">
        <v>1</v>
      </c>
      <c r="O87" s="571">
        <v>74</v>
      </c>
      <c r="P87" s="588">
        <v>13</v>
      </c>
      <c r="Q87" s="588">
        <v>962</v>
      </c>
      <c r="R87" s="576">
        <v>6.5</v>
      </c>
      <c r="S87" s="589">
        <v>74</v>
      </c>
    </row>
    <row r="88" spans="1:19" ht="14.4" customHeight="1" x14ac:dyDescent="0.3">
      <c r="A88" s="570" t="s">
        <v>839</v>
      </c>
      <c r="B88" s="571" t="s">
        <v>840</v>
      </c>
      <c r="C88" s="571" t="s">
        <v>424</v>
      </c>
      <c r="D88" s="571" t="s">
        <v>519</v>
      </c>
      <c r="E88" s="571" t="s">
        <v>858</v>
      </c>
      <c r="F88" s="571" t="s">
        <v>873</v>
      </c>
      <c r="G88" s="571" t="s">
        <v>874</v>
      </c>
      <c r="H88" s="588">
        <v>5</v>
      </c>
      <c r="I88" s="588">
        <v>175</v>
      </c>
      <c r="J88" s="571"/>
      <c r="K88" s="571">
        <v>35</v>
      </c>
      <c r="L88" s="588"/>
      <c r="M88" s="588"/>
      <c r="N88" s="571"/>
      <c r="O88" s="571"/>
      <c r="P88" s="588"/>
      <c r="Q88" s="588"/>
      <c r="R88" s="576"/>
      <c r="S88" s="589"/>
    </row>
    <row r="89" spans="1:19" ht="14.4" customHeight="1" x14ac:dyDescent="0.3">
      <c r="A89" s="570" t="s">
        <v>839</v>
      </c>
      <c r="B89" s="571" t="s">
        <v>840</v>
      </c>
      <c r="C89" s="571" t="s">
        <v>424</v>
      </c>
      <c r="D89" s="571" t="s">
        <v>519</v>
      </c>
      <c r="E89" s="571" t="s">
        <v>858</v>
      </c>
      <c r="F89" s="571" t="s">
        <v>876</v>
      </c>
      <c r="G89" s="571" t="s">
        <v>877</v>
      </c>
      <c r="H89" s="588">
        <v>147</v>
      </c>
      <c r="I89" s="588">
        <v>24255</v>
      </c>
      <c r="J89" s="571">
        <v>1.0150659133709981</v>
      </c>
      <c r="K89" s="571">
        <v>165</v>
      </c>
      <c r="L89" s="588">
        <v>135</v>
      </c>
      <c r="M89" s="588">
        <v>23895</v>
      </c>
      <c r="N89" s="571">
        <v>1</v>
      </c>
      <c r="O89" s="571">
        <v>177</v>
      </c>
      <c r="P89" s="588">
        <v>85</v>
      </c>
      <c r="Q89" s="588">
        <v>15045</v>
      </c>
      <c r="R89" s="576">
        <v>0.62962962962962965</v>
      </c>
      <c r="S89" s="589">
        <v>177</v>
      </c>
    </row>
    <row r="90" spans="1:19" ht="14.4" customHeight="1" x14ac:dyDescent="0.3">
      <c r="A90" s="570" t="s">
        <v>839</v>
      </c>
      <c r="B90" s="571" t="s">
        <v>840</v>
      </c>
      <c r="C90" s="571" t="s">
        <v>424</v>
      </c>
      <c r="D90" s="571" t="s">
        <v>519</v>
      </c>
      <c r="E90" s="571" t="s">
        <v>858</v>
      </c>
      <c r="F90" s="571" t="s">
        <v>878</v>
      </c>
      <c r="G90" s="571" t="s">
        <v>879</v>
      </c>
      <c r="H90" s="588">
        <v>1</v>
      </c>
      <c r="I90" s="588">
        <v>171</v>
      </c>
      <c r="J90" s="571"/>
      <c r="K90" s="571">
        <v>171</v>
      </c>
      <c r="L90" s="588"/>
      <c r="M90" s="588"/>
      <c r="N90" s="571"/>
      <c r="O90" s="571"/>
      <c r="P90" s="588"/>
      <c r="Q90" s="588"/>
      <c r="R90" s="576"/>
      <c r="S90" s="589"/>
    </row>
    <row r="91" spans="1:19" ht="14.4" customHeight="1" x14ac:dyDescent="0.3">
      <c r="A91" s="570" t="s">
        <v>839</v>
      </c>
      <c r="B91" s="571" t="s">
        <v>840</v>
      </c>
      <c r="C91" s="571" t="s">
        <v>424</v>
      </c>
      <c r="D91" s="571" t="s">
        <v>519</v>
      </c>
      <c r="E91" s="571" t="s">
        <v>858</v>
      </c>
      <c r="F91" s="571" t="s">
        <v>880</v>
      </c>
      <c r="G91" s="571" t="s">
        <v>881</v>
      </c>
      <c r="H91" s="588">
        <v>94</v>
      </c>
      <c r="I91" s="588">
        <v>1466.66</v>
      </c>
      <c r="J91" s="571">
        <v>0.10161618974969741</v>
      </c>
      <c r="K91" s="571">
        <v>15.60276595744681</v>
      </c>
      <c r="L91" s="588">
        <v>433</v>
      </c>
      <c r="M91" s="588">
        <v>14433.33</v>
      </c>
      <c r="N91" s="571">
        <v>1</v>
      </c>
      <c r="O91" s="571">
        <v>33.333325635103925</v>
      </c>
      <c r="P91" s="588">
        <v>392</v>
      </c>
      <c r="Q91" s="588">
        <v>13066.66</v>
      </c>
      <c r="R91" s="576">
        <v>0.90531152547610283</v>
      </c>
      <c r="S91" s="589">
        <v>33.333316326530614</v>
      </c>
    </row>
    <row r="92" spans="1:19" ht="14.4" customHeight="1" x14ac:dyDescent="0.3">
      <c r="A92" s="570" t="s">
        <v>839</v>
      </c>
      <c r="B92" s="571" t="s">
        <v>840</v>
      </c>
      <c r="C92" s="571" t="s">
        <v>424</v>
      </c>
      <c r="D92" s="571" t="s">
        <v>519</v>
      </c>
      <c r="E92" s="571" t="s">
        <v>858</v>
      </c>
      <c r="F92" s="571" t="s">
        <v>882</v>
      </c>
      <c r="G92" s="571" t="s">
        <v>883</v>
      </c>
      <c r="H92" s="588"/>
      <c r="I92" s="588"/>
      <c r="J92" s="571"/>
      <c r="K92" s="571"/>
      <c r="L92" s="588">
        <v>7</v>
      </c>
      <c r="M92" s="588">
        <v>259</v>
      </c>
      <c r="N92" s="571">
        <v>1</v>
      </c>
      <c r="O92" s="571">
        <v>37</v>
      </c>
      <c r="P92" s="588">
        <v>8</v>
      </c>
      <c r="Q92" s="588">
        <v>296</v>
      </c>
      <c r="R92" s="576">
        <v>1.1428571428571428</v>
      </c>
      <c r="S92" s="589">
        <v>37</v>
      </c>
    </row>
    <row r="93" spans="1:19" ht="14.4" customHeight="1" x14ac:dyDescent="0.3">
      <c r="A93" s="570" t="s">
        <v>839</v>
      </c>
      <c r="B93" s="571" t="s">
        <v>840</v>
      </c>
      <c r="C93" s="571" t="s">
        <v>424</v>
      </c>
      <c r="D93" s="571" t="s">
        <v>519</v>
      </c>
      <c r="E93" s="571" t="s">
        <v>858</v>
      </c>
      <c r="F93" s="571" t="s">
        <v>884</v>
      </c>
      <c r="G93" s="571" t="s">
        <v>885</v>
      </c>
      <c r="H93" s="588">
        <v>202</v>
      </c>
      <c r="I93" s="588">
        <v>26058</v>
      </c>
      <c r="J93" s="571">
        <v>1.069441024378232</v>
      </c>
      <c r="K93" s="571">
        <v>129</v>
      </c>
      <c r="L93" s="588">
        <v>186</v>
      </c>
      <c r="M93" s="588">
        <v>24366</v>
      </c>
      <c r="N93" s="571">
        <v>1</v>
      </c>
      <c r="O93" s="571">
        <v>131</v>
      </c>
      <c r="P93" s="588">
        <v>90</v>
      </c>
      <c r="Q93" s="588">
        <v>11880</v>
      </c>
      <c r="R93" s="576">
        <v>0.48756463925141591</v>
      </c>
      <c r="S93" s="589">
        <v>132</v>
      </c>
    </row>
    <row r="94" spans="1:19" ht="14.4" customHeight="1" x14ac:dyDescent="0.3">
      <c r="A94" s="570" t="s">
        <v>839</v>
      </c>
      <c r="B94" s="571" t="s">
        <v>840</v>
      </c>
      <c r="C94" s="571" t="s">
        <v>424</v>
      </c>
      <c r="D94" s="571" t="s">
        <v>519</v>
      </c>
      <c r="E94" s="571" t="s">
        <v>858</v>
      </c>
      <c r="F94" s="571" t="s">
        <v>886</v>
      </c>
      <c r="G94" s="571" t="s">
        <v>887</v>
      </c>
      <c r="H94" s="588">
        <v>68</v>
      </c>
      <c r="I94" s="588">
        <v>4760</v>
      </c>
      <c r="J94" s="571">
        <v>0.31531531531531531</v>
      </c>
      <c r="K94" s="571">
        <v>70</v>
      </c>
      <c r="L94" s="588">
        <v>204</v>
      </c>
      <c r="M94" s="588">
        <v>15096</v>
      </c>
      <c r="N94" s="571">
        <v>1</v>
      </c>
      <c r="O94" s="571">
        <v>74</v>
      </c>
      <c r="P94" s="588">
        <v>138</v>
      </c>
      <c r="Q94" s="588">
        <v>10212</v>
      </c>
      <c r="R94" s="576">
        <v>0.67647058823529416</v>
      </c>
      <c r="S94" s="589">
        <v>74</v>
      </c>
    </row>
    <row r="95" spans="1:19" ht="14.4" customHeight="1" x14ac:dyDescent="0.3">
      <c r="A95" s="570" t="s">
        <v>839</v>
      </c>
      <c r="B95" s="571" t="s">
        <v>840</v>
      </c>
      <c r="C95" s="571" t="s">
        <v>424</v>
      </c>
      <c r="D95" s="571" t="s">
        <v>519</v>
      </c>
      <c r="E95" s="571" t="s">
        <v>858</v>
      </c>
      <c r="F95" s="571" t="s">
        <v>888</v>
      </c>
      <c r="G95" s="571" t="s">
        <v>889</v>
      </c>
      <c r="H95" s="588">
        <v>263</v>
      </c>
      <c r="I95" s="588">
        <v>87053</v>
      </c>
      <c r="J95" s="571">
        <v>1.2054530851888778</v>
      </c>
      <c r="K95" s="571">
        <v>331</v>
      </c>
      <c r="L95" s="588">
        <v>204</v>
      </c>
      <c r="M95" s="588">
        <v>72216</v>
      </c>
      <c r="N95" s="571">
        <v>1</v>
      </c>
      <c r="O95" s="571">
        <v>354</v>
      </c>
      <c r="P95" s="588">
        <v>247</v>
      </c>
      <c r="Q95" s="588">
        <v>87685</v>
      </c>
      <c r="R95" s="576">
        <v>1.214204608397031</v>
      </c>
      <c r="S95" s="589">
        <v>355</v>
      </c>
    </row>
    <row r="96" spans="1:19" ht="14.4" customHeight="1" x14ac:dyDescent="0.3">
      <c r="A96" s="570" t="s">
        <v>839</v>
      </c>
      <c r="B96" s="571" t="s">
        <v>840</v>
      </c>
      <c r="C96" s="571" t="s">
        <v>424</v>
      </c>
      <c r="D96" s="571" t="s">
        <v>519</v>
      </c>
      <c r="E96" s="571" t="s">
        <v>858</v>
      </c>
      <c r="F96" s="571" t="s">
        <v>890</v>
      </c>
      <c r="G96" s="571" t="s">
        <v>891</v>
      </c>
      <c r="H96" s="588">
        <v>19</v>
      </c>
      <c r="I96" s="588">
        <v>3990</v>
      </c>
      <c r="J96" s="571">
        <v>2.5675675675675675</v>
      </c>
      <c r="K96" s="571">
        <v>210</v>
      </c>
      <c r="L96" s="588">
        <v>7</v>
      </c>
      <c r="M96" s="588">
        <v>1554</v>
      </c>
      <c r="N96" s="571">
        <v>1</v>
      </c>
      <c r="O96" s="571">
        <v>222</v>
      </c>
      <c r="P96" s="588">
        <v>105</v>
      </c>
      <c r="Q96" s="588">
        <v>23415</v>
      </c>
      <c r="R96" s="576">
        <v>15.067567567567568</v>
      </c>
      <c r="S96" s="589">
        <v>223</v>
      </c>
    </row>
    <row r="97" spans="1:19" ht="14.4" customHeight="1" x14ac:dyDescent="0.3">
      <c r="A97" s="570" t="s">
        <v>839</v>
      </c>
      <c r="B97" s="571" t="s">
        <v>840</v>
      </c>
      <c r="C97" s="571" t="s">
        <v>424</v>
      </c>
      <c r="D97" s="571" t="s">
        <v>519</v>
      </c>
      <c r="E97" s="571" t="s">
        <v>858</v>
      </c>
      <c r="F97" s="571" t="s">
        <v>892</v>
      </c>
      <c r="G97" s="571" t="s">
        <v>893</v>
      </c>
      <c r="H97" s="588">
        <v>8</v>
      </c>
      <c r="I97" s="588">
        <v>616</v>
      </c>
      <c r="J97" s="571">
        <v>2.6666666666666665</v>
      </c>
      <c r="K97" s="571">
        <v>77</v>
      </c>
      <c r="L97" s="588">
        <v>3</v>
      </c>
      <c r="M97" s="588">
        <v>231</v>
      </c>
      <c r="N97" s="571">
        <v>1</v>
      </c>
      <c r="O97" s="571">
        <v>77</v>
      </c>
      <c r="P97" s="588">
        <v>2</v>
      </c>
      <c r="Q97" s="588">
        <v>154</v>
      </c>
      <c r="R97" s="576">
        <v>0.66666666666666663</v>
      </c>
      <c r="S97" s="589">
        <v>77</v>
      </c>
    </row>
    <row r="98" spans="1:19" ht="14.4" customHeight="1" x14ac:dyDescent="0.3">
      <c r="A98" s="570" t="s">
        <v>839</v>
      </c>
      <c r="B98" s="571" t="s">
        <v>840</v>
      </c>
      <c r="C98" s="571" t="s">
        <v>424</v>
      </c>
      <c r="D98" s="571" t="s">
        <v>519</v>
      </c>
      <c r="E98" s="571" t="s">
        <v>858</v>
      </c>
      <c r="F98" s="571" t="s">
        <v>896</v>
      </c>
      <c r="G98" s="571" t="s">
        <v>897</v>
      </c>
      <c r="H98" s="588">
        <v>2</v>
      </c>
      <c r="I98" s="588">
        <v>114</v>
      </c>
      <c r="J98" s="571">
        <v>0.96610169491525422</v>
      </c>
      <c r="K98" s="571">
        <v>57</v>
      </c>
      <c r="L98" s="588">
        <v>2</v>
      </c>
      <c r="M98" s="588">
        <v>118</v>
      </c>
      <c r="N98" s="571">
        <v>1</v>
      </c>
      <c r="O98" s="571">
        <v>59</v>
      </c>
      <c r="P98" s="588"/>
      <c r="Q98" s="588"/>
      <c r="R98" s="576"/>
      <c r="S98" s="589"/>
    </row>
    <row r="99" spans="1:19" ht="14.4" customHeight="1" x14ac:dyDescent="0.3">
      <c r="A99" s="570" t="s">
        <v>839</v>
      </c>
      <c r="B99" s="571" t="s">
        <v>840</v>
      </c>
      <c r="C99" s="571" t="s">
        <v>424</v>
      </c>
      <c r="D99" s="571" t="s">
        <v>519</v>
      </c>
      <c r="E99" s="571" t="s">
        <v>858</v>
      </c>
      <c r="F99" s="571" t="s">
        <v>898</v>
      </c>
      <c r="G99" s="571"/>
      <c r="H99" s="588">
        <v>10</v>
      </c>
      <c r="I99" s="588">
        <v>2430</v>
      </c>
      <c r="J99" s="571"/>
      <c r="K99" s="571">
        <v>243</v>
      </c>
      <c r="L99" s="588"/>
      <c r="M99" s="588"/>
      <c r="N99" s="571"/>
      <c r="O99" s="571"/>
      <c r="P99" s="588"/>
      <c r="Q99" s="588"/>
      <c r="R99" s="576"/>
      <c r="S99" s="589"/>
    </row>
    <row r="100" spans="1:19" ht="14.4" customHeight="1" x14ac:dyDescent="0.3">
      <c r="A100" s="570" t="s">
        <v>839</v>
      </c>
      <c r="B100" s="571" t="s">
        <v>840</v>
      </c>
      <c r="C100" s="571" t="s">
        <v>424</v>
      </c>
      <c r="D100" s="571" t="s">
        <v>519</v>
      </c>
      <c r="E100" s="571" t="s">
        <v>858</v>
      </c>
      <c r="F100" s="571" t="s">
        <v>899</v>
      </c>
      <c r="G100" s="571" t="s">
        <v>900</v>
      </c>
      <c r="H100" s="588">
        <v>107</v>
      </c>
      <c r="I100" s="588">
        <v>69871</v>
      </c>
      <c r="J100" s="571">
        <v>1.0068012507384834</v>
      </c>
      <c r="K100" s="571">
        <v>653</v>
      </c>
      <c r="L100" s="588">
        <v>99</v>
      </c>
      <c r="M100" s="588">
        <v>69399</v>
      </c>
      <c r="N100" s="571">
        <v>1</v>
      </c>
      <c r="O100" s="571">
        <v>701</v>
      </c>
      <c r="P100" s="588">
        <v>60</v>
      </c>
      <c r="Q100" s="588">
        <v>42060</v>
      </c>
      <c r="R100" s="576">
        <v>0.60606060606060608</v>
      </c>
      <c r="S100" s="589">
        <v>701</v>
      </c>
    </row>
    <row r="101" spans="1:19" ht="14.4" customHeight="1" x14ac:dyDescent="0.3">
      <c r="A101" s="570" t="s">
        <v>839</v>
      </c>
      <c r="B101" s="571" t="s">
        <v>840</v>
      </c>
      <c r="C101" s="571" t="s">
        <v>424</v>
      </c>
      <c r="D101" s="571" t="s">
        <v>519</v>
      </c>
      <c r="E101" s="571" t="s">
        <v>858</v>
      </c>
      <c r="F101" s="571" t="s">
        <v>901</v>
      </c>
      <c r="G101" s="571" t="s">
        <v>902</v>
      </c>
      <c r="H101" s="588">
        <v>394</v>
      </c>
      <c r="I101" s="588">
        <v>84710</v>
      </c>
      <c r="J101" s="571">
        <v>1.2732984607984608</v>
      </c>
      <c r="K101" s="571">
        <v>215</v>
      </c>
      <c r="L101" s="588">
        <v>288</v>
      </c>
      <c r="M101" s="588">
        <v>66528</v>
      </c>
      <c r="N101" s="571">
        <v>1</v>
      </c>
      <c r="O101" s="571">
        <v>231</v>
      </c>
      <c r="P101" s="588">
        <v>265</v>
      </c>
      <c r="Q101" s="588">
        <v>61215</v>
      </c>
      <c r="R101" s="576">
        <v>0.92013888888888884</v>
      </c>
      <c r="S101" s="589">
        <v>231</v>
      </c>
    </row>
    <row r="102" spans="1:19" ht="14.4" customHeight="1" x14ac:dyDescent="0.3">
      <c r="A102" s="570" t="s">
        <v>839</v>
      </c>
      <c r="B102" s="571" t="s">
        <v>840</v>
      </c>
      <c r="C102" s="571" t="s">
        <v>424</v>
      </c>
      <c r="D102" s="571" t="s">
        <v>519</v>
      </c>
      <c r="E102" s="571" t="s">
        <v>858</v>
      </c>
      <c r="F102" s="571" t="s">
        <v>903</v>
      </c>
      <c r="G102" s="571" t="s">
        <v>904</v>
      </c>
      <c r="H102" s="588"/>
      <c r="I102" s="588"/>
      <c r="J102" s="571"/>
      <c r="K102" s="571"/>
      <c r="L102" s="588">
        <v>3</v>
      </c>
      <c r="M102" s="588">
        <v>1416</v>
      </c>
      <c r="N102" s="571">
        <v>1</v>
      </c>
      <c r="O102" s="571">
        <v>472</v>
      </c>
      <c r="P102" s="588">
        <v>0</v>
      </c>
      <c r="Q102" s="588">
        <v>0</v>
      </c>
      <c r="R102" s="576">
        <v>0</v>
      </c>
      <c r="S102" s="589"/>
    </row>
    <row r="103" spans="1:19" ht="14.4" customHeight="1" x14ac:dyDescent="0.3">
      <c r="A103" s="570" t="s">
        <v>839</v>
      </c>
      <c r="B103" s="571" t="s">
        <v>840</v>
      </c>
      <c r="C103" s="571" t="s">
        <v>424</v>
      </c>
      <c r="D103" s="571" t="s">
        <v>836</v>
      </c>
      <c r="E103" s="571" t="s">
        <v>858</v>
      </c>
      <c r="F103" s="571" t="s">
        <v>863</v>
      </c>
      <c r="G103" s="571" t="s">
        <v>864</v>
      </c>
      <c r="H103" s="588"/>
      <c r="I103" s="588"/>
      <c r="J103" s="571"/>
      <c r="K103" s="571"/>
      <c r="L103" s="588">
        <v>2</v>
      </c>
      <c r="M103" s="588">
        <v>74</v>
      </c>
      <c r="N103" s="571">
        <v>1</v>
      </c>
      <c r="O103" s="571">
        <v>37</v>
      </c>
      <c r="P103" s="588"/>
      <c r="Q103" s="588"/>
      <c r="R103" s="576"/>
      <c r="S103" s="589"/>
    </row>
    <row r="104" spans="1:19" ht="14.4" customHeight="1" x14ac:dyDescent="0.3">
      <c r="A104" s="570" t="s">
        <v>839</v>
      </c>
      <c r="B104" s="571" t="s">
        <v>840</v>
      </c>
      <c r="C104" s="571" t="s">
        <v>424</v>
      </c>
      <c r="D104" s="571" t="s">
        <v>836</v>
      </c>
      <c r="E104" s="571" t="s">
        <v>858</v>
      </c>
      <c r="F104" s="571" t="s">
        <v>865</v>
      </c>
      <c r="G104" s="571" t="s">
        <v>866</v>
      </c>
      <c r="H104" s="588"/>
      <c r="I104" s="588"/>
      <c r="J104" s="571"/>
      <c r="K104" s="571"/>
      <c r="L104" s="588"/>
      <c r="M104" s="588"/>
      <c r="N104" s="571"/>
      <c r="O104" s="571"/>
      <c r="P104" s="588">
        <v>1</v>
      </c>
      <c r="Q104" s="588">
        <v>10</v>
      </c>
      <c r="R104" s="576"/>
      <c r="S104" s="589">
        <v>10</v>
      </c>
    </row>
    <row r="105" spans="1:19" ht="14.4" customHeight="1" x14ac:dyDescent="0.3">
      <c r="A105" s="570" t="s">
        <v>839</v>
      </c>
      <c r="B105" s="571" t="s">
        <v>840</v>
      </c>
      <c r="C105" s="571" t="s">
        <v>424</v>
      </c>
      <c r="D105" s="571" t="s">
        <v>836</v>
      </c>
      <c r="E105" s="571" t="s">
        <v>858</v>
      </c>
      <c r="F105" s="571" t="s">
        <v>871</v>
      </c>
      <c r="G105" s="571" t="s">
        <v>872</v>
      </c>
      <c r="H105" s="588"/>
      <c r="I105" s="588"/>
      <c r="J105" s="571"/>
      <c r="K105" s="571"/>
      <c r="L105" s="588">
        <v>1</v>
      </c>
      <c r="M105" s="588">
        <v>74</v>
      </c>
      <c r="N105" s="571">
        <v>1</v>
      </c>
      <c r="O105" s="571">
        <v>74</v>
      </c>
      <c r="P105" s="588">
        <v>1</v>
      </c>
      <c r="Q105" s="588">
        <v>74</v>
      </c>
      <c r="R105" s="576">
        <v>1</v>
      </c>
      <c r="S105" s="589">
        <v>74</v>
      </c>
    </row>
    <row r="106" spans="1:19" ht="14.4" customHeight="1" x14ac:dyDescent="0.3">
      <c r="A106" s="570" t="s">
        <v>839</v>
      </c>
      <c r="B106" s="571" t="s">
        <v>840</v>
      </c>
      <c r="C106" s="571" t="s">
        <v>424</v>
      </c>
      <c r="D106" s="571" t="s">
        <v>836</v>
      </c>
      <c r="E106" s="571" t="s">
        <v>858</v>
      </c>
      <c r="F106" s="571" t="s">
        <v>876</v>
      </c>
      <c r="G106" s="571" t="s">
        <v>877</v>
      </c>
      <c r="H106" s="588"/>
      <c r="I106" s="588"/>
      <c r="J106" s="571"/>
      <c r="K106" s="571"/>
      <c r="L106" s="588"/>
      <c r="M106" s="588"/>
      <c r="N106" s="571"/>
      <c r="O106" s="571"/>
      <c r="P106" s="588">
        <v>1</v>
      </c>
      <c r="Q106" s="588">
        <v>177</v>
      </c>
      <c r="R106" s="576"/>
      <c r="S106" s="589">
        <v>177</v>
      </c>
    </row>
    <row r="107" spans="1:19" ht="14.4" customHeight="1" x14ac:dyDescent="0.3">
      <c r="A107" s="570" t="s">
        <v>839</v>
      </c>
      <c r="B107" s="571" t="s">
        <v>840</v>
      </c>
      <c r="C107" s="571" t="s">
        <v>424</v>
      </c>
      <c r="D107" s="571" t="s">
        <v>836</v>
      </c>
      <c r="E107" s="571" t="s">
        <v>858</v>
      </c>
      <c r="F107" s="571" t="s">
        <v>880</v>
      </c>
      <c r="G107" s="571" t="s">
        <v>881</v>
      </c>
      <c r="H107" s="588"/>
      <c r="I107" s="588"/>
      <c r="J107" s="571"/>
      <c r="K107" s="571"/>
      <c r="L107" s="588">
        <v>1</v>
      </c>
      <c r="M107" s="588">
        <v>33.33</v>
      </c>
      <c r="N107" s="571">
        <v>1</v>
      </c>
      <c r="O107" s="571">
        <v>33.33</v>
      </c>
      <c r="P107" s="588">
        <v>3</v>
      </c>
      <c r="Q107" s="588">
        <v>100</v>
      </c>
      <c r="R107" s="576">
        <v>3.0003000300030003</v>
      </c>
      <c r="S107" s="589">
        <v>33.333333333333336</v>
      </c>
    </row>
    <row r="108" spans="1:19" ht="14.4" customHeight="1" x14ac:dyDescent="0.3">
      <c r="A108" s="570" t="s">
        <v>839</v>
      </c>
      <c r="B108" s="571" t="s">
        <v>840</v>
      </c>
      <c r="C108" s="571" t="s">
        <v>424</v>
      </c>
      <c r="D108" s="571" t="s">
        <v>836</v>
      </c>
      <c r="E108" s="571" t="s">
        <v>858</v>
      </c>
      <c r="F108" s="571" t="s">
        <v>886</v>
      </c>
      <c r="G108" s="571" t="s">
        <v>887</v>
      </c>
      <c r="H108" s="588"/>
      <c r="I108" s="588"/>
      <c r="J108" s="571"/>
      <c r="K108" s="571"/>
      <c r="L108" s="588"/>
      <c r="M108" s="588"/>
      <c r="N108" s="571"/>
      <c r="O108" s="571"/>
      <c r="P108" s="588">
        <v>6</v>
      </c>
      <c r="Q108" s="588">
        <v>444</v>
      </c>
      <c r="R108" s="576"/>
      <c r="S108" s="589">
        <v>74</v>
      </c>
    </row>
    <row r="109" spans="1:19" ht="14.4" customHeight="1" x14ac:dyDescent="0.3">
      <c r="A109" s="570" t="s">
        <v>839</v>
      </c>
      <c r="B109" s="571" t="s">
        <v>840</v>
      </c>
      <c r="C109" s="571" t="s">
        <v>424</v>
      </c>
      <c r="D109" s="571" t="s">
        <v>836</v>
      </c>
      <c r="E109" s="571" t="s">
        <v>858</v>
      </c>
      <c r="F109" s="571" t="s">
        <v>888</v>
      </c>
      <c r="G109" s="571" t="s">
        <v>889</v>
      </c>
      <c r="H109" s="588"/>
      <c r="I109" s="588"/>
      <c r="J109" s="571"/>
      <c r="K109" s="571"/>
      <c r="L109" s="588">
        <v>1</v>
      </c>
      <c r="M109" s="588">
        <v>354</v>
      </c>
      <c r="N109" s="571">
        <v>1</v>
      </c>
      <c r="O109" s="571">
        <v>354</v>
      </c>
      <c r="P109" s="588">
        <v>1</v>
      </c>
      <c r="Q109" s="588">
        <v>355</v>
      </c>
      <c r="R109" s="576">
        <v>1.0028248587570621</v>
      </c>
      <c r="S109" s="589">
        <v>355</v>
      </c>
    </row>
    <row r="110" spans="1:19" ht="14.4" customHeight="1" x14ac:dyDescent="0.3">
      <c r="A110" s="570" t="s">
        <v>839</v>
      </c>
      <c r="B110" s="571" t="s">
        <v>840</v>
      </c>
      <c r="C110" s="571" t="s">
        <v>424</v>
      </c>
      <c r="D110" s="571" t="s">
        <v>836</v>
      </c>
      <c r="E110" s="571" t="s">
        <v>858</v>
      </c>
      <c r="F110" s="571" t="s">
        <v>890</v>
      </c>
      <c r="G110" s="571" t="s">
        <v>891</v>
      </c>
      <c r="H110" s="588"/>
      <c r="I110" s="588"/>
      <c r="J110" s="571"/>
      <c r="K110" s="571"/>
      <c r="L110" s="588">
        <v>4</v>
      </c>
      <c r="M110" s="588">
        <v>888</v>
      </c>
      <c r="N110" s="571">
        <v>1</v>
      </c>
      <c r="O110" s="571">
        <v>222</v>
      </c>
      <c r="P110" s="588">
        <v>2</v>
      </c>
      <c r="Q110" s="588">
        <v>446</v>
      </c>
      <c r="R110" s="576">
        <v>0.50225225225225223</v>
      </c>
      <c r="S110" s="589">
        <v>223</v>
      </c>
    </row>
    <row r="111" spans="1:19" ht="14.4" customHeight="1" x14ac:dyDescent="0.3">
      <c r="A111" s="570" t="s">
        <v>839</v>
      </c>
      <c r="B111" s="571" t="s">
        <v>840</v>
      </c>
      <c r="C111" s="571" t="s">
        <v>424</v>
      </c>
      <c r="D111" s="571" t="s">
        <v>836</v>
      </c>
      <c r="E111" s="571" t="s">
        <v>858</v>
      </c>
      <c r="F111" s="571" t="s">
        <v>899</v>
      </c>
      <c r="G111" s="571" t="s">
        <v>900</v>
      </c>
      <c r="H111" s="588"/>
      <c r="I111" s="588"/>
      <c r="J111" s="571"/>
      <c r="K111" s="571"/>
      <c r="L111" s="588"/>
      <c r="M111" s="588"/>
      <c r="N111" s="571"/>
      <c r="O111" s="571"/>
      <c r="P111" s="588">
        <v>1</v>
      </c>
      <c r="Q111" s="588">
        <v>701</v>
      </c>
      <c r="R111" s="576"/>
      <c r="S111" s="589">
        <v>701</v>
      </c>
    </row>
    <row r="112" spans="1:19" ht="14.4" customHeight="1" x14ac:dyDescent="0.3">
      <c r="A112" s="570" t="s">
        <v>839</v>
      </c>
      <c r="B112" s="571" t="s">
        <v>840</v>
      </c>
      <c r="C112" s="571" t="s">
        <v>424</v>
      </c>
      <c r="D112" s="571" t="s">
        <v>520</v>
      </c>
      <c r="E112" s="571" t="s">
        <v>841</v>
      </c>
      <c r="F112" s="571" t="s">
        <v>842</v>
      </c>
      <c r="G112" s="571" t="s">
        <v>843</v>
      </c>
      <c r="H112" s="588">
        <v>0.2</v>
      </c>
      <c r="I112" s="588">
        <v>10.82</v>
      </c>
      <c r="J112" s="571"/>
      <c r="K112" s="571">
        <v>54.1</v>
      </c>
      <c r="L112" s="588"/>
      <c r="M112" s="588"/>
      <c r="N112" s="571"/>
      <c r="O112" s="571"/>
      <c r="P112" s="588"/>
      <c r="Q112" s="588"/>
      <c r="R112" s="576"/>
      <c r="S112" s="589"/>
    </row>
    <row r="113" spans="1:19" ht="14.4" customHeight="1" x14ac:dyDescent="0.3">
      <c r="A113" s="570" t="s">
        <v>839</v>
      </c>
      <c r="B113" s="571" t="s">
        <v>840</v>
      </c>
      <c r="C113" s="571" t="s">
        <v>424</v>
      </c>
      <c r="D113" s="571" t="s">
        <v>520</v>
      </c>
      <c r="E113" s="571" t="s">
        <v>841</v>
      </c>
      <c r="F113" s="571" t="s">
        <v>852</v>
      </c>
      <c r="G113" s="571" t="s">
        <v>853</v>
      </c>
      <c r="H113" s="588"/>
      <c r="I113" s="588"/>
      <c r="J113" s="571"/>
      <c r="K113" s="571"/>
      <c r="L113" s="588">
        <v>1</v>
      </c>
      <c r="M113" s="588">
        <v>56.84</v>
      </c>
      <c r="N113" s="571">
        <v>1</v>
      </c>
      <c r="O113" s="571">
        <v>56.84</v>
      </c>
      <c r="P113" s="588"/>
      <c r="Q113" s="588"/>
      <c r="R113" s="576"/>
      <c r="S113" s="589"/>
    </row>
    <row r="114" spans="1:19" ht="14.4" customHeight="1" x14ac:dyDescent="0.3">
      <c r="A114" s="570" t="s">
        <v>839</v>
      </c>
      <c r="B114" s="571" t="s">
        <v>840</v>
      </c>
      <c r="C114" s="571" t="s">
        <v>424</v>
      </c>
      <c r="D114" s="571" t="s">
        <v>520</v>
      </c>
      <c r="E114" s="571" t="s">
        <v>841</v>
      </c>
      <c r="F114" s="571" t="s">
        <v>854</v>
      </c>
      <c r="G114" s="571" t="s">
        <v>855</v>
      </c>
      <c r="H114" s="588">
        <v>1</v>
      </c>
      <c r="I114" s="588">
        <v>3.62</v>
      </c>
      <c r="J114" s="571"/>
      <c r="K114" s="571">
        <v>3.62</v>
      </c>
      <c r="L114" s="588"/>
      <c r="M114" s="588"/>
      <c r="N114" s="571"/>
      <c r="O114" s="571"/>
      <c r="P114" s="588"/>
      <c r="Q114" s="588"/>
      <c r="R114" s="576"/>
      <c r="S114" s="589"/>
    </row>
    <row r="115" spans="1:19" ht="14.4" customHeight="1" x14ac:dyDescent="0.3">
      <c r="A115" s="570" t="s">
        <v>839</v>
      </c>
      <c r="B115" s="571" t="s">
        <v>840</v>
      </c>
      <c r="C115" s="571" t="s">
        <v>424</v>
      </c>
      <c r="D115" s="571" t="s">
        <v>520</v>
      </c>
      <c r="E115" s="571" t="s">
        <v>858</v>
      </c>
      <c r="F115" s="571" t="s">
        <v>863</v>
      </c>
      <c r="G115" s="571" t="s">
        <v>864</v>
      </c>
      <c r="H115" s="588">
        <v>7</v>
      </c>
      <c r="I115" s="588">
        <v>245</v>
      </c>
      <c r="J115" s="571">
        <v>0.94594594594594594</v>
      </c>
      <c r="K115" s="571">
        <v>35</v>
      </c>
      <c r="L115" s="588">
        <v>7</v>
      </c>
      <c r="M115" s="588">
        <v>259</v>
      </c>
      <c r="N115" s="571">
        <v>1</v>
      </c>
      <c r="O115" s="571">
        <v>37</v>
      </c>
      <c r="P115" s="588">
        <v>16</v>
      </c>
      <c r="Q115" s="588">
        <v>592</v>
      </c>
      <c r="R115" s="576">
        <v>2.2857142857142856</v>
      </c>
      <c r="S115" s="589">
        <v>37</v>
      </c>
    </row>
    <row r="116" spans="1:19" ht="14.4" customHeight="1" x14ac:dyDescent="0.3">
      <c r="A116" s="570" t="s">
        <v>839</v>
      </c>
      <c r="B116" s="571" t="s">
        <v>840</v>
      </c>
      <c r="C116" s="571" t="s">
        <v>424</v>
      </c>
      <c r="D116" s="571" t="s">
        <v>520</v>
      </c>
      <c r="E116" s="571" t="s">
        <v>858</v>
      </c>
      <c r="F116" s="571" t="s">
        <v>865</v>
      </c>
      <c r="G116" s="571" t="s">
        <v>866</v>
      </c>
      <c r="H116" s="588">
        <v>1</v>
      </c>
      <c r="I116" s="588">
        <v>10</v>
      </c>
      <c r="J116" s="571"/>
      <c r="K116" s="571">
        <v>10</v>
      </c>
      <c r="L116" s="588"/>
      <c r="M116" s="588"/>
      <c r="N116" s="571"/>
      <c r="O116" s="571"/>
      <c r="P116" s="588">
        <v>2</v>
      </c>
      <c r="Q116" s="588">
        <v>20</v>
      </c>
      <c r="R116" s="576"/>
      <c r="S116" s="589">
        <v>10</v>
      </c>
    </row>
    <row r="117" spans="1:19" ht="14.4" customHeight="1" x14ac:dyDescent="0.3">
      <c r="A117" s="570" t="s">
        <v>839</v>
      </c>
      <c r="B117" s="571" t="s">
        <v>840</v>
      </c>
      <c r="C117" s="571" t="s">
        <v>424</v>
      </c>
      <c r="D117" s="571" t="s">
        <v>520</v>
      </c>
      <c r="E117" s="571" t="s">
        <v>858</v>
      </c>
      <c r="F117" s="571" t="s">
        <v>871</v>
      </c>
      <c r="G117" s="571" t="s">
        <v>872</v>
      </c>
      <c r="H117" s="588">
        <v>1</v>
      </c>
      <c r="I117" s="588">
        <v>70</v>
      </c>
      <c r="J117" s="571">
        <v>0.47297297297297297</v>
      </c>
      <c r="K117" s="571">
        <v>70</v>
      </c>
      <c r="L117" s="588">
        <v>2</v>
      </c>
      <c r="M117" s="588">
        <v>148</v>
      </c>
      <c r="N117" s="571">
        <v>1</v>
      </c>
      <c r="O117" s="571">
        <v>74</v>
      </c>
      <c r="P117" s="588">
        <v>6</v>
      </c>
      <c r="Q117" s="588">
        <v>444</v>
      </c>
      <c r="R117" s="576">
        <v>3</v>
      </c>
      <c r="S117" s="589">
        <v>74</v>
      </c>
    </row>
    <row r="118" spans="1:19" ht="14.4" customHeight="1" x14ac:dyDescent="0.3">
      <c r="A118" s="570" t="s">
        <v>839</v>
      </c>
      <c r="B118" s="571" t="s">
        <v>840</v>
      </c>
      <c r="C118" s="571" t="s">
        <v>424</v>
      </c>
      <c r="D118" s="571" t="s">
        <v>520</v>
      </c>
      <c r="E118" s="571" t="s">
        <v>858</v>
      </c>
      <c r="F118" s="571" t="s">
        <v>876</v>
      </c>
      <c r="G118" s="571" t="s">
        <v>877</v>
      </c>
      <c r="H118" s="588">
        <v>1</v>
      </c>
      <c r="I118" s="588">
        <v>165</v>
      </c>
      <c r="J118" s="571">
        <v>0.1864406779661017</v>
      </c>
      <c r="K118" s="571">
        <v>165</v>
      </c>
      <c r="L118" s="588">
        <v>5</v>
      </c>
      <c r="M118" s="588">
        <v>885</v>
      </c>
      <c r="N118" s="571">
        <v>1</v>
      </c>
      <c r="O118" s="571">
        <v>177</v>
      </c>
      <c r="P118" s="588">
        <v>4</v>
      </c>
      <c r="Q118" s="588">
        <v>708</v>
      </c>
      <c r="R118" s="576">
        <v>0.8</v>
      </c>
      <c r="S118" s="589">
        <v>177</v>
      </c>
    </row>
    <row r="119" spans="1:19" ht="14.4" customHeight="1" x14ac:dyDescent="0.3">
      <c r="A119" s="570" t="s">
        <v>839</v>
      </c>
      <c r="B119" s="571" t="s">
        <v>840</v>
      </c>
      <c r="C119" s="571" t="s">
        <v>424</v>
      </c>
      <c r="D119" s="571" t="s">
        <v>520</v>
      </c>
      <c r="E119" s="571" t="s">
        <v>858</v>
      </c>
      <c r="F119" s="571" t="s">
        <v>880</v>
      </c>
      <c r="G119" s="571" t="s">
        <v>881</v>
      </c>
      <c r="H119" s="588">
        <v>3</v>
      </c>
      <c r="I119" s="588">
        <v>99.99</v>
      </c>
      <c r="J119" s="571">
        <v>0.37497187429685747</v>
      </c>
      <c r="K119" s="571">
        <v>33.33</v>
      </c>
      <c r="L119" s="588">
        <v>8</v>
      </c>
      <c r="M119" s="588">
        <v>266.65999999999997</v>
      </c>
      <c r="N119" s="571">
        <v>1</v>
      </c>
      <c r="O119" s="571">
        <v>33.332499999999996</v>
      </c>
      <c r="P119" s="588">
        <v>12</v>
      </c>
      <c r="Q119" s="588">
        <v>400</v>
      </c>
      <c r="R119" s="576">
        <v>1.5000375009375235</v>
      </c>
      <c r="S119" s="589">
        <v>33.333333333333336</v>
      </c>
    </row>
    <row r="120" spans="1:19" ht="14.4" customHeight="1" x14ac:dyDescent="0.3">
      <c r="A120" s="570" t="s">
        <v>839</v>
      </c>
      <c r="B120" s="571" t="s">
        <v>840</v>
      </c>
      <c r="C120" s="571" t="s">
        <v>424</v>
      </c>
      <c r="D120" s="571" t="s">
        <v>520</v>
      </c>
      <c r="E120" s="571" t="s">
        <v>858</v>
      </c>
      <c r="F120" s="571" t="s">
        <v>882</v>
      </c>
      <c r="G120" s="571" t="s">
        <v>883</v>
      </c>
      <c r="H120" s="588"/>
      <c r="I120" s="588"/>
      <c r="J120" s="571"/>
      <c r="K120" s="571"/>
      <c r="L120" s="588">
        <v>1</v>
      </c>
      <c r="M120" s="588">
        <v>37</v>
      </c>
      <c r="N120" s="571">
        <v>1</v>
      </c>
      <c r="O120" s="571">
        <v>37</v>
      </c>
      <c r="P120" s="588">
        <v>1</v>
      </c>
      <c r="Q120" s="588">
        <v>37</v>
      </c>
      <c r="R120" s="576">
        <v>1</v>
      </c>
      <c r="S120" s="589">
        <v>37</v>
      </c>
    </row>
    <row r="121" spans="1:19" ht="14.4" customHeight="1" x14ac:dyDescent="0.3">
      <c r="A121" s="570" t="s">
        <v>839</v>
      </c>
      <c r="B121" s="571" t="s">
        <v>840</v>
      </c>
      <c r="C121" s="571" t="s">
        <v>424</v>
      </c>
      <c r="D121" s="571" t="s">
        <v>520</v>
      </c>
      <c r="E121" s="571" t="s">
        <v>858</v>
      </c>
      <c r="F121" s="571" t="s">
        <v>884</v>
      </c>
      <c r="G121" s="571" t="s">
        <v>885</v>
      </c>
      <c r="H121" s="588">
        <v>1</v>
      </c>
      <c r="I121" s="588">
        <v>129</v>
      </c>
      <c r="J121" s="571"/>
      <c r="K121" s="571">
        <v>129</v>
      </c>
      <c r="L121" s="588"/>
      <c r="M121" s="588"/>
      <c r="N121" s="571"/>
      <c r="O121" s="571"/>
      <c r="P121" s="588"/>
      <c r="Q121" s="588"/>
      <c r="R121" s="576"/>
      <c r="S121" s="589"/>
    </row>
    <row r="122" spans="1:19" ht="14.4" customHeight="1" x14ac:dyDescent="0.3">
      <c r="A122" s="570" t="s">
        <v>839</v>
      </c>
      <c r="B122" s="571" t="s">
        <v>840</v>
      </c>
      <c r="C122" s="571" t="s">
        <v>424</v>
      </c>
      <c r="D122" s="571" t="s">
        <v>520</v>
      </c>
      <c r="E122" s="571" t="s">
        <v>858</v>
      </c>
      <c r="F122" s="571" t="s">
        <v>886</v>
      </c>
      <c r="G122" s="571" t="s">
        <v>887</v>
      </c>
      <c r="H122" s="588">
        <v>11</v>
      </c>
      <c r="I122" s="588">
        <v>770</v>
      </c>
      <c r="J122" s="571">
        <v>0.47297297297297297</v>
      </c>
      <c r="K122" s="571">
        <v>70</v>
      </c>
      <c r="L122" s="588">
        <v>22</v>
      </c>
      <c r="M122" s="588">
        <v>1628</v>
      </c>
      <c r="N122" s="571">
        <v>1</v>
      </c>
      <c r="O122" s="571">
        <v>74</v>
      </c>
      <c r="P122" s="588">
        <v>12</v>
      </c>
      <c r="Q122" s="588">
        <v>888</v>
      </c>
      <c r="R122" s="576">
        <v>0.54545454545454541</v>
      </c>
      <c r="S122" s="589">
        <v>74</v>
      </c>
    </row>
    <row r="123" spans="1:19" ht="14.4" customHeight="1" x14ac:dyDescent="0.3">
      <c r="A123" s="570" t="s">
        <v>839</v>
      </c>
      <c r="B123" s="571" t="s">
        <v>840</v>
      </c>
      <c r="C123" s="571" t="s">
        <v>424</v>
      </c>
      <c r="D123" s="571" t="s">
        <v>520</v>
      </c>
      <c r="E123" s="571" t="s">
        <v>858</v>
      </c>
      <c r="F123" s="571" t="s">
        <v>888</v>
      </c>
      <c r="G123" s="571" t="s">
        <v>889</v>
      </c>
      <c r="H123" s="588">
        <v>4</v>
      </c>
      <c r="I123" s="588">
        <v>1324</v>
      </c>
      <c r="J123" s="571">
        <v>1.8700564971751412</v>
      </c>
      <c r="K123" s="571">
        <v>331</v>
      </c>
      <c r="L123" s="588">
        <v>2</v>
      </c>
      <c r="M123" s="588">
        <v>708</v>
      </c>
      <c r="N123" s="571">
        <v>1</v>
      </c>
      <c r="O123" s="571">
        <v>354</v>
      </c>
      <c r="P123" s="588">
        <v>6</v>
      </c>
      <c r="Q123" s="588">
        <v>2130</v>
      </c>
      <c r="R123" s="576">
        <v>3.0084745762711864</v>
      </c>
      <c r="S123" s="589">
        <v>355</v>
      </c>
    </row>
    <row r="124" spans="1:19" ht="14.4" customHeight="1" x14ac:dyDescent="0.3">
      <c r="A124" s="570" t="s">
        <v>839</v>
      </c>
      <c r="B124" s="571" t="s">
        <v>840</v>
      </c>
      <c r="C124" s="571" t="s">
        <v>424</v>
      </c>
      <c r="D124" s="571" t="s">
        <v>520</v>
      </c>
      <c r="E124" s="571" t="s">
        <v>858</v>
      </c>
      <c r="F124" s="571" t="s">
        <v>890</v>
      </c>
      <c r="G124" s="571" t="s">
        <v>891</v>
      </c>
      <c r="H124" s="588">
        <v>1</v>
      </c>
      <c r="I124" s="588">
        <v>210</v>
      </c>
      <c r="J124" s="571">
        <v>0.94594594594594594</v>
      </c>
      <c r="K124" s="571">
        <v>210</v>
      </c>
      <c r="L124" s="588">
        <v>1</v>
      </c>
      <c r="M124" s="588">
        <v>222</v>
      </c>
      <c r="N124" s="571">
        <v>1</v>
      </c>
      <c r="O124" s="571">
        <v>222</v>
      </c>
      <c r="P124" s="588">
        <v>8</v>
      </c>
      <c r="Q124" s="588">
        <v>1784</v>
      </c>
      <c r="R124" s="576">
        <v>8.0360360360360357</v>
      </c>
      <c r="S124" s="589">
        <v>223</v>
      </c>
    </row>
    <row r="125" spans="1:19" ht="14.4" customHeight="1" x14ac:dyDescent="0.3">
      <c r="A125" s="570" t="s">
        <v>839</v>
      </c>
      <c r="B125" s="571" t="s">
        <v>840</v>
      </c>
      <c r="C125" s="571" t="s">
        <v>424</v>
      </c>
      <c r="D125" s="571" t="s">
        <v>520</v>
      </c>
      <c r="E125" s="571" t="s">
        <v>858</v>
      </c>
      <c r="F125" s="571" t="s">
        <v>899</v>
      </c>
      <c r="G125" s="571" t="s">
        <v>900</v>
      </c>
      <c r="H125" s="588"/>
      <c r="I125" s="588"/>
      <c r="J125" s="571"/>
      <c r="K125" s="571"/>
      <c r="L125" s="588">
        <v>1</v>
      </c>
      <c r="M125" s="588">
        <v>701</v>
      </c>
      <c r="N125" s="571">
        <v>1</v>
      </c>
      <c r="O125" s="571">
        <v>701</v>
      </c>
      <c r="P125" s="588">
        <v>2</v>
      </c>
      <c r="Q125" s="588">
        <v>1402</v>
      </c>
      <c r="R125" s="576">
        <v>2</v>
      </c>
      <c r="S125" s="589">
        <v>701</v>
      </c>
    </row>
    <row r="126" spans="1:19" ht="14.4" customHeight="1" x14ac:dyDescent="0.3">
      <c r="A126" s="570" t="s">
        <v>839</v>
      </c>
      <c r="B126" s="571" t="s">
        <v>840</v>
      </c>
      <c r="C126" s="571" t="s">
        <v>424</v>
      </c>
      <c r="D126" s="571" t="s">
        <v>520</v>
      </c>
      <c r="E126" s="571" t="s">
        <v>858</v>
      </c>
      <c r="F126" s="571" t="s">
        <v>901</v>
      </c>
      <c r="G126" s="571" t="s">
        <v>902</v>
      </c>
      <c r="H126" s="588">
        <v>39</v>
      </c>
      <c r="I126" s="588">
        <v>8385</v>
      </c>
      <c r="J126" s="571">
        <v>0.54177166117464626</v>
      </c>
      <c r="K126" s="571">
        <v>215</v>
      </c>
      <c r="L126" s="588">
        <v>67</v>
      </c>
      <c r="M126" s="588">
        <v>15477</v>
      </c>
      <c r="N126" s="571">
        <v>1</v>
      </c>
      <c r="O126" s="571">
        <v>231</v>
      </c>
      <c r="P126" s="588">
        <v>73</v>
      </c>
      <c r="Q126" s="588">
        <v>16863</v>
      </c>
      <c r="R126" s="576">
        <v>1.0895522388059702</v>
      </c>
      <c r="S126" s="589">
        <v>231</v>
      </c>
    </row>
    <row r="127" spans="1:19" ht="14.4" customHeight="1" x14ac:dyDescent="0.3">
      <c r="A127" s="570" t="s">
        <v>839</v>
      </c>
      <c r="B127" s="571" t="s">
        <v>840</v>
      </c>
      <c r="C127" s="571" t="s">
        <v>424</v>
      </c>
      <c r="D127" s="571" t="s">
        <v>521</v>
      </c>
      <c r="E127" s="571" t="s">
        <v>841</v>
      </c>
      <c r="F127" s="571" t="s">
        <v>842</v>
      </c>
      <c r="G127" s="571" t="s">
        <v>843</v>
      </c>
      <c r="H127" s="588">
        <v>2.4000000000000004</v>
      </c>
      <c r="I127" s="588">
        <v>129.84</v>
      </c>
      <c r="J127" s="571">
        <v>0.41379310344827591</v>
      </c>
      <c r="K127" s="571">
        <v>54.099999999999994</v>
      </c>
      <c r="L127" s="588">
        <v>5.8000000000000007</v>
      </c>
      <c r="M127" s="588">
        <v>313.77999999999997</v>
      </c>
      <c r="N127" s="571">
        <v>1</v>
      </c>
      <c r="O127" s="571">
        <v>54.099999999999987</v>
      </c>
      <c r="P127" s="588">
        <v>0.8</v>
      </c>
      <c r="Q127" s="588">
        <v>43.28</v>
      </c>
      <c r="R127" s="576">
        <v>0.13793103448275865</v>
      </c>
      <c r="S127" s="589">
        <v>54.1</v>
      </c>
    </row>
    <row r="128" spans="1:19" ht="14.4" customHeight="1" x14ac:dyDescent="0.3">
      <c r="A128" s="570" t="s">
        <v>839</v>
      </c>
      <c r="B128" s="571" t="s">
        <v>840</v>
      </c>
      <c r="C128" s="571" t="s">
        <v>424</v>
      </c>
      <c r="D128" s="571" t="s">
        <v>521</v>
      </c>
      <c r="E128" s="571" t="s">
        <v>841</v>
      </c>
      <c r="F128" s="571" t="s">
        <v>847</v>
      </c>
      <c r="G128" s="571" t="s">
        <v>501</v>
      </c>
      <c r="H128" s="588"/>
      <c r="I128" s="588"/>
      <c r="J128" s="571"/>
      <c r="K128" s="571"/>
      <c r="L128" s="588">
        <v>0.2</v>
      </c>
      <c r="M128" s="588">
        <v>12.28</v>
      </c>
      <c r="N128" s="571">
        <v>1</v>
      </c>
      <c r="O128" s="571">
        <v>61.399999999999991</v>
      </c>
      <c r="P128" s="588"/>
      <c r="Q128" s="588"/>
      <c r="R128" s="576"/>
      <c r="S128" s="589"/>
    </row>
    <row r="129" spans="1:19" ht="14.4" customHeight="1" x14ac:dyDescent="0.3">
      <c r="A129" s="570" t="s">
        <v>839</v>
      </c>
      <c r="B129" s="571" t="s">
        <v>840</v>
      </c>
      <c r="C129" s="571" t="s">
        <v>424</v>
      </c>
      <c r="D129" s="571" t="s">
        <v>521</v>
      </c>
      <c r="E129" s="571" t="s">
        <v>841</v>
      </c>
      <c r="F129" s="571" t="s">
        <v>850</v>
      </c>
      <c r="G129" s="571" t="s">
        <v>851</v>
      </c>
      <c r="H129" s="588"/>
      <c r="I129" s="588"/>
      <c r="J129" s="571"/>
      <c r="K129" s="571"/>
      <c r="L129" s="588">
        <v>0.2</v>
      </c>
      <c r="M129" s="588">
        <v>35.4</v>
      </c>
      <c r="N129" s="571">
        <v>1</v>
      </c>
      <c r="O129" s="571">
        <v>176.99999999999997</v>
      </c>
      <c r="P129" s="588">
        <v>0.1</v>
      </c>
      <c r="Q129" s="588">
        <v>17.7</v>
      </c>
      <c r="R129" s="576">
        <v>0.5</v>
      </c>
      <c r="S129" s="589">
        <v>176.99999999999997</v>
      </c>
    </row>
    <row r="130" spans="1:19" ht="14.4" customHeight="1" x14ac:dyDescent="0.3">
      <c r="A130" s="570" t="s">
        <v>839</v>
      </c>
      <c r="B130" s="571" t="s">
        <v>840</v>
      </c>
      <c r="C130" s="571" t="s">
        <v>424</v>
      </c>
      <c r="D130" s="571" t="s">
        <v>521</v>
      </c>
      <c r="E130" s="571" t="s">
        <v>841</v>
      </c>
      <c r="F130" s="571" t="s">
        <v>852</v>
      </c>
      <c r="G130" s="571" t="s">
        <v>853</v>
      </c>
      <c r="H130" s="588">
        <v>6</v>
      </c>
      <c r="I130" s="588">
        <v>341.04000000000008</v>
      </c>
      <c r="J130" s="571">
        <v>3.0000000000000004</v>
      </c>
      <c r="K130" s="571">
        <v>56.840000000000011</v>
      </c>
      <c r="L130" s="588">
        <v>2</v>
      </c>
      <c r="M130" s="588">
        <v>113.68</v>
      </c>
      <c r="N130" s="571">
        <v>1</v>
      </c>
      <c r="O130" s="571">
        <v>56.84</v>
      </c>
      <c r="P130" s="588"/>
      <c r="Q130" s="588"/>
      <c r="R130" s="576"/>
      <c r="S130" s="589"/>
    </row>
    <row r="131" spans="1:19" ht="14.4" customHeight="1" x14ac:dyDescent="0.3">
      <c r="A131" s="570" t="s">
        <v>839</v>
      </c>
      <c r="B131" s="571" t="s">
        <v>840</v>
      </c>
      <c r="C131" s="571" t="s">
        <v>424</v>
      </c>
      <c r="D131" s="571" t="s">
        <v>521</v>
      </c>
      <c r="E131" s="571" t="s">
        <v>841</v>
      </c>
      <c r="F131" s="571" t="s">
        <v>854</v>
      </c>
      <c r="G131" s="571" t="s">
        <v>855</v>
      </c>
      <c r="H131" s="588">
        <v>13</v>
      </c>
      <c r="I131" s="588">
        <v>47.06</v>
      </c>
      <c r="J131" s="571">
        <v>0.60271516393442626</v>
      </c>
      <c r="K131" s="571">
        <v>3.62</v>
      </c>
      <c r="L131" s="588">
        <v>32</v>
      </c>
      <c r="M131" s="588">
        <v>78.08</v>
      </c>
      <c r="N131" s="571">
        <v>1</v>
      </c>
      <c r="O131" s="571">
        <v>2.44</v>
      </c>
      <c r="P131" s="588"/>
      <c r="Q131" s="588"/>
      <c r="R131" s="576"/>
      <c r="S131" s="589"/>
    </row>
    <row r="132" spans="1:19" ht="14.4" customHeight="1" x14ac:dyDescent="0.3">
      <c r="A132" s="570" t="s">
        <v>839</v>
      </c>
      <c r="B132" s="571" t="s">
        <v>840</v>
      </c>
      <c r="C132" s="571" t="s">
        <v>424</v>
      </c>
      <c r="D132" s="571" t="s">
        <v>521</v>
      </c>
      <c r="E132" s="571" t="s">
        <v>841</v>
      </c>
      <c r="F132" s="571" t="s">
        <v>856</v>
      </c>
      <c r="G132" s="571" t="s">
        <v>443</v>
      </c>
      <c r="H132" s="588"/>
      <c r="I132" s="588"/>
      <c r="J132" s="571"/>
      <c r="K132" s="571"/>
      <c r="L132" s="588"/>
      <c r="M132" s="588"/>
      <c r="N132" s="571"/>
      <c r="O132" s="571"/>
      <c r="P132" s="588">
        <v>0.2</v>
      </c>
      <c r="Q132" s="588">
        <v>0.96</v>
      </c>
      <c r="R132" s="576"/>
      <c r="S132" s="589">
        <v>4.8</v>
      </c>
    </row>
    <row r="133" spans="1:19" ht="14.4" customHeight="1" x14ac:dyDescent="0.3">
      <c r="A133" s="570" t="s">
        <v>839</v>
      </c>
      <c r="B133" s="571" t="s">
        <v>840</v>
      </c>
      <c r="C133" s="571" t="s">
        <v>424</v>
      </c>
      <c r="D133" s="571" t="s">
        <v>521</v>
      </c>
      <c r="E133" s="571" t="s">
        <v>858</v>
      </c>
      <c r="F133" s="571" t="s">
        <v>859</v>
      </c>
      <c r="G133" s="571" t="s">
        <v>860</v>
      </c>
      <c r="H133" s="588">
        <v>1</v>
      </c>
      <c r="I133" s="588">
        <v>171</v>
      </c>
      <c r="J133" s="571"/>
      <c r="K133" s="571">
        <v>171</v>
      </c>
      <c r="L133" s="588"/>
      <c r="M133" s="588"/>
      <c r="N133" s="571"/>
      <c r="O133" s="571"/>
      <c r="P133" s="588"/>
      <c r="Q133" s="588"/>
      <c r="R133" s="576"/>
      <c r="S133" s="589"/>
    </row>
    <row r="134" spans="1:19" ht="14.4" customHeight="1" x14ac:dyDescent="0.3">
      <c r="A134" s="570" t="s">
        <v>839</v>
      </c>
      <c r="B134" s="571" t="s">
        <v>840</v>
      </c>
      <c r="C134" s="571" t="s">
        <v>424</v>
      </c>
      <c r="D134" s="571" t="s">
        <v>521</v>
      </c>
      <c r="E134" s="571" t="s">
        <v>858</v>
      </c>
      <c r="F134" s="571" t="s">
        <v>863</v>
      </c>
      <c r="G134" s="571" t="s">
        <v>864</v>
      </c>
      <c r="H134" s="588">
        <v>143</v>
      </c>
      <c r="I134" s="588">
        <v>5005</v>
      </c>
      <c r="J134" s="571">
        <v>0.70453265765765771</v>
      </c>
      <c r="K134" s="571">
        <v>35</v>
      </c>
      <c r="L134" s="588">
        <v>192</v>
      </c>
      <c r="M134" s="588">
        <v>7104</v>
      </c>
      <c r="N134" s="571">
        <v>1</v>
      </c>
      <c r="O134" s="571">
        <v>37</v>
      </c>
      <c r="P134" s="588">
        <v>201</v>
      </c>
      <c r="Q134" s="588">
        <v>7437</v>
      </c>
      <c r="R134" s="576">
        <v>1.046875</v>
      </c>
      <c r="S134" s="589">
        <v>37</v>
      </c>
    </row>
    <row r="135" spans="1:19" ht="14.4" customHeight="1" x14ac:dyDescent="0.3">
      <c r="A135" s="570" t="s">
        <v>839</v>
      </c>
      <c r="B135" s="571" t="s">
        <v>840</v>
      </c>
      <c r="C135" s="571" t="s">
        <v>424</v>
      </c>
      <c r="D135" s="571" t="s">
        <v>521</v>
      </c>
      <c r="E135" s="571" t="s">
        <v>858</v>
      </c>
      <c r="F135" s="571" t="s">
        <v>865</v>
      </c>
      <c r="G135" s="571" t="s">
        <v>866</v>
      </c>
      <c r="H135" s="588">
        <v>382</v>
      </c>
      <c r="I135" s="588">
        <v>3820</v>
      </c>
      <c r="J135" s="571">
        <v>0.99479166666666663</v>
      </c>
      <c r="K135" s="571">
        <v>10</v>
      </c>
      <c r="L135" s="588">
        <v>384</v>
      </c>
      <c r="M135" s="588">
        <v>3840</v>
      </c>
      <c r="N135" s="571">
        <v>1</v>
      </c>
      <c r="O135" s="571">
        <v>10</v>
      </c>
      <c r="P135" s="588">
        <v>356</v>
      </c>
      <c r="Q135" s="588">
        <v>3560</v>
      </c>
      <c r="R135" s="576">
        <v>0.92708333333333337</v>
      </c>
      <c r="S135" s="589">
        <v>10</v>
      </c>
    </row>
    <row r="136" spans="1:19" ht="14.4" customHeight="1" x14ac:dyDescent="0.3">
      <c r="A136" s="570" t="s">
        <v>839</v>
      </c>
      <c r="B136" s="571" t="s">
        <v>840</v>
      </c>
      <c r="C136" s="571" t="s">
        <v>424</v>
      </c>
      <c r="D136" s="571" t="s">
        <v>521</v>
      </c>
      <c r="E136" s="571" t="s">
        <v>858</v>
      </c>
      <c r="F136" s="571" t="s">
        <v>867</v>
      </c>
      <c r="G136" s="571" t="s">
        <v>868</v>
      </c>
      <c r="H136" s="588">
        <v>8</v>
      </c>
      <c r="I136" s="588">
        <v>40</v>
      </c>
      <c r="J136" s="571">
        <v>0.53333333333333333</v>
      </c>
      <c r="K136" s="571">
        <v>5</v>
      </c>
      <c r="L136" s="588">
        <v>15</v>
      </c>
      <c r="M136" s="588">
        <v>75</v>
      </c>
      <c r="N136" s="571">
        <v>1</v>
      </c>
      <c r="O136" s="571">
        <v>5</v>
      </c>
      <c r="P136" s="588">
        <v>2</v>
      </c>
      <c r="Q136" s="588">
        <v>10</v>
      </c>
      <c r="R136" s="576">
        <v>0.13333333333333333</v>
      </c>
      <c r="S136" s="589">
        <v>5</v>
      </c>
    </row>
    <row r="137" spans="1:19" ht="14.4" customHeight="1" x14ac:dyDescent="0.3">
      <c r="A137" s="570" t="s">
        <v>839</v>
      </c>
      <c r="B137" s="571" t="s">
        <v>840</v>
      </c>
      <c r="C137" s="571" t="s">
        <v>424</v>
      </c>
      <c r="D137" s="571" t="s">
        <v>521</v>
      </c>
      <c r="E137" s="571" t="s">
        <v>858</v>
      </c>
      <c r="F137" s="571" t="s">
        <v>869</v>
      </c>
      <c r="G137" s="571" t="s">
        <v>870</v>
      </c>
      <c r="H137" s="588"/>
      <c r="I137" s="588"/>
      <c r="J137" s="571"/>
      <c r="K137" s="571"/>
      <c r="L137" s="588"/>
      <c r="M137" s="588"/>
      <c r="N137" s="571"/>
      <c r="O137" s="571"/>
      <c r="P137" s="588">
        <v>1</v>
      </c>
      <c r="Q137" s="588">
        <v>5</v>
      </c>
      <c r="R137" s="576"/>
      <c r="S137" s="589">
        <v>5</v>
      </c>
    </row>
    <row r="138" spans="1:19" ht="14.4" customHeight="1" x14ac:dyDescent="0.3">
      <c r="A138" s="570" t="s">
        <v>839</v>
      </c>
      <c r="B138" s="571" t="s">
        <v>840</v>
      </c>
      <c r="C138" s="571" t="s">
        <v>424</v>
      </c>
      <c r="D138" s="571" t="s">
        <v>521</v>
      </c>
      <c r="E138" s="571" t="s">
        <v>858</v>
      </c>
      <c r="F138" s="571" t="s">
        <v>871</v>
      </c>
      <c r="G138" s="571" t="s">
        <v>872</v>
      </c>
      <c r="H138" s="588">
        <v>9</v>
      </c>
      <c r="I138" s="588">
        <v>630</v>
      </c>
      <c r="J138" s="571">
        <v>8.513513513513514</v>
      </c>
      <c r="K138" s="571">
        <v>70</v>
      </c>
      <c r="L138" s="588">
        <v>1</v>
      </c>
      <c r="M138" s="588">
        <v>74</v>
      </c>
      <c r="N138" s="571">
        <v>1</v>
      </c>
      <c r="O138" s="571">
        <v>74</v>
      </c>
      <c r="P138" s="588">
        <v>176</v>
      </c>
      <c r="Q138" s="588">
        <v>13024</v>
      </c>
      <c r="R138" s="576">
        <v>176</v>
      </c>
      <c r="S138" s="589">
        <v>74</v>
      </c>
    </row>
    <row r="139" spans="1:19" ht="14.4" customHeight="1" x14ac:dyDescent="0.3">
      <c r="A139" s="570" t="s">
        <v>839</v>
      </c>
      <c r="B139" s="571" t="s">
        <v>840</v>
      </c>
      <c r="C139" s="571" t="s">
        <v>424</v>
      </c>
      <c r="D139" s="571" t="s">
        <v>521</v>
      </c>
      <c r="E139" s="571" t="s">
        <v>858</v>
      </c>
      <c r="F139" s="571" t="s">
        <v>873</v>
      </c>
      <c r="G139" s="571" t="s">
        <v>874</v>
      </c>
      <c r="H139" s="588">
        <v>9</v>
      </c>
      <c r="I139" s="588">
        <v>315</v>
      </c>
      <c r="J139" s="571"/>
      <c r="K139" s="571">
        <v>35</v>
      </c>
      <c r="L139" s="588"/>
      <c r="M139" s="588"/>
      <c r="N139" s="571"/>
      <c r="O139" s="571"/>
      <c r="P139" s="588"/>
      <c r="Q139" s="588"/>
      <c r="R139" s="576"/>
      <c r="S139" s="589"/>
    </row>
    <row r="140" spans="1:19" ht="14.4" customHeight="1" x14ac:dyDescent="0.3">
      <c r="A140" s="570" t="s">
        <v>839</v>
      </c>
      <c r="B140" s="571" t="s">
        <v>840</v>
      </c>
      <c r="C140" s="571" t="s">
        <v>424</v>
      </c>
      <c r="D140" s="571" t="s">
        <v>521</v>
      </c>
      <c r="E140" s="571" t="s">
        <v>858</v>
      </c>
      <c r="F140" s="571" t="s">
        <v>876</v>
      </c>
      <c r="G140" s="571" t="s">
        <v>877</v>
      </c>
      <c r="H140" s="588">
        <v>4</v>
      </c>
      <c r="I140" s="588">
        <v>660</v>
      </c>
      <c r="J140" s="571"/>
      <c r="K140" s="571">
        <v>165</v>
      </c>
      <c r="L140" s="588"/>
      <c r="M140" s="588"/>
      <c r="N140" s="571"/>
      <c r="O140" s="571"/>
      <c r="P140" s="588"/>
      <c r="Q140" s="588"/>
      <c r="R140" s="576"/>
      <c r="S140" s="589"/>
    </row>
    <row r="141" spans="1:19" ht="14.4" customHeight="1" x14ac:dyDescent="0.3">
      <c r="A141" s="570" t="s">
        <v>839</v>
      </c>
      <c r="B141" s="571" t="s">
        <v>840</v>
      </c>
      <c r="C141" s="571" t="s">
        <v>424</v>
      </c>
      <c r="D141" s="571" t="s">
        <v>521</v>
      </c>
      <c r="E141" s="571" t="s">
        <v>858</v>
      </c>
      <c r="F141" s="571" t="s">
        <v>878</v>
      </c>
      <c r="G141" s="571" t="s">
        <v>879</v>
      </c>
      <c r="H141" s="588">
        <v>3</v>
      </c>
      <c r="I141" s="588">
        <v>513</v>
      </c>
      <c r="J141" s="571">
        <v>1.4329608938547487</v>
      </c>
      <c r="K141" s="571">
        <v>171</v>
      </c>
      <c r="L141" s="588">
        <v>2</v>
      </c>
      <c r="M141" s="588">
        <v>358</v>
      </c>
      <c r="N141" s="571">
        <v>1</v>
      </c>
      <c r="O141" s="571">
        <v>179</v>
      </c>
      <c r="P141" s="588">
        <v>1</v>
      </c>
      <c r="Q141" s="588">
        <v>272</v>
      </c>
      <c r="R141" s="576">
        <v>0.75977653631284914</v>
      </c>
      <c r="S141" s="589">
        <v>272</v>
      </c>
    </row>
    <row r="142" spans="1:19" ht="14.4" customHeight="1" x14ac:dyDescent="0.3">
      <c r="A142" s="570" t="s">
        <v>839</v>
      </c>
      <c r="B142" s="571" t="s">
        <v>840</v>
      </c>
      <c r="C142" s="571" t="s">
        <v>424</v>
      </c>
      <c r="D142" s="571" t="s">
        <v>521</v>
      </c>
      <c r="E142" s="571" t="s">
        <v>858</v>
      </c>
      <c r="F142" s="571" t="s">
        <v>880</v>
      </c>
      <c r="G142" s="571" t="s">
        <v>881</v>
      </c>
      <c r="H142" s="588">
        <v>157</v>
      </c>
      <c r="I142" s="588">
        <v>2933.33</v>
      </c>
      <c r="J142" s="571">
        <v>0.16417879538895866</v>
      </c>
      <c r="K142" s="571">
        <v>18.683630573248408</v>
      </c>
      <c r="L142" s="588">
        <v>536</v>
      </c>
      <c r="M142" s="588">
        <v>17866.68</v>
      </c>
      <c r="N142" s="571">
        <v>1</v>
      </c>
      <c r="O142" s="571">
        <v>33.333358208955225</v>
      </c>
      <c r="P142" s="588">
        <v>475</v>
      </c>
      <c r="Q142" s="588">
        <v>15833.33</v>
      </c>
      <c r="R142" s="576">
        <v>0.88619318194538654</v>
      </c>
      <c r="S142" s="589">
        <v>33.333326315789471</v>
      </c>
    </row>
    <row r="143" spans="1:19" ht="14.4" customHeight="1" x14ac:dyDescent="0.3">
      <c r="A143" s="570" t="s">
        <v>839</v>
      </c>
      <c r="B143" s="571" t="s">
        <v>840</v>
      </c>
      <c r="C143" s="571" t="s">
        <v>424</v>
      </c>
      <c r="D143" s="571" t="s">
        <v>521</v>
      </c>
      <c r="E143" s="571" t="s">
        <v>858</v>
      </c>
      <c r="F143" s="571" t="s">
        <v>882</v>
      </c>
      <c r="G143" s="571" t="s">
        <v>883</v>
      </c>
      <c r="H143" s="588"/>
      <c r="I143" s="588"/>
      <c r="J143" s="571"/>
      <c r="K143" s="571"/>
      <c r="L143" s="588">
        <v>5</v>
      </c>
      <c r="M143" s="588">
        <v>185</v>
      </c>
      <c r="N143" s="571">
        <v>1</v>
      </c>
      <c r="O143" s="571">
        <v>37</v>
      </c>
      <c r="P143" s="588">
        <v>6</v>
      </c>
      <c r="Q143" s="588">
        <v>222</v>
      </c>
      <c r="R143" s="576">
        <v>1.2</v>
      </c>
      <c r="S143" s="589">
        <v>37</v>
      </c>
    </row>
    <row r="144" spans="1:19" ht="14.4" customHeight="1" x14ac:dyDescent="0.3">
      <c r="A144" s="570" t="s">
        <v>839</v>
      </c>
      <c r="B144" s="571" t="s">
        <v>840</v>
      </c>
      <c r="C144" s="571" t="s">
        <v>424</v>
      </c>
      <c r="D144" s="571" t="s">
        <v>521</v>
      </c>
      <c r="E144" s="571" t="s">
        <v>858</v>
      </c>
      <c r="F144" s="571" t="s">
        <v>884</v>
      </c>
      <c r="G144" s="571" t="s">
        <v>885</v>
      </c>
      <c r="H144" s="588">
        <v>22</v>
      </c>
      <c r="I144" s="588">
        <v>2838</v>
      </c>
      <c r="J144" s="571">
        <v>0.61897491821155948</v>
      </c>
      <c r="K144" s="571">
        <v>129</v>
      </c>
      <c r="L144" s="588">
        <v>35</v>
      </c>
      <c r="M144" s="588">
        <v>4585</v>
      </c>
      <c r="N144" s="571">
        <v>1</v>
      </c>
      <c r="O144" s="571">
        <v>131</v>
      </c>
      <c r="P144" s="588">
        <v>27</v>
      </c>
      <c r="Q144" s="588">
        <v>3564</v>
      </c>
      <c r="R144" s="576">
        <v>0.77731733914940027</v>
      </c>
      <c r="S144" s="589">
        <v>132</v>
      </c>
    </row>
    <row r="145" spans="1:19" ht="14.4" customHeight="1" x14ac:dyDescent="0.3">
      <c r="A145" s="570" t="s">
        <v>839</v>
      </c>
      <c r="B145" s="571" t="s">
        <v>840</v>
      </c>
      <c r="C145" s="571" t="s">
        <v>424</v>
      </c>
      <c r="D145" s="571" t="s">
        <v>521</v>
      </c>
      <c r="E145" s="571" t="s">
        <v>858</v>
      </c>
      <c r="F145" s="571" t="s">
        <v>886</v>
      </c>
      <c r="G145" s="571" t="s">
        <v>887</v>
      </c>
      <c r="H145" s="588">
        <v>94</v>
      </c>
      <c r="I145" s="588">
        <v>6580</v>
      </c>
      <c r="J145" s="571">
        <v>0.31199620673304884</v>
      </c>
      <c r="K145" s="571">
        <v>70</v>
      </c>
      <c r="L145" s="588">
        <v>285</v>
      </c>
      <c r="M145" s="588">
        <v>21090</v>
      </c>
      <c r="N145" s="571">
        <v>1</v>
      </c>
      <c r="O145" s="571">
        <v>74</v>
      </c>
      <c r="P145" s="588">
        <v>176</v>
      </c>
      <c r="Q145" s="588">
        <v>13024</v>
      </c>
      <c r="R145" s="576">
        <v>0.61754385964912284</v>
      </c>
      <c r="S145" s="589">
        <v>74</v>
      </c>
    </row>
    <row r="146" spans="1:19" ht="14.4" customHeight="1" x14ac:dyDescent="0.3">
      <c r="A146" s="570" t="s">
        <v>839</v>
      </c>
      <c r="B146" s="571" t="s">
        <v>840</v>
      </c>
      <c r="C146" s="571" t="s">
        <v>424</v>
      </c>
      <c r="D146" s="571" t="s">
        <v>521</v>
      </c>
      <c r="E146" s="571" t="s">
        <v>858</v>
      </c>
      <c r="F146" s="571" t="s">
        <v>888</v>
      </c>
      <c r="G146" s="571" t="s">
        <v>889</v>
      </c>
      <c r="H146" s="588">
        <v>351</v>
      </c>
      <c r="I146" s="588">
        <v>116181</v>
      </c>
      <c r="J146" s="571">
        <v>0.86367082961641395</v>
      </c>
      <c r="K146" s="571">
        <v>331</v>
      </c>
      <c r="L146" s="588">
        <v>380</v>
      </c>
      <c r="M146" s="588">
        <v>134520</v>
      </c>
      <c r="N146" s="571">
        <v>1</v>
      </c>
      <c r="O146" s="571">
        <v>354</v>
      </c>
      <c r="P146" s="588">
        <v>358</v>
      </c>
      <c r="Q146" s="588">
        <v>127090</v>
      </c>
      <c r="R146" s="576">
        <v>0.94476657746060067</v>
      </c>
      <c r="S146" s="589">
        <v>355</v>
      </c>
    </row>
    <row r="147" spans="1:19" ht="14.4" customHeight="1" x14ac:dyDescent="0.3">
      <c r="A147" s="570" t="s">
        <v>839</v>
      </c>
      <c r="B147" s="571" t="s">
        <v>840</v>
      </c>
      <c r="C147" s="571" t="s">
        <v>424</v>
      </c>
      <c r="D147" s="571" t="s">
        <v>521</v>
      </c>
      <c r="E147" s="571" t="s">
        <v>858</v>
      </c>
      <c r="F147" s="571" t="s">
        <v>890</v>
      </c>
      <c r="G147" s="571" t="s">
        <v>891</v>
      </c>
      <c r="H147" s="588">
        <v>50</v>
      </c>
      <c r="I147" s="588">
        <v>10500</v>
      </c>
      <c r="J147" s="571">
        <v>1.2783053323593865</v>
      </c>
      <c r="K147" s="571">
        <v>210</v>
      </c>
      <c r="L147" s="588">
        <v>37</v>
      </c>
      <c r="M147" s="588">
        <v>8214</v>
      </c>
      <c r="N147" s="571">
        <v>1</v>
      </c>
      <c r="O147" s="571">
        <v>222</v>
      </c>
      <c r="P147" s="588">
        <v>511</v>
      </c>
      <c r="Q147" s="588">
        <v>113953</v>
      </c>
      <c r="R147" s="576">
        <v>13.873021670318968</v>
      </c>
      <c r="S147" s="589">
        <v>223</v>
      </c>
    </row>
    <row r="148" spans="1:19" ht="14.4" customHeight="1" x14ac:dyDescent="0.3">
      <c r="A148" s="570" t="s">
        <v>839</v>
      </c>
      <c r="B148" s="571" t="s">
        <v>840</v>
      </c>
      <c r="C148" s="571" t="s">
        <v>424</v>
      </c>
      <c r="D148" s="571" t="s">
        <v>521</v>
      </c>
      <c r="E148" s="571" t="s">
        <v>858</v>
      </c>
      <c r="F148" s="571" t="s">
        <v>892</v>
      </c>
      <c r="G148" s="571" t="s">
        <v>893</v>
      </c>
      <c r="H148" s="588">
        <v>13</v>
      </c>
      <c r="I148" s="588">
        <v>1001</v>
      </c>
      <c r="J148" s="571">
        <v>1.4444444444444444</v>
      </c>
      <c r="K148" s="571">
        <v>77</v>
      </c>
      <c r="L148" s="588">
        <v>9</v>
      </c>
      <c r="M148" s="588">
        <v>693</v>
      </c>
      <c r="N148" s="571">
        <v>1</v>
      </c>
      <c r="O148" s="571">
        <v>77</v>
      </c>
      <c r="P148" s="588">
        <v>8</v>
      </c>
      <c r="Q148" s="588">
        <v>616</v>
      </c>
      <c r="R148" s="576">
        <v>0.88888888888888884</v>
      </c>
      <c r="S148" s="589">
        <v>77</v>
      </c>
    </row>
    <row r="149" spans="1:19" ht="14.4" customHeight="1" x14ac:dyDescent="0.3">
      <c r="A149" s="570" t="s">
        <v>839</v>
      </c>
      <c r="B149" s="571" t="s">
        <v>840</v>
      </c>
      <c r="C149" s="571" t="s">
        <v>424</v>
      </c>
      <c r="D149" s="571" t="s">
        <v>521</v>
      </c>
      <c r="E149" s="571" t="s">
        <v>858</v>
      </c>
      <c r="F149" s="571" t="s">
        <v>896</v>
      </c>
      <c r="G149" s="571" t="s">
        <v>897</v>
      </c>
      <c r="H149" s="588"/>
      <c r="I149" s="588"/>
      <c r="J149" s="571"/>
      <c r="K149" s="571"/>
      <c r="L149" s="588">
        <v>2</v>
      </c>
      <c r="M149" s="588">
        <v>118</v>
      </c>
      <c r="N149" s="571">
        <v>1</v>
      </c>
      <c r="O149" s="571">
        <v>59</v>
      </c>
      <c r="P149" s="588"/>
      <c r="Q149" s="588"/>
      <c r="R149" s="576"/>
      <c r="S149" s="589"/>
    </row>
    <row r="150" spans="1:19" ht="14.4" customHeight="1" x14ac:dyDescent="0.3">
      <c r="A150" s="570" t="s">
        <v>839</v>
      </c>
      <c r="B150" s="571" t="s">
        <v>840</v>
      </c>
      <c r="C150" s="571" t="s">
        <v>424</v>
      </c>
      <c r="D150" s="571" t="s">
        <v>521</v>
      </c>
      <c r="E150" s="571" t="s">
        <v>858</v>
      </c>
      <c r="F150" s="571" t="s">
        <v>898</v>
      </c>
      <c r="G150" s="571"/>
      <c r="H150" s="588">
        <v>20</v>
      </c>
      <c r="I150" s="588">
        <v>4860</v>
      </c>
      <c r="J150" s="571"/>
      <c r="K150" s="571">
        <v>243</v>
      </c>
      <c r="L150" s="588"/>
      <c r="M150" s="588"/>
      <c r="N150" s="571"/>
      <c r="O150" s="571"/>
      <c r="P150" s="588"/>
      <c r="Q150" s="588"/>
      <c r="R150" s="576"/>
      <c r="S150" s="589"/>
    </row>
    <row r="151" spans="1:19" ht="14.4" customHeight="1" x14ac:dyDescent="0.3">
      <c r="A151" s="570" t="s">
        <v>839</v>
      </c>
      <c r="B151" s="571" t="s">
        <v>840</v>
      </c>
      <c r="C151" s="571" t="s">
        <v>424</v>
      </c>
      <c r="D151" s="571" t="s">
        <v>521</v>
      </c>
      <c r="E151" s="571" t="s">
        <v>858</v>
      </c>
      <c r="F151" s="571" t="s">
        <v>899</v>
      </c>
      <c r="G151" s="571" t="s">
        <v>900</v>
      </c>
      <c r="H151" s="588">
        <v>200</v>
      </c>
      <c r="I151" s="588">
        <v>130600</v>
      </c>
      <c r="J151" s="571">
        <v>1.1717313092706736</v>
      </c>
      <c r="K151" s="571">
        <v>653</v>
      </c>
      <c r="L151" s="588">
        <v>159</v>
      </c>
      <c r="M151" s="588">
        <v>111459</v>
      </c>
      <c r="N151" s="571">
        <v>1</v>
      </c>
      <c r="O151" s="571">
        <v>701</v>
      </c>
      <c r="P151" s="588">
        <v>117</v>
      </c>
      <c r="Q151" s="588">
        <v>82017</v>
      </c>
      <c r="R151" s="576">
        <v>0.73584905660377353</v>
      </c>
      <c r="S151" s="589">
        <v>701</v>
      </c>
    </row>
    <row r="152" spans="1:19" ht="14.4" customHeight="1" x14ac:dyDescent="0.3">
      <c r="A152" s="570" t="s">
        <v>839</v>
      </c>
      <c r="B152" s="571" t="s">
        <v>840</v>
      </c>
      <c r="C152" s="571" t="s">
        <v>424</v>
      </c>
      <c r="D152" s="571" t="s">
        <v>521</v>
      </c>
      <c r="E152" s="571" t="s">
        <v>858</v>
      </c>
      <c r="F152" s="571" t="s">
        <v>901</v>
      </c>
      <c r="G152" s="571" t="s">
        <v>902</v>
      </c>
      <c r="H152" s="588">
        <v>370</v>
      </c>
      <c r="I152" s="588">
        <v>79550</v>
      </c>
      <c r="J152" s="571">
        <v>0.92325011896057474</v>
      </c>
      <c r="K152" s="571">
        <v>215</v>
      </c>
      <c r="L152" s="588">
        <v>373</v>
      </c>
      <c r="M152" s="588">
        <v>86163</v>
      </c>
      <c r="N152" s="571">
        <v>1</v>
      </c>
      <c r="O152" s="571">
        <v>231</v>
      </c>
      <c r="P152" s="588">
        <v>378</v>
      </c>
      <c r="Q152" s="588">
        <v>87318</v>
      </c>
      <c r="R152" s="576">
        <v>1.0134048257372654</v>
      </c>
      <c r="S152" s="589">
        <v>231</v>
      </c>
    </row>
    <row r="153" spans="1:19" ht="14.4" customHeight="1" x14ac:dyDescent="0.3">
      <c r="A153" s="570" t="s">
        <v>839</v>
      </c>
      <c r="B153" s="571" t="s">
        <v>840</v>
      </c>
      <c r="C153" s="571" t="s">
        <v>424</v>
      </c>
      <c r="D153" s="571" t="s">
        <v>521</v>
      </c>
      <c r="E153" s="571" t="s">
        <v>858</v>
      </c>
      <c r="F153" s="571" t="s">
        <v>903</v>
      </c>
      <c r="G153" s="571" t="s">
        <v>904</v>
      </c>
      <c r="H153" s="588"/>
      <c r="I153" s="588"/>
      <c r="J153" s="571"/>
      <c r="K153" s="571"/>
      <c r="L153" s="588">
        <v>7</v>
      </c>
      <c r="M153" s="588">
        <v>3304</v>
      </c>
      <c r="N153" s="571">
        <v>1</v>
      </c>
      <c r="O153" s="571">
        <v>472</v>
      </c>
      <c r="P153" s="588">
        <v>7</v>
      </c>
      <c r="Q153" s="588">
        <v>3311</v>
      </c>
      <c r="R153" s="576">
        <v>1.0021186440677967</v>
      </c>
      <c r="S153" s="589">
        <v>473</v>
      </c>
    </row>
    <row r="154" spans="1:19" ht="14.4" customHeight="1" x14ac:dyDescent="0.3">
      <c r="A154" s="570" t="s">
        <v>839</v>
      </c>
      <c r="B154" s="571" t="s">
        <v>840</v>
      </c>
      <c r="C154" s="571" t="s">
        <v>424</v>
      </c>
      <c r="D154" s="571" t="s">
        <v>837</v>
      </c>
      <c r="E154" s="571" t="s">
        <v>858</v>
      </c>
      <c r="F154" s="571" t="s">
        <v>886</v>
      </c>
      <c r="G154" s="571" t="s">
        <v>887</v>
      </c>
      <c r="H154" s="588"/>
      <c r="I154" s="588"/>
      <c r="J154" s="571"/>
      <c r="K154" s="571"/>
      <c r="L154" s="588">
        <v>1</v>
      </c>
      <c r="M154" s="588">
        <v>74</v>
      </c>
      <c r="N154" s="571">
        <v>1</v>
      </c>
      <c r="O154" s="571">
        <v>74</v>
      </c>
      <c r="P154" s="588"/>
      <c r="Q154" s="588"/>
      <c r="R154" s="576"/>
      <c r="S154" s="589"/>
    </row>
    <row r="155" spans="1:19" ht="14.4" customHeight="1" x14ac:dyDescent="0.3">
      <c r="A155" s="570" t="s">
        <v>839</v>
      </c>
      <c r="B155" s="571" t="s">
        <v>840</v>
      </c>
      <c r="C155" s="571" t="s">
        <v>424</v>
      </c>
      <c r="D155" s="571" t="s">
        <v>522</v>
      </c>
      <c r="E155" s="571" t="s">
        <v>841</v>
      </c>
      <c r="F155" s="571" t="s">
        <v>842</v>
      </c>
      <c r="G155" s="571" t="s">
        <v>843</v>
      </c>
      <c r="H155" s="588">
        <v>34.200000000000003</v>
      </c>
      <c r="I155" s="588">
        <v>1850.2200000000003</v>
      </c>
      <c r="J155" s="571">
        <v>0.75663716814159299</v>
      </c>
      <c r="K155" s="571">
        <v>54.1</v>
      </c>
      <c r="L155" s="588">
        <v>45.2</v>
      </c>
      <c r="M155" s="588">
        <v>2445.3200000000002</v>
      </c>
      <c r="N155" s="571">
        <v>1</v>
      </c>
      <c r="O155" s="571">
        <v>54.1</v>
      </c>
      <c r="P155" s="588">
        <v>19</v>
      </c>
      <c r="Q155" s="588">
        <v>1027.9000000000001</v>
      </c>
      <c r="R155" s="576">
        <v>0.42035398230088494</v>
      </c>
      <c r="S155" s="589">
        <v>54.1</v>
      </c>
    </row>
    <row r="156" spans="1:19" ht="14.4" customHeight="1" x14ac:dyDescent="0.3">
      <c r="A156" s="570" t="s">
        <v>839</v>
      </c>
      <c r="B156" s="571" t="s">
        <v>840</v>
      </c>
      <c r="C156" s="571" t="s">
        <v>424</v>
      </c>
      <c r="D156" s="571" t="s">
        <v>522</v>
      </c>
      <c r="E156" s="571" t="s">
        <v>841</v>
      </c>
      <c r="F156" s="571" t="s">
        <v>847</v>
      </c>
      <c r="G156" s="571" t="s">
        <v>501</v>
      </c>
      <c r="H156" s="588">
        <v>1.3</v>
      </c>
      <c r="I156" s="588">
        <v>79.819999999999993</v>
      </c>
      <c r="J156" s="571">
        <v>0.7222222222222221</v>
      </c>
      <c r="K156" s="571">
        <v>61.399999999999991</v>
      </c>
      <c r="L156" s="588">
        <v>1.7999999999999998</v>
      </c>
      <c r="M156" s="588">
        <v>110.52000000000001</v>
      </c>
      <c r="N156" s="571">
        <v>1</v>
      </c>
      <c r="O156" s="571">
        <v>61.400000000000013</v>
      </c>
      <c r="P156" s="588">
        <v>0.30000000000000004</v>
      </c>
      <c r="Q156" s="588">
        <v>18.419999999999998</v>
      </c>
      <c r="R156" s="576">
        <v>0.16666666666666663</v>
      </c>
      <c r="S156" s="589">
        <v>61.399999999999984</v>
      </c>
    </row>
    <row r="157" spans="1:19" ht="14.4" customHeight="1" x14ac:dyDescent="0.3">
      <c r="A157" s="570" t="s">
        <v>839</v>
      </c>
      <c r="B157" s="571" t="s">
        <v>840</v>
      </c>
      <c r="C157" s="571" t="s">
        <v>424</v>
      </c>
      <c r="D157" s="571" t="s">
        <v>522</v>
      </c>
      <c r="E157" s="571" t="s">
        <v>841</v>
      </c>
      <c r="F157" s="571" t="s">
        <v>850</v>
      </c>
      <c r="G157" s="571" t="s">
        <v>851</v>
      </c>
      <c r="H157" s="588">
        <v>1.5</v>
      </c>
      <c r="I157" s="588">
        <v>258.86</v>
      </c>
      <c r="J157" s="571">
        <v>0.97499058380414316</v>
      </c>
      <c r="K157" s="571">
        <v>172.57333333333335</v>
      </c>
      <c r="L157" s="588">
        <v>1.5</v>
      </c>
      <c r="M157" s="588">
        <v>265.5</v>
      </c>
      <c r="N157" s="571">
        <v>1</v>
      </c>
      <c r="O157" s="571">
        <v>177</v>
      </c>
      <c r="P157" s="588">
        <v>0.4</v>
      </c>
      <c r="Q157" s="588">
        <v>70.8</v>
      </c>
      <c r="R157" s="576">
        <v>0.26666666666666666</v>
      </c>
      <c r="S157" s="589">
        <v>176.99999999999997</v>
      </c>
    </row>
    <row r="158" spans="1:19" ht="14.4" customHeight="1" x14ac:dyDescent="0.3">
      <c r="A158" s="570" t="s">
        <v>839</v>
      </c>
      <c r="B158" s="571" t="s">
        <v>840</v>
      </c>
      <c r="C158" s="571" t="s">
        <v>424</v>
      </c>
      <c r="D158" s="571" t="s">
        <v>522</v>
      </c>
      <c r="E158" s="571" t="s">
        <v>841</v>
      </c>
      <c r="F158" s="571" t="s">
        <v>852</v>
      </c>
      <c r="G158" s="571" t="s">
        <v>853</v>
      </c>
      <c r="H158" s="588">
        <v>23</v>
      </c>
      <c r="I158" s="588">
        <v>1307.32</v>
      </c>
      <c r="J158" s="571">
        <v>2.0909090909090908</v>
      </c>
      <c r="K158" s="571">
        <v>56.839999999999996</v>
      </c>
      <c r="L158" s="588">
        <v>11</v>
      </c>
      <c r="M158" s="588">
        <v>625.24</v>
      </c>
      <c r="N158" s="571">
        <v>1</v>
      </c>
      <c r="O158" s="571">
        <v>56.84</v>
      </c>
      <c r="P158" s="588"/>
      <c r="Q158" s="588"/>
      <c r="R158" s="576"/>
      <c r="S158" s="589"/>
    </row>
    <row r="159" spans="1:19" ht="14.4" customHeight="1" x14ac:dyDescent="0.3">
      <c r="A159" s="570" t="s">
        <v>839</v>
      </c>
      <c r="B159" s="571" t="s">
        <v>840</v>
      </c>
      <c r="C159" s="571" t="s">
        <v>424</v>
      </c>
      <c r="D159" s="571" t="s">
        <v>522</v>
      </c>
      <c r="E159" s="571" t="s">
        <v>841</v>
      </c>
      <c r="F159" s="571" t="s">
        <v>854</v>
      </c>
      <c r="G159" s="571" t="s">
        <v>855</v>
      </c>
      <c r="H159" s="588">
        <v>174</v>
      </c>
      <c r="I159" s="588">
        <v>629.88</v>
      </c>
      <c r="J159" s="571">
        <v>0.99670865244635731</v>
      </c>
      <c r="K159" s="571">
        <v>3.62</v>
      </c>
      <c r="L159" s="588">
        <v>259</v>
      </c>
      <c r="M159" s="588">
        <v>631.96</v>
      </c>
      <c r="N159" s="571">
        <v>1</v>
      </c>
      <c r="O159" s="571">
        <v>2.44</v>
      </c>
      <c r="P159" s="588"/>
      <c r="Q159" s="588"/>
      <c r="R159" s="576"/>
      <c r="S159" s="589"/>
    </row>
    <row r="160" spans="1:19" ht="14.4" customHeight="1" x14ac:dyDescent="0.3">
      <c r="A160" s="570" t="s">
        <v>839</v>
      </c>
      <c r="B160" s="571" t="s">
        <v>840</v>
      </c>
      <c r="C160" s="571" t="s">
        <v>424</v>
      </c>
      <c r="D160" s="571" t="s">
        <v>522</v>
      </c>
      <c r="E160" s="571" t="s">
        <v>841</v>
      </c>
      <c r="F160" s="571" t="s">
        <v>856</v>
      </c>
      <c r="G160" s="571" t="s">
        <v>443</v>
      </c>
      <c r="H160" s="588"/>
      <c r="I160" s="588"/>
      <c r="J160" s="571"/>
      <c r="K160" s="571"/>
      <c r="L160" s="588"/>
      <c r="M160" s="588"/>
      <c r="N160" s="571"/>
      <c r="O160" s="571"/>
      <c r="P160" s="588">
        <v>4.8499999999999996</v>
      </c>
      <c r="Q160" s="588">
        <v>23.28</v>
      </c>
      <c r="R160" s="576"/>
      <c r="S160" s="589">
        <v>4.8000000000000007</v>
      </c>
    </row>
    <row r="161" spans="1:19" ht="14.4" customHeight="1" x14ac:dyDescent="0.3">
      <c r="A161" s="570" t="s">
        <v>839</v>
      </c>
      <c r="B161" s="571" t="s">
        <v>840</v>
      </c>
      <c r="C161" s="571" t="s">
        <v>424</v>
      </c>
      <c r="D161" s="571" t="s">
        <v>522</v>
      </c>
      <c r="E161" s="571" t="s">
        <v>841</v>
      </c>
      <c r="F161" s="571" t="s">
        <v>857</v>
      </c>
      <c r="G161" s="571" t="s">
        <v>853</v>
      </c>
      <c r="H161" s="588"/>
      <c r="I161" s="588"/>
      <c r="J161" s="571"/>
      <c r="K161" s="571"/>
      <c r="L161" s="588"/>
      <c r="M161" s="588"/>
      <c r="N161" s="571"/>
      <c r="O161" s="571"/>
      <c r="P161" s="588">
        <v>1</v>
      </c>
      <c r="Q161" s="588">
        <v>104.44</v>
      </c>
      <c r="R161" s="576"/>
      <c r="S161" s="589">
        <v>104.44</v>
      </c>
    </row>
    <row r="162" spans="1:19" ht="14.4" customHeight="1" x14ac:dyDescent="0.3">
      <c r="A162" s="570" t="s">
        <v>839</v>
      </c>
      <c r="B162" s="571" t="s">
        <v>840</v>
      </c>
      <c r="C162" s="571" t="s">
        <v>424</v>
      </c>
      <c r="D162" s="571" t="s">
        <v>522</v>
      </c>
      <c r="E162" s="571" t="s">
        <v>858</v>
      </c>
      <c r="F162" s="571" t="s">
        <v>861</v>
      </c>
      <c r="G162" s="571" t="s">
        <v>862</v>
      </c>
      <c r="H162" s="588">
        <v>1</v>
      </c>
      <c r="I162" s="588">
        <v>113</v>
      </c>
      <c r="J162" s="571">
        <v>0.92622950819672134</v>
      </c>
      <c r="K162" s="571">
        <v>113</v>
      </c>
      <c r="L162" s="588">
        <v>1</v>
      </c>
      <c r="M162" s="588">
        <v>122</v>
      </c>
      <c r="N162" s="571">
        <v>1</v>
      </c>
      <c r="O162" s="571">
        <v>122</v>
      </c>
      <c r="P162" s="588"/>
      <c r="Q162" s="588"/>
      <c r="R162" s="576"/>
      <c r="S162" s="589"/>
    </row>
    <row r="163" spans="1:19" ht="14.4" customHeight="1" x14ac:dyDescent="0.3">
      <c r="A163" s="570" t="s">
        <v>839</v>
      </c>
      <c r="B163" s="571" t="s">
        <v>840</v>
      </c>
      <c r="C163" s="571" t="s">
        <v>424</v>
      </c>
      <c r="D163" s="571" t="s">
        <v>522</v>
      </c>
      <c r="E163" s="571" t="s">
        <v>858</v>
      </c>
      <c r="F163" s="571" t="s">
        <v>863</v>
      </c>
      <c r="G163" s="571" t="s">
        <v>864</v>
      </c>
      <c r="H163" s="588">
        <v>189</v>
      </c>
      <c r="I163" s="588">
        <v>6615</v>
      </c>
      <c r="J163" s="571">
        <v>0.69028487947406869</v>
      </c>
      <c r="K163" s="571">
        <v>35</v>
      </c>
      <c r="L163" s="588">
        <v>259</v>
      </c>
      <c r="M163" s="588">
        <v>9583</v>
      </c>
      <c r="N163" s="571">
        <v>1</v>
      </c>
      <c r="O163" s="571">
        <v>37</v>
      </c>
      <c r="P163" s="588">
        <v>134</v>
      </c>
      <c r="Q163" s="588">
        <v>4958</v>
      </c>
      <c r="R163" s="576">
        <v>0.51737451737451734</v>
      </c>
      <c r="S163" s="589">
        <v>37</v>
      </c>
    </row>
    <row r="164" spans="1:19" ht="14.4" customHeight="1" x14ac:dyDescent="0.3">
      <c r="A164" s="570" t="s">
        <v>839</v>
      </c>
      <c r="B164" s="571" t="s">
        <v>840</v>
      </c>
      <c r="C164" s="571" t="s">
        <v>424</v>
      </c>
      <c r="D164" s="571" t="s">
        <v>522</v>
      </c>
      <c r="E164" s="571" t="s">
        <v>858</v>
      </c>
      <c r="F164" s="571" t="s">
        <v>865</v>
      </c>
      <c r="G164" s="571" t="s">
        <v>866</v>
      </c>
      <c r="H164" s="588">
        <v>31</v>
      </c>
      <c r="I164" s="588">
        <v>310</v>
      </c>
      <c r="J164" s="571">
        <v>3.4444444444444446</v>
      </c>
      <c r="K164" s="571">
        <v>10</v>
      </c>
      <c r="L164" s="588">
        <v>9</v>
      </c>
      <c r="M164" s="588">
        <v>90</v>
      </c>
      <c r="N164" s="571">
        <v>1</v>
      </c>
      <c r="O164" s="571">
        <v>10</v>
      </c>
      <c r="P164" s="588">
        <v>45</v>
      </c>
      <c r="Q164" s="588">
        <v>450</v>
      </c>
      <c r="R164" s="576">
        <v>5</v>
      </c>
      <c r="S164" s="589">
        <v>10</v>
      </c>
    </row>
    <row r="165" spans="1:19" ht="14.4" customHeight="1" x14ac:dyDescent="0.3">
      <c r="A165" s="570" t="s">
        <v>839</v>
      </c>
      <c r="B165" s="571" t="s">
        <v>840</v>
      </c>
      <c r="C165" s="571" t="s">
        <v>424</v>
      </c>
      <c r="D165" s="571" t="s">
        <v>522</v>
      </c>
      <c r="E165" s="571" t="s">
        <v>858</v>
      </c>
      <c r="F165" s="571" t="s">
        <v>867</v>
      </c>
      <c r="G165" s="571" t="s">
        <v>868</v>
      </c>
      <c r="H165" s="588">
        <v>6</v>
      </c>
      <c r="I165" s="588">
        <v>30</v>
      </c>
      <c r="J165" s="571">
        <v>2</v>
      </c>
      <c r="K165" s="571">
        <v>5</v>
      </c>
      <c r="L165" s="588">
        <v>3</v>
      </c>
      <c r="M165" s="588">
        <v>15</v>
      </c>
      <c r="N165" s="571">
        <v>1</v>
      </c>
      <c r="O165" s="571">
        <v>5</v>
      </c>
      <c r="P165" s="588">
        <v>9</v>
      </c>
      <c r="Q165" s="588">
        <v>45</v>
      </c>
      <c r="R165" s="576">
        <v>3</v>
      </c>
      <c r="S165" s="589">
        <v>5</v>
      </c>
    </row>
    <row r="166" spans="1:19" ht="14.4" customHeight="1" x14ac:dyDescent="0.3">
      <c r="A166" s="570" t="s">
        <v>839</v>
      </c>
      <c r="B166" s="571" t="s">
        <v>840</v>
      </c>
      <c r="C166" s="571" t="s">
        <v>424</v>
      </c>
      <c r="D166" s="571" t="s">
        <v>522</v>
      </c>
      <c r="E166" s="571" t="s">
        <v>858</v>
      </c>
      <c r="F166" s="571" t="s">
        <v>869</v>
      </c>
      <c r="G166" s="571" t="s">
        <v>870</v>
      </c>
      <c r="H166" s="588"/>
      <c r="I166" s="588"/>
      <c r="J166" s="571"/>
      <c r="K166" s="571"/>
      <c r="L166" s="588">
        <v>3</v>
      </c>
      <c r="M166" s="588">
        <v>15</v>
      </c>
      <c r="N166" s="571">
        <v>1</v>
      </c>
      <c r="O166" s="571">
        <v>5</v>
      </c>
      <c r="P166" s="588">
        <v>1</v>
      </c>
      <c r="Q166" s="588">
        <v>5</v>
      </c>
      <c r="R166" s="576">
        <v>0.33333333333333331</v>
      </c>
      <c r="S166" s="589">
        <v>5</v>
      </c>
    </row>
    <row r="167" spans="1:19" ht="14.4" customHeight="1" x14ac:dyDescent="0.3">
      <c r="A167" s="570" t="s">
        <v>839</v>
      </c>
      <c r="B167" s="571" t="s">
        <v>840</v>
      </c>
      <c r="C167" s="571" t="s">
        <v>424</v>
      </c>
      <c r="D167" s="571" t="s">
        <v>522</v>
      </c>
      <c r="E167" s="571" t="s">
        <v>858</v>
      </c>
      <c r="F167" s="571" t="s">
        <v>871</v>
      </c>
      <c r="G167" s="571" t="s">
        <v>872</v>
      </c>
      <c r="H167" s="588">
        <v>54</v>
      </c>
      <c r="I167" s="588">
        <v>3780</v>
      </c>
      <c r="J167" s="571">
        <v>1.9646569646569647</v>
      </c>
      <c r="K167" s="571">
        <v>70</v>
      </c>
      <c r="L167" s="588">
        <v>26</v>
      </c>
      <c r="M167" s="588">
        <v>1924</v>
      </c>
      <c r="N167" s="571">
        <v>1</v>
      </c>
      <c r="O167" s="571">
        <v>74</v>
      </c>
      <c r="P167" s="588">
        <v>55</v>
      </c>
      <c r="Q167" s="588">
        <v>4070</v>
      </c>
      <c r="R167" s="576">
        <v>2.1153846153846154</v>
      </c>
      <c r="S167" s="589">
        <v>74</v>
      </c>
    </row>
    <row r="168" spans="1:19" ht="14.4" customHeight="1" x14ac:dyDescent="0.3">
      <c r="A168" s="570" t="s">
        <v>839</v>
      </c>
      <c r="B168" s="571" t="s">
        <v>840</v>
      </c>
      <c r="C168" s="571" t="s">
        <v>424</v>
      </c>
      <c r="D168" s="571" t="s">
        <v>522</v>
      </c>
      <c r="E168" s="571" t="s">
        <v>858</v>
      </c>
      <c r="F168" s="571" t="s">
        <v>873</v>
      </c>
      <c r="G168" s="571" t="s">
        <v>874</v>
      </c>
      <c r="H168" s="588">
        <v>11</v>
      </c>
      <c r="I168" s="588">
        <v>385</v>
      </c>
      <c r="J168" s="571"/>
      <c r="K168" s="571">
        <v>35</v>
      </c>
      <c r="L168" s="588"/>
      <c r="M168" s="588"/>
      <c r="N168" s="571"/>
      <c r="O168" s="571"/>
      <c r="P168" s="588"/>
      <c r="Q168" s="588"/>
      <c r="R168" s="576"/>
      <c r="S168" s="589"/>
    </row>
    <row r="169" spans="1:19" ht="14.4" customHeight="1" x14ac:dyDescent="0.3">
      <c r="A169" s="570" t="s">
        <v>839</v>
      </c>
      <c r="B169" s="571" t="s">
        <v>840</v>
      </c>
      <c r="C169" s="571" t="s">
        <v>424</v>
      </c>
      <c r="D169" s="571" t="s">
        <v>522</v>
      </c>
      <c r="E169" s="571" t="s">
        <v>858</v>
      </c>
      <c r="F169" s="571" t="s">
        <v>876</v>
      </c>
      <c r="G169" s="571" t="s">
        <v>877</v>
      </c>
      <c r="H169" s="588">
        <v>39</v>
      </c>
      <c r="I169" s="588">
        <v>6435</v>
      </c>
      <c r="J169" s="571">
        <v>0.88673005374121538</v>
      </c>
      <c r="K169" s="571">
        <v>165</v>
      </c>
      <c r="L169" s="588">
        <v>41</v>
      </c>
      <c r="M169" s="588">
        <v>7257</v>
      </c>
      <c r="N169" s="571">
        <v>1</v>
      </c>
      <c r="O169" s="571">
        <v>177</v>
      </c>
      <c r="P169" s="588">
        <v>25</v>
      </c>
      <c r="Q169" s="588">
        <v>4425</v>
      </c>
      <c r="R169" s="576">
        <v>0.6097560975609756</v>
      </c>
      <c r="S169" s="589">
        <v>177</v>
      </c>
    </row>
    <row r="170" spans="1:19" ht="14.4" customHeight="1" x14ac:dyDescent="0.3">
      <c r="A170" s="570" t="s">
        <v>839</v>
      </c>
      <c r="B170" s="571" t="s">
        <v>840</v>
      </c>
      <c r="C170" s="571" t="s">
        <v>424</v>
      </c>
      <c r="D170" s="571" t="s">
        <v>522</v>
      </c>
      <c r="E170" s="571" t="s">
        <v>858</v>
      </c>
      <c r="F170" s="571" t="s">
        <v>880</v>
      </c>
      <c r="G170" s="571" t="s">
        <v>881</v>
      </c>
      <c r="H170" s="588">
        <v>47</v>
      </c>
      <c r="I170" s="588">
        <v>1033.3400000000001</v>
      </c>
      <c r="J170" s="571">
        <v>0.45588462369908284</v>
      </c>
      <c r="K170" s="571">
        <v>21.985957446808513</v>
      </c>
      <c r="L170" s="588">
        <v>68</v>
      </c>
      <c r="M170" s="588">
        <v>2266.67</v>
      </c>
      <c r="N170" s="571">
        <v>1</v>
      </c>
      <c r="O170" s="571">
        <v>33.333382352941179</v>
      </c>
      <c r="P170" s="588">
        <v>112</v>
      </c>
      <c r="Q170" s="588">
        <v>3733.34</v>
      </c>
      <c r="R170" s="576">
        <v>1.6470593425597904</v>
      </c>
      <c r="S170" s="589">
        <v>33.333392857142861</v>
      </c>
    </row>
    <row r="171" spans="1:19" ht="14.4" customHeight="1" x14ac:dyDescent="0.3">
      <c r="A171" s="570" t="s">
        <v>839</v>
      </c>
      <c r="B171" s="571" t="s">
        <v>840</v>
      </c>
      <c r="C171" s="571" t="s">
        <v>424</v>
      </c>
      <c r="D171" s="571" t="s">
        <v>522</v>
      </c>
      <c r="E171" s="571" t="s">
        <v>858</v>
      </c>
      <c r="F171" s="571" t="s">
        <v>882</v>
      </c>
      <c r="G171" s="571" t="s">
        <v>883</v>
      </c>
      <c r="H171" s="588">
        <v>1</v>
      </c>
      <c r="I171" s="588">
        <v>36</v>
      </c>
      <c r="J171" s="571">
        <v>0.97297297297297303</v>
      </c>
      <c r="K171" s="571">
        <v>36</v>
      </c>
      <c r="L171" s="588">
        <v>1</v>
      </c>
      <c r="M171" s="588">
        <v>37</v>
      </c>
      <c r="N171" s="571">
        <v>1</v>
      </c>
      <c r="O171" s="571">
        <v>37</v>
      </c>
      <c r="P171" s="588">
        <v>1</v>
      </c>
      <c r="Q171" s="588">
        <v>37</v>
      </c>
      <c r="R171" s="576">
        <v>1</v>
      </c>
      <c r="S171" s="589">
        <v>37</v>
      </c>
    </row>
    <row r="172" spans="1:19" ht="14.4" customHeight="1" x14ac:dyDescent="0.3">
      <c r="A172" s="570" t="s">
        <v>839</v>
      </c>
      <c r="B172" s="571" t="s">
        <v>840</v>
      </c>
      <c r="C172" s="571" t="s">
        <v>424</v>
      </c>
      <c r="D172" s="571" t="s">
        <v>522</v>
      </c>
      <c r="E172" s="571" t="s">
        <v>858</v>
      </c>
      <c r="F172" s="571" t="s">
        <v>884</v>
      </c>
      <c r="G172" s="571" t="s">
        <v>885</v>
      </c>
      <c r="H172" s="588">
        <v>198</v>
      </c>
      <c r="I172" s="588">
        <v>25542</v>
      </c>
      <c r="J172" s="571">
        <v>0.72752648968895983</v>
      </c>
      <c r="K172" s="571">
        <v>129</v>
      </c>
      <c r="L172" s="588">
        <v>268</v>
      </c>
      <c r="M172" s="588">
        <v>35108</v>
      </c>
      <c r="N172" s="571">
        <v>1</v>
      </c>
      <c r="O172" s="571">
        <v>131</v>
      </c>
      <c r="P172" s="588">
        <v>117</v>
      </c>
      <c r="Q172" s="588">
        <v>15444</v>
      </c>
      <c r="R172" s="576">
        <v>0.43989973795146403</v>
      </c>
      <c r="S172" s="589">
        <v>132</v>
      </c>
    </row>
    <row r="173" spans="1:19" ht="14.4" customHeight="1" x14ac:dyDescent="0.3">
      <c r="A173" s="570" t="s">
        <v>839</v>
      </c>
      <c r="B173" s="571" t="s">
        <v>840</v>
      </c>
      <c r="C173" s="571" t="s">
        <v>424</v>
      </c>
      <c r="D173" s="571" t="s">
        <v>522</v>
      </c>
      <c r="E173" s="571" t="s">
        <v>858</v>
      </c>
      <c r="F173" s="571" t="s">
        <v>886</v>
      </c>
      <c r="G173" s="571" t="s">
        <v>887</v>
      </c>
      <c r="H173" s="588">
        <v>28</v>
      </c>
      <c r="I173" s="588">
        <v>1960</v>
      </c>
      <c r="J173" s="571">
        <v>0.69701280227596019</v>
      </c>
      <c r="K173" s="571">
        <v>70</v>
      </c>
      <c r="L173" s="588">
        <v>38</v>
      </c>
      <c r="M173" s="588">
        <v>2812</v>
      </c>
      <c r="N173" s="571">
        <v>1</v>
      </c>
      <c r="O173" s="571">
        <v>74</v>
      </c>
      <c r="P173" s="588">
        <v>64</v>
      </c>
      <c r="Q173" s="588">
        <v>4736</v>
      </c>
      <c r="R173" s="576">
        <v>1.6842105263157894</v>
      </c>
      <c r="S173" s="589">
        <v>74</v>
      </c>
    </row>
    <row r="174" spans="1:19" ht="14.4" customHeight="1" x14ac:dyDescent="0.3">
      <c r="A174" s="570" t="s">
        <v>839</v>
      </c>
      <c r="B174" s="571" t="s">
        <v>840</v>
      </c>
      <c r="C174" s="571" t="s">
        <v>424</v>
      </c>
      <c r="D174" s="571" t="s">
        <v>522</v>
      </c>
      <c r="E174" s="571" t="s">
        <v>858</v>
      </c>
      <c r="F174" s="571" t="s">
        <v>888</v>
      </c>
      <c r="G174" s="571" t="s">
        <v>889</v>
      </c>
      <c r="H174" s="588">
        <v>39</v>
      </c>
      <c r="I174" s="588">
        <v>12909</v>
      </c>
      <c r="J174" s="571">
        <v>3.0388418079096047</v>
      </c>
      <c r="K174" s="571">
        <v>331</v>
      </c>
      <c r="L174" s="588">
        <v>12</v>
      </c>
      <c r="M174" s="588">
        <v>4248</v>
      </c>
      <c r="N174" s="571">
        <v>1</v>
      </c>
      <c r="O174" s="571">
        <v>354</v>
      </c>
      <c r="P174" s="588">
        <v>66</v>
      </c>
      <c r="Q174" s="588">
        <v>23430</v>
      </c>
      <c r="R174" s="576">
        <v>5.5155367231638417</v>
      </c>
      <c r="S174" s="589">
        <v>355</v>
      </c>
    </row>
    <row r="175" spans="1:19" ht="14.4" customHeight="1" x14ac:dyDescent="0.3">
      <c r="A175" s="570" t="s">
        <v>839</v>
      </c>
      <c r="B175" s="571" t="s">
        <v>840</v>
      </c>
      <c r="C175" s="571" t="s">
        <v>424</v>
      </c>
      <c r="D175" s="571" t="s">
        <v>522</v>
      </c>
      <c r="E175" s="571" t="s">
        <v>858</v>
      </c>
      <c r="F175" s="571" t="s">
        <v>890</v>
      </c>
      <c r="G175" s="571" t="s">
        <v>891</v>
      </c>
      <c r="H175" s="588">
        <v>72</v>
      </c>
      <c r="I175" s="588">
        <v>15120</v>
      </c>
      <c r="J175" s="571">
        <v>1.5479115479115479</v>
      </c>
      <c r="K175" s="571">
        <v>210</v>
      </c>
      <c r="L175" s="588">
        <v>44</v>
      </c>
      <c r="M175" s="588">
        <v>9768</v>
      </c>
      <c r="N175" s="571">
        <v>1</v>
      </c>
      <c r="O175" s="571">
        <v>222</v>
      </c>
      <c r="P175" s="588">
        <v>109</v>
      </c>
      <c r="Q175" s="588">
        <v>24307</v>
      </c>
      <c r="R175" s="576">
        <v>2.4884316134316133</v>
      </c>
      <c r="S175" s="589">
        <v>223</v>
      </c>
    </row>
    <row r="176" spans="1:19" ht="14.4" customHeight="1" x14ac:dyDescent="0.3">
      <c r="A176" s="570" t="s">
        <v>839</v>
      </c>
      <c r="B176" s="571" t="s">
        <v>840</v>
      </c>
      <c r="C176" s="571" t="s">
        <v>424</v>
      </c>
      <c r="D176" s="571" t="s">
        <v>522</v>
      </c>
      <c r="E176" s="571" t="s">
        <v>858</v>
      </c>
      <c r="F176" s="571" t="s">
        <v>892</v>
      </c>
      <c r="G176" s="571" t="s">
        <v>893</v>
      </c>
      <c r="H176" s="588">
        <v>12</v>
      </c>
      <c r="I176" s="588">
        <v>924</v>
      </c>
      <c r="J176" s="571">
        <v>1.5</v>
      </c>
      <c r="K176" s="571">
        <v>77</v>
      </c>
      <c r="L176" s="588">
        <v>8</v>
      </c>
      <c r="M176" s="588">
        <v>616</v>
      </c>
      <c r="N176" s="571">
        <v>1</v>
      </c>
      <c r="O176" s="571">
        <v>77</v>
      </c>
      <c r="P176" s="588"/>
      <c r="Q176" s="588"/>
      <c r="R176" s="576"/>
      <c r="S176" s="589"/>
    </row>
    <row r="177" spans="1:19" ht="14.4" customHeight="1" x14ac:dyDescent="0.3">
      <c r="A177" s="570" t="s">
        <v>839</v>
      </c>
      <c r="B177" s="571" t="s">
        <v>840</v>
      </c>
      <c r="C177" s="571" t="s">
        <v>424</v>
      </c>
      <c r="D177" s="571" t="s">
        <v>522</v>
      </c>
      <c r="E177" s="571" t="s">
        <v>858</v>
      </c>
      <c r="F177" s="571" t="s">
        <v>894</v>
      </c>
      <c r="G177" s="571" t="s">
        <v>895</v>
      </c>
      <c r="H177" s="588"/>
      <c r="I177" s="588"/>
      <c r="J177" s="571"/>
      <c r="K177" s="571"/>
      <c r="L177" s="588">
        <v>1</v>
      </c>
      <c r="M177" s="588">
        <v>28</v>
      </c>
      <c r="N177" s="571">
        <v>1</v>
      </c>
      <c r="O177" s="571">
        <v>28</v>
      </c>
      <c r="P177" s="588"/>
      <c r="Q177" s="588"/>
      <c r="R177" s="576"/>
      <c r="S177" s="589"/>
    </row>
    <row r="178" spans="1:19" ht="14.4" customHeight="1" x14ac:dyDescent="0.3">
      <c r="A178" s="570" t="s">
        <v>839</v>
      </c>
      <c r="B178" s="571" t="s">
        <v>840</v>
      </c>
      <c r="C178" s="571" t="s">
        <v>424</v>
      </c>
      <c r="D178" s="571" t="s">
        <v>522</v>
      </c>
      <c r="E178" s="571" t="s">
        <v>858</v>
      </c>
      <c r="F178" s="571" t="s">
        <v>898</v>
      </c>
      <c r="G178" s="571"/>
      <c r="H178" s="588">
        <v>22</v>
      </c>
      <c r="I178" s="588">
        <v>5346</v>
      </c>
      <c r="J178" s="571"/>
      <c r="K178" s="571">
        <v>243</v>
      </c>
      <c r="L178" s="588"/>
      <c r="M178" s="588"/>
      <c r="N178" s="571"/>
      <c r="O178" s="571"/>
      <c r="P178" s="588"/>
      <c r="Q178" s="588"/>
      <c r="R178" s="576"/>
      <c r="S178" s="589"/>
    </row>
    <row r="179" spans="1:19" ht="14.4" customHeight="1" x14ac:dyDescent="0.3">
      <c r="A179" s="570" t="s">
        <v>839</v>
      </c>
      <c r="B179" s="571" t="s">
        <v>840</v>
      </c>
      <c r="C179" s="571" t="s">
        <v>424</v>
      </c>
      <c r="D179" s="571" t="s">
        <v>522</v>
      </c>
      <c r="E179" s="571" t="s">
        <v>858</v>
      </c>
      <c r="F179" s="571" t="s">
        <v>899</v>
      </c>
      <c r="G179" s="571" t="s">
        <v>900</v>
      </c>
      <c r="H179" s="588">
        <v>23</v>
      </c>
      <c r="I179" s="588">
        <v>15019</v>
      </c>
      <c r="J179" s="571">
        <v>1.5303647850010189</v>
      </c>
      <c r="K179" s="571">
        <v>653</v>
      </c>
      <c r="L179" s="588">
        <v>14</v>
      </c>
      <c r="M179" s="588">
        <v>9814</v>
      </c>
      <c r="N179" s="571">
        <v>1</v>
      </c>
      <c r="O179" s="571">
        <v>701</v>
      </c>
      <c r="P179" s="588">
        <v>21</v>
      </c>
      <c r="Q179" s="588">
        <v>14721</v>
      </c>
      <c r="R179" s="576">
        <v>1.5</v>
      </c>
      <c r="S179" s="589">
        <v>701</v>
      </c>
    </row>
    <row r="180" spans="1:19" ht="14.4" customHeight="1" x14ac:dyDescent="0.3">
      <c r="A180" s="570" t="s">
        <v>839</v>
      </c>
      <c r="B180" s="571" t="s">
        <v>840</v>
      </c>
      <c r="C180" s="571" t="s">
        <v>424</v>
      </c>
      <c r="D180" s="571" t="s">
        <v>522</v>
      </c>
      <c r="E180" s="571" t="s">
        <v>858</v>
      </c>
      <c r="F180" s="571" t="s">
        <v>901</v>
      </c>
      <c r="G180" s="571" t="s">
        <v>902</v>
      </c>
      <c r="H180" s="588">
        <v>50</v>
      </c>
      <c r="I180" s="588">
        <v>10750</v>
      </c>
      <c r="J180" s="571">
        <v>1.4102059556605011</v>
      </c>
      <c r="K180" s="571">
        <v>215</v>
      </c>
      <c r="L180" s="588">
        <v>33</v>
      </c>
      <c r="M180" s="588">
        <v>7623</v>
      </c>
      <c r="N180" s="571">
        <v>1</v>
      </c>
      <c r="O180" s="571">
        <v>231</v>
      </c>
      <c r="P180" s="588">
        <v>66</v>
      </c>
      <c r="Q180" s="588">
        <v>15246</v>
      </c>
      <c r="R180" s="576">
        <v>2</v>
      </c>
      <c r="S180" s="589">
        <v>231</v>
      </c>
    </row>
    <row r="181" spans="1:19" ht="14.4" customHeight="1" x14ac:dyDescent="0.3">
      <c r="A181" s="570" t="s">
        <v>839</v>
      </c>
      <c r="B181" s="571" t="s">
        <v>840</v>
      </c>
      <c r="C181" s="571" t="s">
        <v>424</v>
      </c>
      <c r="D181" s="571" t="s">
        <v>522</v>
      </c>
      <c r="E181" s="571" t="s">
        <v>858</v>
      </c>
      <c r="F181" s="571" t="s">
        <v>903</v>
      </c>
      <c r="G181" s="571" t="s">
        <v>904</v>
      </c>
      <c r="H181" s="588"/>
      <c r="I181" s="588"/>
      <c r="J181" s="571"/>
      <c r="K181" s="571"/>
      <c r="L181" s="588">
        <v>8</v>
      </c>
      <c r="M181" s="588">
        <v>3776</v>
      </c>
      <c r="N181" s="571">
        <v>1</v>
      </c>
      <c r="O181" s="571">
        <v>472</v>
      </c>
      <c r="P181" s="588"/>
      <c r="Q181" s="588"/>
      <c r="R181" s="576"/>
      <c r="S181" s="589"/>
    </row>
    <row r="182" spans="1:19" ht="14.4" customHeight="1" x14ac:dyDescent="0.3">
      <c r="A182" s="570" t="s">
        <v>905</v>
      </c>
      <c r="B182" s="571" t="s">
        <v>906</v>
      </c>
      <c r="C182" s="571" t="s">
        <v>424</v>
      </c>
      <c r="D182" s="571" t="s">
        <v>830</v>
      </c>
      <c r="E182" s="571" t="s">
        <v>858</v>
      </c>
      <c r="F182" s="571" t="s">
        <v>907</v>
      </c>
      <c r="G182" s="571" t="s">
        <v>908</v>
      </c>
      <c r="H182" s="588">
        <v>2</v>
      </c>
      <c r="I182" s="588">
        <v>238</v>
      </c>
      <c r="J182" s="571"/>
      <c r="K182" s="571">
        <v>119</v>
      </c>
      <c r="L182" s="588"/>
      <c r="M182" s="588"/>
      <c r="N182" s="571"/>
      <c r="O182" s="571"/>
      <c r="P182" s="588">
        <v>6</v>
      </c>
      <c r="Q182" s="588">
        <v>726</v>
      </c>
      <c r="R182" s="576"/>
      <c r="S182" s="589">
        <v>121</v>
      </c>
    </row>
    <row r="183" spans="1:19" ht="14.4" customHeight="1" x14ac:dyDescent="0.3">
      <c r="A183" s="570" t="s">
        <v>905</v>
      </c>
      <c r="B183" s="571" t="s">
        <v>906</v>
      </c>
      <c r="C183" s="571" t="s">
        <v>424</v>
      </c>
      <c r="D183" s="571" t="s">
        <v>518</v>
      </c>
      <c r="E183" s="571" t="s">
        <v>858</v>
      </c>
      <c r="F183" s="571" t="s">
        <v>863</v>
      </c>
      <c r="G183" s="571" t="s">
        <v>864</v>
      </c>
      <c r="H183" s="588">
        <v>3</v>
      </c>
      <c r="I183" s="588">
        <v>105</v>
      </c>
      <c r="J183" s="571">
        <v>0.31531531531531531</v>
      </c>
      <c r="K183" s="571">
        <v>35</v>
      </c>
      <c r="L183" s="588">
        <v>9</v>
      </c>
      <c r="M183" s="588">
        <v>333</v>
      </c>
      <c r="N183" s="571">
        <v>1</v>
      </c>
      <c r="O183" s="571">
        <v>37</v>
      </c>
      <c r="P183" s="588"/>
      <c r="Q183" s="588"/>
      <c r="R183" s="576"/>
      <c r="S183" s="589"/>
    </row>
    <row r="184" spans="1:19" ht="14.4" customHeight="1" x14ac:dyDescent="0.3">
      <c r="A184" s="570" t="s">
        <v>905</v>
      </c>
      <c r="B184" s="571" t="s">
        <v>906</v>
      </c>
      <c r="C184" s="571" t="s">
        <v>424</v>
      </c>
      <c r="D184" s="571" t="s">
        <v>518</v>
      </c>
      <c r="E184" s="571" t="s">
        <v>858</v>
      </c>
      <c r="F184" s="571" t="s">
        <v>907</v>
      </c>
      <c r="G184" s="571" t="s">
        <v>908</v>
      </c>
      <c r="H184" s="588">
        <v>463</v>
      </c>
      <c r="I184" s="588">
        <v>55097</v>
      </c>
      <c r="J184" s="571">
        <v>1.5229000248763094</v>
      </c>
      <c r="K184" s="571">
        <v>119</v>
      </c>
      <c r="L184" s="588">
        <v>299</v>
      </c>
      <c r="M184" s="588">
        <v>36179</v>
      </c>
      <c r="N184" s="571">
        <v>1</v>
      </c>
      <c r="O184" s="571">
        <v>121</v>
      </c>
      <c r="P184" s="588">
        <v>438</v>
      </c>
      <c r="Q184" s="588">
        <v>52998</v>
      </c>
      <c r="R184" s="576">
        <v>1.4648829431438126</v>
      </c>
      <c r="S184" s="589">
        <v>121</v>
      </c>
    </row>
    <row r="185" spans="1:19" ht="14.4" customHeight="1" x14ac:dyDescent="0.3">
      <c r="A185" s="570" t="s">
        <v>905</v>
      </c>
      <c r="B185" s="571" t="s">
        <v>906</v>
      </c>
      <c r="C185" s="571" t="s">
        <v>424</v>
      </c>
      <c r="D185" s="571" t="s">
        <v>518</v>
      </c>
      <c r="E185" s="571" t="s">
        <v>858</v>
      </c>
      <c r="F185" s="571" t="s">
        <v>884</v>
      </c>
      <c r="G185" s="571" t="s">
        <v>885</v>
      </c>
      <c r="H185" s="588">
        <v>3</v>
      </c>
      <c r="I185" s="588">
        <v>387</v>
      </c>
      <c r="J185" s="571">
        <v>0.3282442748091603</v>
      </c>
      <c r="K185" s="571">
        <v>129</v>
      </c>
      <c r="L185" s="588">
        <v>9</v>
      </c>
      <c r="M185" s="588">
        <v>1179</v>
      </c>
      <c r="N185" s="571">
        <v>1</v>
      </c>
      <c r="O185" s="571">
        <v>131</v>
      </c>
      <c r="P185" s="588"/>
      <c r="Q185" s="588"/>
      <c r="R185" s="576"/>
      <c r="S185" s="589"/>
    </row>
    <row r="186" spans="1:19" ht="14.4" customHeight="1" x14ac:dyDescent="0.3">
      <c r="A186" s="570" t="s">
        <v>905</v>
      </c>
      <c r="B186" s="571" t="s">
        <v>906</v>
      </c>
      <c r="C186" s="571" t="s">
        <v>424</v>
      </c>
      <c r="D186" s="571" t="s">
        <v>519</v>
      </c>
      <c r="E186" s="571" t="s">
        <v>858</v>
      </c>
      <c r="F186" s="571" t="s">
        <v>907</v>
      </c>
      <c r="G186" s="571" t="s">
        <v>908</v>
      </c>
      <c r="H186" s="588">
        <v>48</v>
      </c>
      <c r="I186" s="588">
        <v>5712</v>
      </c>
      <c r="J186" s="571">
        <v>1.7483930211202938</v>
      </c>
      <c r="K186" s="571">
        <v>119</v>
      </c>
      <c r="L186" s="588">
        <v>27</v>
      </c>
      <c r="M186" s="588">
        <v>3267</v>
      </c>
      <c r="N186" s="571">
        <v>1</v>
      </c>
      <c r="O186" s="571">
        <v>121</v>
      </c>
      <c r="P186" s="588">
        <v>16</v>
      </c>
      <c r="Q186" s="588">
        <v>1936</v>
      </c>
      <c r="R186" s="576">
        <v>0.59259259259259256</v>
      </c>
      <c r="S186" s="589">
        <v>121</v>
      </c>
    </row>
    <row r="187" spans="1:19" ht="14.4" customHeight="1" x14ac:dyDescent="0.3">
      <c r="A187" s="570" t="s">
        <v>905</v>
      </c>
      <c r="B187" s="571" t="s">
        <v>906</v>
      </c>
      <c r="C187" s="571" t="s">
        <v>424</v>
      </c>
      <c r="D187" s="571" t="s">
        <v>520</v>
      </c>
      <c r="E187" s="571" t="s">
        <v>858</v>
      </c>
      <c r="F187" s="571" t="s">
        <v>907</v>
      </c>
      <c r="G187" s="571" t="s">
        <v>908</v>
      </c>
      <c r="H187" s="588">
        <v>2</v>
      </c>
      <c r="I187" s="588">
        <v>238</v>
      </c>
      <c r="J187" s="571"/>
      <c r="K187" s="571">
        <v>119</v>
      </c>
      <c r="L187" s="588"/>
      <c r="M187" s="588"/>
      <c r="N187" s="571"/>
      <c r="O187" s="571"/>
      <c r="P187" s="588"/>
      <c r="Q187" s="588"/>
      <c r="R187" s="576"/>
      <c r="S187" s="589"/>
    </row>
    <row r="188" spans="1:19" ht="14.4" customHeight="1" x14ac:dyDescent="0.3">
      <c r="A188" s="570" t="s">
        <v>905</v>
      </c>
      <c r="B188" s="571" t="s">
        <v>906</v>
      </c>
      <c r="C188" s="571" t="s">
        <v>424</v>
      </c>
      <c r="D188" s="571" t="s">
        <v>521</v>
      </c>
      <c r="E188" s="571" t="s">
        <v>858</v>
      </c>
      <c r="F188" s="571" t="s">
        <v>907</v>
      </c>
      <c r="G188" s="571" t="s">
        <v>908</v>
      </c>
      <c r="H188" s="588">
        <v>16</v>
      </c>
      <c r="I188" s="588">
        <v>1904</v>
      </c>
      <c r="J188" s="571">
        <v>5.2451790633608812</v>
      </c>
      <c r="K188" s="571">
        <v>119</v>
      </c>
      <c r="L188" s="588">
        <v>3</v>
      </c>
      <c r="M188" s="588">
        <v>363</v>
      </c>
      <c r="N188" s="571">
        <v>1</v>
      </c>
      <c r="O188" s="571">
        <v>121</v>
      </c>
      <c r="P188" s="588"/>
      <c r="Q188" s="588"/>
      <c r="R188" s="576"/>
      <c r="S188" s="589"/>
    </row>
    <row r="189" spans="1:19" ht="14.4" customHeight="1" x14ac:dyDescent="0.3">
      <c r="A189" s="570" t="s">
        <v>905</v>
      </c>
      <c r="B189" s="571" t="s">
        <v>906</v>
      </c>
      <c r="C189" s="571" t="s">
        <v>424</v>
      </c>
      <c r="D189" s="571" t="s">
        <v>522</v>
      </c>
      <c r="E189" s="571" t="s">
        <v>858</v>
      </c>
      <c r="F189" s="571" t="s">
        <v>907</v>
      </c>
      <c r="G189" s="571" t="s">
        <v>908</v>
      </c>
      <c r="H189" s="588">
        <v>64</v>
      </c>
      <c r="I189" s="588">
        <v>7616</v>
      </c>
      <c r="J189" s="571">
        <v>0.98347107438016534</v>
      </c>
      <c r="K189" s="571">
        <v>119</v>
      </c>
      <c r="L189" s="588">
        <v>64</v>
      </c>
      <c r="M189" s="588">
        <v>7744</v>
      </c>
      <c r="N189" s="571">
        <v>1</v>
      </c>
      <c r="O189" s="571">
        <v>121</v>
      </c>
      <c r="P189" s="588">
        <v>45</v>
      </c>
      <c r="Q189" s="588">
        <v>5445</v>
      </c>
      <c r="R189" s="576">
        <v>0.703125</v>
      </c>
      <c r="S189" s="589">
        <v>121</v>
      </c>
    </row>
    <row r="190" spans="1:19" ht="14.4" customHeight="1" thickBot="1" x14ac:dyDescent="0.35">
      <c r="A190" s="578" t="s">
        <v>905</v>
      </c>
      <c r="B190" s="579" t="s">
        <v>906</v>
      </c>
      <c r="C190" s="579" t="s">
        <v>424</v>
      </c>
      <c r="D190" s="579" t="s">
        <v>522</v>
      </c>
      <c r="E190" s="579" t="s">
        <v>858</v>
      </c>
      <c r="F190" s="579" t="s">
        <v>886</v>
      </c>
      <c r="G190" s="579" t="s">
        <v>887</v>
      </c>
      <c r="H190" s="590"/>
      <c r="I190" s="590"/>
      <c r="J190" s="579"/>
      <c r="K190" s="579"/>
      <c r="L190" s="590"/>
      <c r="M190" s="590"/>
      <c r="N190" s="579"/>
      <c r="O190" s="579"/>
      <c r="P190" s="590">
        <v>0</v>
      </c>
      <c r="Q190" s="590">
        <v>0</v>
      </c>
      <c r="R190" s="584"/>
      <c r="S190" s="59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55" t="s">
        <v>127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35" t="s">
        <v>259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2693</v>
      </c>
      <c r="C3" s="222">
        <f t="shared" ref="C3:R3" si="0">SUBTOTAL(9,C6:C1048576)</f>
        <v>1.5556724851867951</v>
      </c>
      <c r="D3" s="222">
        <f t="shared" si="0"/>
        <v>1348.33</v>
      </c>
      <c r="E3" s="222">
        <f t="shared" si="0"/>
        <v>2</v>
      </c>
      <c r="F3" s="222">
        <f t="shared" si="0"/>
        <v>3097</v>
      </c>
      <c r="G3" s="225">
        <f>IF(D3&lt;&gt;0,F3/D3,"")</f>
        <v>2.2969154435486865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17" t="s">
        <v>105</v>
      </c>
      <c r="B4" s="418" t="s">
        <v>99</v>
      </c>
      <c r="C4" s="419"/>
      <c r="D4" s="419"/>
      <c r="E4" s="419"/>
      <c r="F4" s="419"/>
      <c r="G4" s="421"/>
      <c r="H4" s="418" t="s">
        <v>100</v>
      </c>
      <c r="I4" s="419"/>
      <c r="J4" s="419"/>
      <c r="K4" s="419"/>
      <c r="L4" s="419"/>
      <c r="M4" s="421"/>
      <c r="N4" s="418" t="s">
        <v>101</v>
      </c>
      <c r="O4" s="419"/>
      <c r="P4" s="419"/>
      <c r="Q4" s="419"/>
      <c r="R4" s="419"/>
      <c r="S4" s="421"/>
    </row>
    <row r="5" spans="1:19" ht="14.4" customHeight="1" thickBot="1" x14ac:dyDescent="0.35">
      <c r="A5" s="604"/>
      <c r="B5" s="605">
        <v>2015</v>
      </c>
      <c r="C5" s="606"/>
      <c r="D5" s="606">
        <v>2016</v>
      </c>
      <c r="E5" s="606"/>
      <c r="F5" s="606">
        <v>2017</v>
      </c>
      <c r="G5" s="640" t="s">
        <v>2</v>
      </c>
      <c r="H5" s="605">
        <v>2015</v>
      </c>
      <c r="I5" s="606"/>
      <c r="J5" s="606">
        <v>2016</v>
      </c>
      <c r="K5" s="606"/>
      <c r="L5" s="606">
        <v>2017</v>
      </c>
      <c r="M5" s="640" t="s">
        <v>2</v>
      </c>
      <c r="N5" s="605">
        <v>2015</v>
      </c>
      <c r="O5" s="606"/>
      <c r="P5" s="606">
        <v>2016</v>
      </c>
      <c r="Q5" s="606"/>
      <c r="R5" s="606">
        <v>2017</v>
      </c>
      <c r="S5" s="640" t="s">
        <v>2</v>
      </c>
    </row>
    <row r="6" spans="1:19" ht="14.4" customHeight="1" x14ac:dyDescent="0.3">
      <c r="A6" s="595" t="s">
        <v>911</v>
      </c>
      <c r="B6" s="622">
        <v>2040</v>
      </c>
      <c r="C6" s="564">
        <v>1.5556724851867951</v>
      </c>
      <c r="D6" s="622">
        <v>1311.33</v>
      </c>
      <c r="E6" s="564">
        <v>1</v>
      </c>
      <c r="F6" s="622">
        <v>462</v>
      </c>
      <c r="G6" s="569">
        <v>0.3523140628217154</v>
      </c>
      <c r="H6" s="622"/>
      <c r="I6" s="564"/>
      <c r="J6" s="622"/>
      <c r="K6" s="564"/>
      <c r="L6" s="622"/>
      <c r="M6" s="569"/>
      <c r="N6" s="622"/>
      <c r="O6" s="564"/>
      <c r="P6" s="622"/>
      <c r="Q6" s="564"/>
      <c r="R6" s="622"/>
      <c r="S6" s="122"/>
    </row>
    <row r="7" spans="1:19" ht="14.4" customHeight="1" x14ac:dyDescent="0.3">
      <c r="A7" s="596" t="s">
        <v>912</v>
      </c>
      <c r="B7" s="624"/>
      <c r="C7" s="571"/>
      <c r="D7" s="624">
        <v>37</v>
      </c>
      <c r="E7" s="571">
        <v>1</v>
      </c>
      <c r="F7" s="624"/>
      <c r="G7" s="576"/>
      <c r="H7" s="624"/>
      <c r="I7" s="571"/>
      <c r="J7" s="624"/>
      <c r="K7" s="571"/>
      <c r="L7" s="624"/>
      <c r="M7" s="576"/>
      <c r="N7" s="624"/>
      <c r="O7" s="571"/>
      <c r="P7" s="624"/>
      <c r="Q7" s="571"/>
      <c r="R7" s="624"/>
      <c r="S7" s="577"/>
    </row>
    <row r="8" spans="1:19" ht="14.4" customHeight="1" x14ac:dyDescent="0.3">
      <c r="A8" s="596" t="s">
        <v>913</v>
      </c>
      <c r="B8" s="624"/>
      <c r="C8" s="571"/>
      <c r="D8" s="624"/>
      <c r="E8" s="571"/>
      <c r="F8" s="624">
        <v>701</v>
      </c>
      <c r="G8" s="576"/>
      <c r="H8" s="624"/>
      <c r="I8" s="571"/>
      <c r="J8" s="624"/>
      <c r="K8" s="571"/>
      <c r="L8" s="624"/>
      <c r="M8" s="576"/>
      <c r="N8" s="624"/>
      <c r="O8" s="571"/>
      <c r="P8" s="624"/>
      <c r="Q8" s="571"/>
      <c r="R8" s="624"/>
      <c r="S8" s="577"/>
    </row>
    <row r="9" spans="1:19" ht="14.4" customHeight="1" thickBot="1" x14ac:dyDescent="0.35">
      <c r="A9" s="628" t="s">
        <v>914</v>
      </c>
      <c r="B9" s="626">
        <v>653</v>
      </c>
      <c r="C9" s="579"/>
      <c r="D9" s="626"/>
      <c r="E9" s="579"/>
      <c r="F9" s="626">
        <v>1934</v>
      </c>
      <c r="G9" s="584"/>
      <c r="H9" s="626"/>
      <c r="I9" s="579"/>
      <c r="J9" s="626"/>
      <c r="K9" s="579"/>
      <c r="L9" s="626"/>
      <c r="M9" s="584"/>
      <c r="N9" s="626"/>
      <c r="O9" s="579"/>
      <c r="P9" s="626"/>
      <c r="Q9" s="579"/>
      <c r="R9" s="626"/>
      <c r="S9" s="58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43" t="s">
        <v>918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5" t="s">
        <v>259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12</v>
      </c>
      <c r="G3" s="103">
        <f t="shared" si="0"/>
        <v>2693</v>
      </c>
      <c r="H3" s="103"/>
      <c r="I3" s="103"/>
      <c r="J3" s="103">
        <f t="shared" si="0"/>
        <v>7</v>
      </c>
      <c r="K3" s="103">
        <f t="shared" si="0"/>
        <v>1348.33</v>
      </c>
      <c r="L3" s="103"/>
      <c r="M3" s="103"/>
      <c r="N3" s="103">
        <f t="shared" si="0"/>
        <v>7</v>
      </c>
      <c r="O3" s="103">
        <f t="shared" si="0"/>
        <v>3097</v>
      </c>
      <c r="P3" s="75">
        <f>IF(K3=0,0,O3/K3)</f>
        <v>2.2969154435486865</v>
      </c>
      <c r="Q3" s="104">
        <f>IF(N3=0,0,O3/N3)</f>
        <v>442.42857142857144</v>
      </c>
    </row>
    <row r="4" spans="1:17" ht="14.4" customHeight="1" x14ac:dyDescent="0.3">
      <c r="A4" s="426" t="s">
        <v>69</v>
      </c>
      <c r="B4" s="424" t="s">
        <v>95</v>
      </c>
      <c r="C4" s="426" t="s">
        <v>96</v>
      </c>
      <c r="D4" s="435" t="s">
        <v>97</v>
      </c>
      <c r="E4" s="427" t="s">
        <v>70</v>
      </c>
      <c r="F4" s="433">
        <v>2015</v>
      </c>
      <c r="G4" s="434"/>
      <c r="H4" s="105"/>
      <c r="I4" s="105"/>
      <c r="J4" s="433">
        <v>2016</v>
      </c>
      <c r="K4" s="434"/>
      <c r="L4" s="105"/>
      <c r="M4" s="105"/>
      <c r="N4" s="433">
        <v>2017</v>
      </c>
      <c r="O4" s="434"/>
      <c r="P4" s="436" t="s">
        <v>2</v>
      </c>
      <c r="Q4" s="425" t="s">
        <v>98</v>
      </c>
    </row>
    <row r="5" spans="1:17" ht="14.4" customHeight="1" thickBot="1" x14ac:dyDescent="0.35">
      <c r="A5" s="631"/>
      <c r="B5" s="629"/>
      <c r="C5" s="631"/>
      <c r="D5" s="641"/>
      <c r="E5" s="633"/>
      <c r="F5" s="642" t="s">
        <v>72</v>
      </c>
      <c r="G5" s="643" t="s">
        <v>14</v>
      </c>
      <c r="H5" s="644"/>
      <c r="I5" s="644"/>
      <c r="J5" s="642" t="s">
        <v>72</v>
      </c>
      <c r="K5" s="643" t="s">
        <v>14</v>
      </c>
      <c r="L5" s="644"/>
      <c r="M5" s="644"/>
      <c r="N5" s="642" t="s">
        <v>72</v>
      </c>
      <c r="O5" s="643" t="s">
        <v>14</v>
      </c>
      <c r="P5" s="645"/>
      <c r="Q5" s="638"/>
    </row>
    <row r="6" spans="1:17" ht="14.4" customHeight="1" x14ac:dyDescent="0.3">
      <c r="A6" s="563" t="s">
        <v>915</v>
      </c>
      <c r="B6" s="564" t="s">
        <v>840</v>
      </c>
      <c r="C6" s="564" t="s">
        <v>858</v>
      </c>
      <c r="D6" s="564" t="s">
        <v>863</v>
      </c>
      <c r="E6" s="564" t="s">
        <v>864</v>
      </c>
      <c r="F6" s="116">
        <v>3</v>
      </c>
      <c r="G6" s="116">
        <v>105</v>
      </c>
      <c r="H6" s="116"/>
      <c r="I6" s="116">
        <v>35</v>
      </c>
      <c r="J6" s="116"/>
      <c r="K6" s="116"/>
      <c r="L6" s="116"/>
      <c r="M6" s="116"/>
      <c r="N6" s="116"/>
      <c r="O6" s="116"/>
      <c r="P6" s="569"/>
      <c r="Q6" s="587"/>
    </row>
    <row r="7" spans="1:17" ht="14.4" customHeight="1" x14ac:dyDescent="0.3">
      <c r="A7" s="570" t="s">
        <v>915</v>
      </c>
      <c r="B7" s="571" t="s">
        <v>840</v>
      </c>
      <c r="C7" s="571" t="s">
        <v>858</v>
      </c>
      <c r="D7" s="571" t="s">
        <v>873</v>
      </c>
      <c r="E7" s="571" t="s">
        <v>874</v>
      </c>
      <c r="F7" s="588">
        <v>1</v>
      </c>
      <c r="G7" s="588">
        <v>35</v>
      </c>
      <c r="H7" s="588"/>
      <c r="I7" s="588">
        <v>35</v>
      </c>
      <c r="J7" s="588"/>
      <c r="K7" s="588"/>
      <c r="L7" s="588"/>
      <c r="M7" s="588"/>
      <c r="N7" s="588"/>
      <c r="O7" s="588"/>
      <c r="P7" s="576"/>
      <c r="Q7" s="589"/>
    </row>
    <row r="8" spans="1:17" ht="14.4" customHeight="1" x14ac:dyDescent="0.3">
      <c r="A8" s="570" t="s">
        <v>915</v>
      </c>
      <c r="B8" s="571" t="s">
        <v>840</v>
      </c>
      <c r="C8" s="571" t="s">
        <v>858</v>
      </c>
      <c r="D8" s="571" t="s">
        <v>880</v>
      </c>
      <c r="E8" s="571" t="s">
        <v>881</v>
      </c>
      <c r="F8" s="588">
        <v>1</v>
      </c>
      <c r="G8" s="588">
        <v>0</v>
      </c>
      <c r="H8" s="588">
        <v>0</v>
      </c>
      <c r="I8" s="588">
        <v>0</v>
      </c>
      <c r="J8" s="588">
        <v>1</v>
      </c>
      <c r="K8" s="588">
        <v>33.33</v>
      </c>
      <c r="L8" s="588">
        <v>1</v>
      </c>
      <c r="M8" s="588">
        <v>33.33</v>
      </c>
      <c r="N8" s="588"/>
      <c r="O8" s="588"/>
      <c r="P8" s="576"/>
      <c r="Q8" s="589"/>
    </row>
    <row r="9" spans="1:17" ht="14.4" customHeight="1" x14ac:dyDescent="0.3">
      <c r="A9" s="570" t="s">
        <v>915</v>
      </c>
      <c r="B9" s="571" t="s">
        <v>840</v>
      </c>
      <c r="C9" s="571" t="s">
        <v>858</v>
      </c>
      <c r="D9" s="571" t="s">
        <v>888</v>
      </c>
      <c r="E9" s="571" t="s">
        <v>889</v>
      </c>
      <c r="F9" s="588">
        <v>1</v>
      </c>
      <c r="G9" s="588">
        <v>331</v>
      </c>
      <c r="H9" s="588">
        <v>0.93502824858757061</v>
      </c>
      <c r="I9" s="588">
        <v>331</v>
      </c>
      <c r="J9" s="588">
        <v>1</v>
      </c>
      <c r="K9" s="588">
        <v>354</v>
      </c>
      <c r="L9" s="588">
        <v>1</v>
      </c>
      <c r="M9" s="588">
        <v>354</v>
      </c>
      <c r="N9" s="588"/>
      <c r="O9" s="588"/>
      <c r="P9" s="576"/>
      <c r="Q9" s="589"/>
    </row>
    <row r="10" spans="1:17" ht="14.4" customHeight="1" x14ac:dyDescent="0.3">
      <c r="A10" s="570" t="s">
        <v>915</v>
      </c>
      <c r="B10" s="571" t="s">
        <v>840</v>
      </c>
      <c r="C10" s="571" t="s">
        <v>858</v>
      </c>
      <c r="D10" s="571" t="s">
        <v>898</v>
      </c>
      <c r="E10" s="571"/>
      <c r="F10" s="588">
        <v>2</v>
      </c>
      <c r="G10" s="588">
        <v>486</v>
      </c>
      <c r="H10" s="588"/>
      <c r="I10" s="588">
        <v>243</v>
      </c>
      <c r="J10" s="588"/>
      <c r="K10" s="588"/>
      <c r="L10" s="588"/>
      <c r="M10" s="588"/>
      <c r="N10" s="588"/>
      <c r="O10" s="588"/>
      <c r="P10" s="576"/>
      <c r="Q10" s="589"/>
    </row>
    <row r="11" spans="1:17" ht="14.4" customHeight="1" x14ac:dyDescent="0.3">
      <c r="A11" s="570" t="s">
        <v>915</v>
      </c>
      <c r="B11" s="571" t="s">
        <v>840</v>
      </c>
      <c r="C11" s="571" t="s">
        <v>858</v>
      </c>
      <c r="D11" s="571" t="s">
        <v>899</v>
      </c>
      <c r="E11" s="571" t="s">
        <v>900</v>
      </c>
      <c r="F11" s="588">
        <v>1</v>
      </c>
      <c r="G11" s="588">
        <v>653</v>
      </c>
      <c r="H11" s="588"/>
      <c r="I11" s="588">
        <v>653</v>
      </c>
      <c r="J11" s="588"/>
      <c r="K11" s="588"/>
      <c r="L11" s="588"/>
      <c r="M11" s="588"/>
      <c r="N11" s="588"/>
      <c r="O11" s="588"/>
      <c r="P11" s="576"/>
      <c r="Q11" s="589"/>
    </row>
    <row r="12" spans="1:17" ht="14.4" customHeight="1" x14ac:dyDescent="0.3">
      <c r="A12" s="570" t="s">
        <v>915</v>
      </c>
      <c r="B12" s="571" t="s">
        <v>840</v>
      </c>
      <c r="C12" s="571" t="s">
        <v>858</v>
      </c>
      <c r="D12" s="571" t="s">
        <v>901</v>
      </c>
      <c r="E12" s="571" t="s">
        <v>902</v>
      </c>
      <c r="F12" s="588">
        <v>2</v>
      </c>
      <c r="G12" s="588">
        <v>430</v>
      </c>
      <c r="H12" s="588">
        <v>0.46536796536796537</v>
      </c>
      <c r="I12" s="588">
        <v>215</v>
      </c>
      <c r="J12" s="588">
        <v>4</v>
      </c>
      <c r="K12" s="588">
        <v>924</v>
      </c>
      <c r="L12" s="588">
        <v>1</v>
      </c>
      <c r="M12" s="588">
        <v>231</v>
      </c>
      <c r="N12" s="588">
        <v>2</v>
      </c>
      <c r="O12" s="588">
        <v>462</v>
      </c>
      <c r="P12" s="576">
        <v>0.5</v>
      </c>
      <c r="Q12" s="589">
        <v>231</v>
      </c>
    </row>
    <row r="13" spans="1:17" ht="14.4" customHeight="1" x14ac:dyDescent="0.3">
      <c r="A13" s="570" t="s">
        <v>839</v>
      </c>
      <c r="B13" s="571" t="s">
        <v>840</v>
      </c>
      <c r="C13" s="571" t="s">
        <v>858</v>
      </c>
      <c r="D13" s="571" t="s">
        <v>863</v>
      </c>
      <c r="E13" s="571" t="s">
        <v>864</v>
      </c>
      <c r="F13" s="588"/>
      <c r="G13" s="588"/>
      <c r="H13" s="588"/>
      <c r="I13" s="588"/>
      <c r="J13" s="588">
        <v>1</v>
      </c>
      <c r="K13" s="588">
        <v>37</v>
      </c>
      <c r="L13" s="588">
        <v>1</v>
      </c>
      <c r="M13" s="588">
        <v>37</v>
      </c>
      <c r="N13" s="588"/>
      <c r="O13" s="588"/>
      <c r="P13" s="576"/>
      <c r="Q13" s="589"/>
    </row>
    <row r="14" spans="1:17" ht="14.4" customHeight="1" x14ac:dyDescent="0.3">
      <c r="A14" s="570" t="s">
        <v>916</v>
      </c>
      <c r="B14" s="571" t="s">
        <v>840</v>
      </c>
      <c r="C14" s="571" t="s">
        <v>858</v>
      </c>
      <c r="D14" s="571" t="s">
        <v>899</v>
      </c>
      <c r="E14" s="571" t="s">
        <v>900</v>
      </c>
      <c r="F14" s="588"/>
      <c r="G14" s="588"/>
      <c r="H14" s="588"/>
      <c r="I14" s="588"/>
      <c r="J14" s="588"/>
      <c r="K14" s="588"/>
      <c r="L14" s="588"/>
      <c r="M14" s="588"/>
      <c r="N14" s="588">
        <v>1</v>
      </c>
      <c r="O14" s="588">
        <v>701</v>
      </c>
      <c r="P14" s="576"/>
      <c r="Q14" s="589">
        <v>701</v>
      </c>
    </row>
    <row r="15" spans="1:17" ht="14.4" customHeight="1" x14ac:dyDescent="0.3">
      <c r="A15" s="570" t="s">
        <v>917</v>
      </c>
      <c r="B15" s="571" t="s">
        <v>840</v>
      </c>
      <c r="C15" s="571" t="s">
        <v>858</v>
      </c>
      <c r="D15" s="571" t="s">
        <v>876</v>
      </c>
      <c r="E15" s="571" t="s">
        <v>877</v>
      </c>
      <c r="F15" s="588"/>
      <c r="G15" s="588"/>
      <c r="H15" s="588"/>
      <c r="I15" s="588"/>
      <c r="J15" s="588"/>
      <c r="K15" s="588"/>
      <c r="L15" s="588"/>
      <c r="M15" s="588"/>
      <c r="N15" s="588">
        <v>1</v>
      </c>
      <c r="O15" s="588">
        <v>177</v>
      </c>
      <c r="P15" s="576"/>
      <c r="Q15" s="589">
        <v>177</v>
      </c>
    </row>
    <row r="16" spans="1:17" ht="14.4" customHeight="1" x14ac:dyDescent="0.3">
      <c r="A16" s="570" t="s">
        <v>917</v>
      </c>
      <c r="B16" s="571" t="s">
        <v>840</v>
      </c>
      <c r="C16" s="571" t="s">
        <v>858</v>
      </c>
      <c r="D16" s="571" t="s">
        <v>888</v>
      </c>
      <c r="E16" s="571" t="s">
        <v>889</v>
      </c>
      <c r="F16" s="588"/>
      <c r="G16" s="588"/>
      <c r="H16" s="588"/>
      <c r="I16" s="588"/>
      <c r="J16" s="588"/>
      <c r="K16" s="588"/>
      <c r="L16" s="588"/>
      <c r="M16" s="588"/>
      <c r="N16" s="588">
        <v>1</v>
      </c>
      <c r="O16" s="588">
        <v>355</v>
      </c>
      <c r="P16" s="576"/>
      <c r="Q16" s="589">
        <v>355</v>
      </c>
    </row>
    <row r="17" spans="1:17" ht="14.4" customHeight="1" thickBot="1" x14ac:dyDescent="0.35">
      <c r="A17" s="578" t="s">
        <v>917</v>
      </c>
      <c r="B17" s="579" t="s">
        <v>840</v>
      </c>
      <c r="C17" s="579" t="s">
        <v>858</v>
      </c>
      <c r="D17" s="579" t="s">
        <v>899</v>
      </c>
      <c r="E17" s="579" t="s">
        <v>900</v>
      </c>
      <c r="F17" s="590">
        <v>1</v>
      </c>
      <c r="G17" s="590">
        <v>653</v>
      </c>
      <c r="H17" s="590"/>
      <c r="I17" s="590">
        <v>653</v>
      </c>
      <c r="J17" s="590"/>
      <c r="K17" s="590"/>
      <c r="L17" s="590"/>
      <c r="M17" s="590"/>
      <c r="N17" s="590">
        <v>2</v>
      </c>
      <c r="O17" s="590">
        <v>1402</v>
      </c>
      <c r="P17" s="584"/>
      <c r="Q17" s="591">
        <v>701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54" t="s">
        <v>137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14.4" customHeight="1" thickBot="1" x14ac:dyDescent="0.35">
      <c r="A2" s="235" t="s">
        <v>259</v>
      </c>
      <c r="B2" s="111"/>
      <c r="C2" s="111"/>
      <c r="D2" s="111"/>
      <c r="E2" s="111"/>
      <c r="F2" s="111"/>
    </row>
    <row r="3" spans="1:10" ht="14.4" customHeight="1" x14ac:dyDescent="0.3">
      <c r="A3" s="345"/>
      <c r="B3" s="107">
        <v>2015</v>
      </c>
      <c r="C3" s="40">
        <v>2016</v>
      </c>
      <c r="D3" s="7"/>
      <c r="E3" s="349">
        <v>2017</v>
      </c>
      <c r="F3" s="350"/>
      <c r="G3" s="350"/>
      <c r="H3" s="351"/>
      <c r="I3" s="352">
        <v>2017</v>
      </c>
      <c r="J3" s="353"/>
    </row>
    <row r="4" spans="1:10" ht="14.4" customHeight="1" thickBot="1" x14ac:dyDescent="0.35">
      <c r="A4" s="346"/>
      <c r="B4" s="347" t="s">
        <v>73</v>
      </c>
      <c r="C4" s="348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10" t="s">
        <v>250</v>
      </c>
      <c r="J4" s="311" t="s">
        <v>251</v>
      </c>
    </row>
    <row r="5" spans="1:10" ht="14.4" customHeight="1" x14ac:dyDescent="0.3">
      <c r="A5" s="112" t="str">
        <f>HYPERLINK("#'Léky Žádanky'!A1","Léky (Kč)")</f>
        <v>Léky (Kč)</v>
      </c>
      <c r="B5" s="27">
        <v>315.96045000000004</v>
      </c>
      <c r="C5" s="29">
        <v>325.83298000000002</v>
      </c>
      <c r="D5" s="8"/>
      <c r="E5" s="117">
        <v>343.06998999999996</v>
      </c>
      <c r="F5" s="28">
        <v>309.16667968749999</v>
      </c>
      <c r="G5" s="116">
        <f>E5-F5</f>
        <v>33.903310312499968</v>
      </c>
      <c r="H5" s="122">
        <f>IF(F5&lt;0.00000001,"",E5/F5)</f>
        <v>1.1096602982791315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36.764580000000002</v>
      </c>
      <c r="C6" s="31">
        <v>31.305389999999999</v>
      </c>
      <c r="D6" s="8"/>
      <c r="E6" s="118">
        <v>44.637109999999993</v>
      </c>
      <c r="F6" s="30">
        <v>48.656765441894535</v>
      </c>
      <c r="G6" s="119">
        <f>E6-F6</f>
        <v>-4.0196554418945425</v>
      </c>
      <c r="H6" s="123">
        <f>IF(F6&lt;0.00000001,"",E6/F6)</f>
        <v>0.91738753274311302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4459.1027900000008</v>
      </c>
      <c r="C7" s="31">
        <v>4585.37399</v>
      </c>
      <c r="D7" s="8"/>
      <c r="E7" s="118">
        <v>4949.0823700000001</v>
      </c>
      <c r="F7" s="30">
        <v>4578.5834797363277</v>
      </c>
      <c r="G7" s="119">
        <f>E7-F7</f>
        <v>370.49889026367237</v>
      </c>
      <c r="H7" s="123">
        <f>IF(F7&lt;0.00000001,"",E7/F7)</f>
        <v>1.0809199814535235</v>
      </c>
    </row>
    <row r="8" spans="1:10" ht="14.4" customHeight="1" thickBot="1" x14ac:dyDescent="0.35">
      <c r="A8" s="1" t="s">
        <v>76</v>
      </c>
      <c r="B8" s="11">
        <v>1138.7338799999993</v>
      </c>
      <c r="C8" s="33">
        <v>1097.2843900000003</v>
      </c>
      <c r="D8" s="8"/>
      <c r="E8" s="120">
        <v>1116.4275400000004</v>
      </c>
      <c r="F8" s="32">
        <v>1072.1091642818458</v>
      </c>
      <c r="G8" s="121">
        <f>E8-F8</f>
        <v>44.318375718154584</v>
      </c>
      <c r="H8" s="124">
        <f>IF(F8&lt;0.00000001,"",E8/F8)</f>
        <v>1.0413375588929337</v>
      </c>
    </row>
    <row r="9" spans="1:10" ht="14.4" customHeight="1" thickBot="1" x14ac:dyDescent="0.35">
      <c r="A9" s="2" t="s">
        <v>77</v>
      </c>
      <c r="B9" s="3">
        <v>5950.5617000000002</v>
      </c>
      <c r="C9" s="35">
        <v>6039.7967499999995</v>
      </c>
      <c r="D9" s="8"/>
      <c r="E9" s="3">
        <v>6453.2170100000003</v>
      </c>
      <c r="F9" s="34">
        <v>6008.516089147568</v>
      </c>
      <c r="G9" s="34">
        <f>E9-F9</f>
        <v>444.70092085243232</v>
      </c>
      <c r="H9" s="125">
        <f>IF(F9&lt;0.00000001,"",E9/F9)</f>
        <v>1.0740117716678232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1443.9949699999997</v>
      </c>
      <c r="C11" s="29">
        <f>IF(ISERROR(VLOOKUP("Celkem:",'ZV Vykáz.-A'!A:H,5,0)),0,VLOOKUP("Celkem:",'ZV Vykáz.-A'!A:H,5,0)/1000)</f>
        <v>1362.4693400000003</v>
      </c>
      <c r="D11" s="8"/>
      <c r="E11" s="117">
        <f>IF(ISERROR(VLOOKUP("Celkem:",'ZV Vykáz.-A'!A:H,8,0)),0,VLOOKUP("Celkem:",'ZV Vykáz.-A'!A:H,8,0)/1000)</f>
        <v>1572.74398</v>
      </c>
      <c r="F11" s="28">
        <f>C11</f>
        <v>1362.4693400000003</v>
      </c>
      <c r="G11" s="116">
        <f>E11-F11</f>
        <v>210.27463999999964</v>
      </c>
      <c r="H11" s="122">
        <f>IF(F11&lt;0.00000001,"",E11/F11)</f>
        <v>1.1543334839373336</v>
      </c>
      <c r="I11" s="116">
        <f>E11-B11</f>
        <v>128.74901000000023</v>
      </c>
      <c r="J11" s="122">
        <f>IF(B11&lt;0.00000001,"",E11/B11)</f>
        <v>1.0891616748498787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1443.9949699999997</v>
      </c>
      <c r="C13" s="37">
        <f>SUM(C11:C12)</f>
        <v>1362.4693400000003</v>
      </c>
      <c r="D13" s="8"/>
      <c r="E13" s="5">
        <f>SUM(E11:E12)</f>
        <v>1572.74398</v>
      </c>
      <c r="F13" s="36">
        <f>SUM(F11:F12)</f>
        <v>1362.4693400000003</v>
      </c>
      <c r="G13" s="36">
        <f>E13-F13</f>
        <v>210.27463999999964</v>
      </c>
      <c r="H13" s="126">
        <f>IF(F13&lt;0.00000001,"",E13/F13)</f>
        <v>1.1543334839373336</v>
      </c>
      <c r="I13" s="36">
        <f>SUM(I11:I12)</f>
        <v>128.74901000000023</v>
      </c>
      <c r="J13" s="126">
        <f>IF(B13&lt;0.00000001,"",E13/B13)</f>
        <v>1.0891616748498787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0.24266532183003828</v>
      </c>
      <c r="C15" s="39">
        <f>IF(C9=0,"",C13/C9)</f>
        <v>0.22558198502292323</v>
      </c>
      <c r="D15" s="8"/>
      <c r="E15" s="6">
        <f>IF(E9=0,"",E13/E9)</f>
        <v>0.24371472051270748</v>
      </c>
      <c r="F15" s="38">
        <f>IF(F9=0,"",F13/F9)</f>
        <v>0.22675637707966839</v>
      </c>
      <c r="G15" s="38">
        <f>IF(ISERROR(F15-E15),"",E15-F15)</f>
        <v>1.6958343433039091E-2</v>
      </c>
      <c r="H15" s="127">
        <f>IF(ISERROR(F15-E15),"",IF(F15&lt;0.00000001,"",E15/F15))</f>
        <v>1.0747866218866293</v>
      </c>
    </row>
    <row r="17" spans="1:8" ht="14.4" customHeight="1" x14ac:dyDescent="0.3">
      <c r="A17" s="113" t="s">
        <v>161</v>
      </c>
    </row>
    <row r="18" spans="1:8" ht="14.4" customHeight="1" x14ac:dyDescent="0.3">
      <c r="A18" s="274" t="s">
        <v>195</v>
      </c>
      <c r="B18" s="275"/>
      <c r="C18" s="275"/>
      <c r="D18" s="275"/>
      <c r="E18" s="275"/>
      <c r="F18" s="275"/>
      <c r="G18" s="275"/>
      <c r="H18" s="275"/>
    </row>
    <row r="19" spans="1:8" x14ac:dyDescent="0.3">
      <c r="A19" s="273" t="s">
        <v>194</v>
      </c>
      <c r="B19" s="275"/>
      <c r="C19" s="275"/>
      <c r="D19" s="275"/>
      <c r="E19" s="275"/>
      <c r="F19" s="275"/>
      <c r="G19" s="275"/>
      <c r="H19" s="275"/>
    </row>
    <row r="20" spans="1:8" ht="14.4" customHeight="1" x14ac:dyDescent="0.3">
      <c r="A20" s="114" t="s">
        <v>217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163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6" priority="8" operator="greaterThan">
      <formula>0</formula>
    </cfRule>
  </conditionalFormatting>
  <conditionalFormatting sqref="G11:G13 G15">
    <cfRule type="cellIs" dxfId="65" priority="7" operator="lessThan">
      <formula>0</formula>
    </cfRule>
  </conditionalFormatting>
  <conditionalFormatting sqref="H5:H9">
    <cfRule type="cellIs" dxfId="64" priority="6" operator="greaterThan">
      <formula>1</formula>
    </cfRule>
  </conditionalFormatting>
  <conditionalFormatting sqref="H11:H13 H15">
    <cfRule type="cellIs" dxfId="63" priority="5" operator="lessThan">
      <formula>1</formula>
    </cfRule>
  </conditionalFormatting>
  <conditionalFormatting sqref="I11:I13">
    <cfRule type="cellIs" dxfId="62" priority="4" operator="lessThan">
      <formula>0</formula>
    </cfRule>
  </conditionalFormatting>
  <conditionalFormatting sqref="J11:J13">
    <cfRule type="cellIs" dxfId="6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43" t="s">
        <v>104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35" t="s">
        <v>259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0.2441596027800913</v>
      </c>
      <c r="C4" s="201">
        <f t="shared" ref="C4:M4" si="0">(C10+C8)/C6</f>
        <v>0.24367469756957569</v>
      </c>
      <c r="D4" s="201">
        <f t="shared" si="0"/>
        <v>0.25401271990748109</v>
      </c>
      <c r="E4" s="201">
        <f t="shared" si="0"/>
        <v>0.25837229806041823</v>
      </c>
      <c r="F4" s="201">
        <f t="shared" si="0"/>
        <v>0.26897101603563162</v>
      </c>
      <c r="G4" s="201">
        <f t="shared" si="0"/>
        <v>0.26926570561426272</v>
      </c>
      <c r="H4" s="201">
        <f t="shared" si="0"/>
        <v>0.2437147158638634</v>
      </c>
      <c r="I4" s="201">
        <f t="shared" si="0"/>
        <v>0.2437147158638634</v>
      </c>
      <c r="J4" s="201">
        <f t="shared" si="0"/>
        <v>0.2437147158638634</v>
      </c>
      <c r="K4" s="201">
        <f t="shared" si="0"/>
        <v>0.2437147158638634</v>
      </c>
      <c r="L4" s="201">
        <f t="shared" si="0"/>
        <v>0.2437147158638634</v>
      </c>
      <c r="M4" s="201">
        <f t="shared" si="0"/>
        <v>0.2437147158638634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946.25670000000002</v>
      </c>
      <c r="C5" s="201">
        <f>IF(ISERROR(VLOOKUP($A5,'Man Tab'!$A:$Q,COLUMN()+2,0)),0,VLOOKUP($A5,'Man Tab'!$A:$Q,COLUMN()+2,0))</f>
        <v>909.23204999999996</v>
      </c>
      <c r="D5" s="201">
        <f>IF(ISERROR(VLOOKUP($A5,'Man Tab'!$A:$Q,COLUMN()+2,0)),0,VLOOKUP($A5,'Man Tab'!$A:$Q,COLUMN()+2,0))</f>
        <v>1033.44264</v>
      </c>
      <c r="E5" s="201">
        <f>IF(ISERROR(VLOOKUP($A5,'Man Tab'!$A:$Q,COLUMN()+2,0)),0,VLOOKUP($A5,'Man Tab'!$A:$Q,COLUMN()+2,0))</f>
        <v>837.26777000000004</v>
      </c>
      <c r="F5" s="201">
        <f>IF(ISERROR(VLOOKUP($A5,'Man Tab'!$A:$Q,COLUMN()+2,0)),0,VLOOKUP($A5,'Man Tab'!$A:$Q,COLUMN()+2,0))</f>
        <v>859.99748</v>
      </c>
      <c r="G5" s="201">
        <f>IF(ISERROR(VLOOKUP($A5,'Man Tab'!$A:$Q,COLUMN()+2,0)),0,VLOOKUP($A5,'Man Tab'!$A:$Q,COLUMN()+2,0))</f>
        <v>835.22884999999997</v>
      </c>
      <c r="H5" s="201">
        <f>IF(ISERROR(VLOOKUP($A5,'Man Tab'!$A:$Q,COLUMN()+2,0)),0,VLOOKUP($A5,'Man Tab'!$A:$Q,COLUMN()+2,0))</f>
        <v>1031.79152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946.25670000000002</v>
      </c>
      <c r="C6" s="203">
        <f t="shared" ref="C6:M6" si="1">C5+B6</f>
        <v>1855.48875</v>
      </c>
      <c r="D6" s="203">
        <f t="shared" si="1"/>
        <v>2888.9313899999997</v>
      </c>
      <c r="E6" s="203">
        <f t="shared" si="1"/>
        <v>3726.1991599999997</v>
      </c>
      <c r="F6" s="203">
        <f t="shared" si="1"/>
        <v>4586.1966400000001</v>
      </c>
      <c r="G6" s="203">
        <f t="shared" si="1"/>
        <v>5421.4254899999996</v>
      </c>
      <c r="H6" s="203">
        <f t="shared" si="1"/>
        <v>6453.2170099999994</v>
      </c>
      <c r="I6" s="203">
        <f t="shared" si="1"/>
        <v>6453.2170099999994</v>
      </c>
      <c r="J6" s="203">
        <f t="shared" si="1"/>
        <v>6453.2170099999994</v>
      </c>
      <c r="K6" s="203">
        <f t="shared" si="1"/>
        <v>6453.2170099999994</v>
      </c>
      <c r="L6" s="203">
        <f t="shared" si="1"/>
        <v>6453.2170099999994</v>
      </c>
      <c r="M6" s="203">
        <f t="shared" si="1"/>
        <v>6453.2170099999994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231037.66</v>
      </c>
      <c r="C9" s="202">
        <v>221098</v>
      </c>
      <c r="D9" s="202">
        <v>281689.65999999997</v>
      </c>
      <c r="E9" s="202">
        <v>228921.32</v>
      </c>
      <c r="F9" s="202">
        <v>270807.33</v>
      </c>
      <c r="G9" s="202">
        <v>226249.99</v>
      </c>
      <c r="H9" s="202">
        <v>112939.99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231.03766000000002</v>
      </c>
      <c r="C10" s="203">
        <f t="shared" ref="C10:M10" si="3">C9/1000+B10</f>
        <v>452.13566000000003</v>
      </c>
      <c r="D10" s="203">
        <f t="shared" si="3"/>
        <v>733.82531999999992</v>
      </c>
      <c r="E10" s="203">
        <f t="shared" si="3"/>
        <v>962.74663999999996</v>
      </c>
      <c r="F10" s="203">
        <f t="shared" si="3"/>
        <v>1233.5539699999999</v>
      </c>
      <c r="G10" s="203">
        <f t="shared" si="3"/>
        <v>1459.80396</v>
      </c>
      <c r="H10" s="203">
        <f t="shared" si="3"/>
        <v>1572.74395</v>
      </c>
      <c r="I10" s="203">
        <f t="shared" si="3"/>
        <v>1572.74395</v>
      </c>
      <c r="J10" s="203">
        <f t="shared" si="3"/>
        <v>1572.74395</v>
      </c>
      <c r="K10" s="203">
        <f t="shared" si="3"/>
        <v>1572.74395</v>
      </c>
      <c r="L10" s="203">
        <f t="shared" si="3"/>
        <v>1572.74395</v>
      </c>
      <c r="M10" s="203">
        <f t="shared" si="3"/>
        <v>1572.74395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0.22675637707966839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0.22675637707966839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55" t="s">
        <v>261</v>
      </c>
      <c r="B1" s="355"/>
      <c r="C1" s="355"/>
      <c r="D1" s="355"/>
      <c r="E1" s="355"/>
      <c r="F1" s="355"/>
      <c r="G1" s="355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04" customFormat="1" ht="14.4" customHeight="1" thickBot="1" x14ac:dyDescent="0.3">
      <c r="A2" s="235" t="s">
        <v>259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56" t="s">
        <v>29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04" t="s">
        <v>225</v>
      </c>
      <c r="E4" s="304" t="s">
        <v>226</v>
      </c>
      <c r="F4" s="304" t="s">
        <v>227</v>
      </c>
      <c r="G4" s="304" t="s">
        <v>228</v>
      </c>
      <c r="H4" s="304" t="s">
        <v>229</v>
      </c>
      <c r="I4" s="304" t="s">
        <v>230</v>
      </c>
      <c r="J4" s="304" t="s">
        <v>231</v>
      </c>
      <c r="K4" s="304" t="s">
        <v>232</v>
      </c>
      <c r="L4" s="304" t="s">
        <v>233</v>
      </c>
      <c r="M4" s="304" t="s">
        <v>234</v>
      </c>
      <c r="N4" s="304" t="s">
        <v>235</v>
      </c>
      <c r="O4" s="304" t="s">
        <v>236</v>
      </c>
      <c r="P4" s="358" t="s">
        <v>3</v>
      </c>
      <c r="Q4" s="35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260</v>
      </c>
    </row>
    <row r="7" spans="1:17" ht="14.4" customHeight="1" x14ac:dyDescent="0.3">
      <c r="A7" s="15" t="s">
        <v>35</v>
      </c>
      <c r="B7" s="51">
        <v>530</v>
      </c>
      <c r="C7" s="52">
        <v>44.166666666666003</v>
      </c>
      <c r="D7" s="52">
        <v>80.691540000000003</v>
      </c>
      <c r="E7" s="52">
        <v>49.073</v>
      </c>
      <c r="F7" s="52">
        <v>61.62238</v>
      </c>
      <c r="G7" s="52">
        <v>31.131620000000002</v>
      </c>
      <c r="H7" s="52">
        <v>57.097810000000003</v>
      </c>
      <c r="I7" s="52">
        <v>40.693719999999999</v>
      </c>
      <c r="J7" s="52">
        <v>22.759920000000001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343.06999000000002</v>
      </c>
      <c r="Q7" s="95">
        <v>1.109660345013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260</v>
      </c>
    </row>
    <row r="9" spans="1:17" ht="14.4" customHeight="1" x14ac:dyDescent="0.3">
      <c r="A9" s="15" t="s">
        <v>37</v>
      </c>
      <c r="B9" s="51">
        <v>83.411597789278005</v>
      </c>
      <c r="C9" s="52">
        <v>6.9509664824390001</v>
      </c>
      <c r="D9" s="52">
        <v>8.5028100000000002</v>
      </c>
      <c r="E9" s="52">
        <v>5.6676200000000003</v>
      </c>
      <c r="F9" s="52">
        <v>6.3798899999999996</v>
      </c>
      <c r="G9" s="52">
        <v>4.0339200000000002</v>
      </c>
      <c r="H9" s="52">
        <v>5.6530699999999996</v>
      </c>
      <c r="I9" s="52">
        <v>7.5505199999999997</v>
      </c>
      <c r="J9" s="52">
        <v>6.8492800000000003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44.63711</v>
      </c>
      <c r="Q9" s="95">
        <v>0.91738753396499995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260</v>
      </c>
    </row>
    <row r="11" spans="1:17" ht="14.4" customHeight="1" x14ac:dyDescent="0.3">
      <c r="A11" s="15" t="s">
        <v>39</v>
      </c>
      <c r="B11" s="51">
        <v>70.901636314384007</v>
      </c>
      <c r="C11" s="52">
        <v>5.9084696928650002</v>
      </c>
      <c r="D11" s="52">
        <v>8.4918600000000009</v>
      </c>
      <c r="E11" s="52">
        <v>6.05077</v>
      </c>
      <c r="F11" s="52">
        <v>7.8962500000000002</v>
      </c>
      <c r="G11" s="52">
        <v>5.3057800000000004</v>
      </c>
      <c r="H11" s="52">
        <v>3.6979799999999998</v>
      </c>
      <c r="I11" s="52">
        <v>7.28423</v>
      </c>
      <c r="J11" s="52">
        <v>5.7117800000000001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44.438650000000003</v>
      </c>
      <c r="Q11" s="95">
        <v>1.0744539451720001</v>
      </c>
    </row>
    <row r="12" spans="1:17" ht="14.4" customHeight="1" x14ac:dyDescent="0.3">
      <c r="A12" s="15" t="s">
        <v>40</v>
      </c>
      <c r="B12" s="51">
        <v>3.033396977782</v>
      </c>
      <c r="C12" s="52">
        <v>0.25278308148099998</v>
      </c>
      <c r="D12" s="52">
        <v>0.15911</v>
      </c>
      <c r="E12" s="52">
        <v>0.25562000000000001</v>
      </c>
      <c r="F12" s="52">
        <v>0.27589999999999998</v>
      </c>
      <c r="G12" s="52">
        <v>0</v>
      </c>
      <c r="H12" s="52">
        <v>4.2799999999999998E-2</v>
      </c>
      <c r="I12" s="52">
        <v>3.2919999999999998E-2</v>
      </c>
      <c r="J12" s="52">
        <v>9.1399999999999995E-2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0.85775000000000001</v>
      </c>
      <c r="Q12" s="95">
        <v>0.4847465011</v>
      </c>
    </row>
    <row r="13" spans="1:17" ht="14.4" customHeight="1" x14ac:dyDescent="0.3">
      <c r="A13" s="15" t="s">
        <v>41</v>
      </c>
      <c r="B13" s="51">
        <v>7</v>
      </c>
      <c r="C13" s="52">
        <v>0.58333333333299997</v>
      </c>
      <c r="D13" s="52">
        <v>0.38780999999999999</v>
      </c>
      <c r="E13" s="52">
        <v>1.2033499999999999</v>
      </c>
      <c r="F13" s="52">
        <v>0.61770999999999998</v>
      </c>
      <c r="G13" s="52">
        <v>0.23898</v>
      </c>
      <c r="H13" s="52">
        <v>0.23898</v>
      </c>
      <c r="I13" s="52">
        <v>0.28677999999999998</v>
      </c>
      <c r="J13" s="52">
        <v>0.23898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3.2125900000000001</v>
      </c>
      <c r="Q13" s="95">
        <v>0.786756734693</v>
      </c>
    </row>
    <row r="14" spans="1:17" ht="14.4" customHeight="1" x14ac:dyDescent="0.3">
      <c r="A14" s="15" t="s">
        <v>42</v>
      </c>
      <c r="B14" s="51">
        <v>1161.87050667174</v>
      </c>
      <c r="C14" s="52">
        <v>96.822542222644998</v>
      </c>
      <c r="D14" s="52">
        <v>155.19999999999999</v>
      </c>
      <c r="E14" s="52">
        <v>122.249</v>
      </c>
      <c r="F14" s="52">
        <v>108.667</v>
      </c>
      <c r="G14" s="52">
        <v>92.516999999999996</v>
      </c>
      <c r="H14" s="52">
        <v>76.664000000000001</v>
      </c>
      <c r="I14" s="52">
        <v>61.5</v>
      </c>
      <c r="J14" s="52">
        <v>57.253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674.05</v>
      </c>
      <c r="Q14" s="95">
        <v>0.99452932067599997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260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260</v>
      </c>
    </row>
    <row r="17" spans="1:17" ht="14.4" customHeight="1" x14ac:dyDescent="0.3">
      <c r="A17" s="15" t="s">
        <v>45</v>
      </c>
      <c r="B17" s="51">
        <v>49.470107407542997</v>
      </c>
      <c r="C17" s="52">
        <v>4.1225089506280002</v>
      </c>
      <c r="D17" s="52">
        <v>0.83570999999999995</v>
      </c>
      <c r="E17" s="52">
        <v>24.460080000000001</v>
      </c>
      <c r="F17" s="52">
        <v>3.2682099999999998</v>
      </c>
      <c r="G17" s="52">
        <v>7.4499700000000004</v>
      </c>
      <c r="H17" s="52">
        <v>6.7451100000000004</v>
      </c>
      <c r="I17" s="52">
        <v>5.8855199999999996</v>
      </c>
      <c r="J17" s="52">
        <v>2.77007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51.414670000000001</v>
      </c>
      <c r="Q17" s="95">
        <v>1.781670566421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0.20200000000000001</v>
      </c>
      <c r="H18" s="52">
        <v>0.629</v>
      </c>
      <c r="I18" s="52">
        <v>0</v>
      </c>
      <c r="J18" s="52">
        <v>0.51100000000000001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1.3420000000000001</v>
      </c>
      <c r="Q18" s="95" t="s">
        <v>260</v>
      </c>
    </row>
    <row r="19" spans="1:17" ht="14.4" customHeight="1" x14ac:dyDescent="0.3">
      <c r="A19" s="15" t="s">
        <v>47</v>
      </c>
      <c r="B19" s="51">
        <v>236.625834455003</v>
      </c>
      <c r="C19" s="52">
        <v>19.718819537917</v>
      </c>
      <c r="D19" s="52">
        <v>19.668050000000001</v>
      </c>
      <c r="E19" s="52">
        <v>24.129480000000001</v>
      </c>
      <c r="F19" s="52">
        <v>16.26933</v>
      </c>
      <c r="G19" s="52">
        <v>16.968019999999999</v>
      </c>
      <c r="H19" s="52">
        <v>17.35904</v>
      </c>
      <c r="I19" s="52">
        <v>17.695620000000002</v>
      </c>
      <c r="J19" s="52">
        <v>15.408469999999999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127.49800999999999</v>
      </c>
      <c r="Q19" s="95">
        <v>0.92368619701300003</v>
      </c>
    </row>
    <row r="20" spans="1:17" ht="14.4" customHeight="1" x14ac:dyDescent="0.3">
      <c r="A20" s="15" t="s">
        <v>48</v>
      </c>
      <c r="B20" s="51">
        <v>7849</v>
      </c>
      <c r="C20" s="52">
        <v>654.08333333333303</v>
      </c>
      <c r="D20" s="52">
        <v>646.79579000000001</v>
      </c>
      <c r="E20" s="52">
        <v>649.44015999999999</v>
      </c>
      <c r="F20" s="52">
        <v>786.98001000000102</v>
      </c>
      <c r="G20" s="52">
        <v>653.98748000000001</v>
      </c>
      <c r="H20" s="52">
        <v>666.18137999999999</v>
      </c>
      <c r="I20" s="52">
        <v>667.46851000000004</v>
      </c>
      <c r="J20" s="52">
        <v>878.22904000000005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4949.0823700000001</v>
      </c>
      <c r="Q20" s="95">
        <v>1.080920016016</v>
      </c>
    </row>
    <row r="21" spans="1:17" ht="14.4" customHeight="1" x14ac:dyDescent="0.3">
      <c r="A21" s="16" t="s">
        <v>49</v>
      </c>
      <c r="B21" s="51">
        <v>306.00000000000102</v>
      </c>
      <c r="C21" s="52">
        <v>25.5</v>
      </c>
      <c r="D21" s="52">
        <v>25.434000000000001</v>
      </c>
      <c r="E21" s="52">
        <v>25.433</v>
      </c>
      <c r="F21" s="52">
        <v>25.433</v>
      </c>
      <c r="G21" s="52">
        <v>25.433</v>
      </c>
      <c r="H21" s="52">
        <v>25.433</v>
      </c>
      <c r="I21" s="52">
        <v>25.433</v>
      </c>
      <c r="J21" s="52">
        <v>27.498999999999999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180.09800000000001</v>
      </c>
      <c r="Q21" s="95">
        <v>1.008952380952</v>
      </c>
    </row>
    <row r="22" spans="1:17" ht="14.4" customHeight="1" x14ac:dyDescent="0.3">
      <c r="A22" s="15" t="s">
        <v>50</v>
      </c>
      <c r="B22" s="51">
        <v>3</v>
      </c>
      <c r="C22" s="52">
        <v>0.25</v>
      </c>
      <c r="D22" s="52">
        <v>0</v>
      </c>
      <c r="E22" s="52">
        <v>0</v>
      </c>
      <c r="F22" s="52">
        <v>16.033000000000001</v>
      </c>
      <c r="G22" s="52">
        <v>0</v>
      </c>
      <c r="H22" s="52">
        <v>0</v>
      </c>
      <c r="I22" s="52">
        <v>0</v>
      </c>
      <c r="J22" s="52">
        <v>14.46918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30.502179999999999</v>
      </c>
      <c r="Q22" s="95">
        <v>17.429817142857001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260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9.0019999998999997E-2</v>
      </c>
      <c r="E24" s="52">
        <v>1.26997</v>
      </c>
      <c r="F24" s="52">
        <v>-3.9999999899009702E-5</v>
      </c>
      <c r="G24" s="52">
        <v>1.13686837721616E-13</v>
      </c>
      <c r="H24" s="52">
        <v>0.25530999999999998</v>
      </c>
      <c r="I24" s="52">
        <v>1.398029999999</v>
      </c>
      <c r="J24" s="52">
        <v>4.0000000000000002E-4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3.01369</v>
      </c>
      <c r="Q24" s="95"/>
    </row>
    <row r="25" spans="1:17" ht="14.4" customHeight="1" x14ac:dyDescent="0.3">
      <c r="A25" s="17" t="s">
        <v>53</v>
      </c>
      <c r="B25" s="54">
        <v>10300.3130796157</v>
      </c>
      <c r="C25" s="55">
        <v>858.35942330131104</v>
      </c>
      <c r="D25" s="55">
        <v>946.25670000000002</v>
      </c>
      <c r="E25" s="55">
        <v>909.23204999999996</v>
      </c>
      <c r="F25" s="55">
        <v>1033.44264</v>
      </c>
      <c r="G25" s="55">
        <v>837.26777000000004</v>
      </c>
      <c r="H25" s="55">
        <v>859.99748</v>
      </c>
      <c r="I25" s="55">
        <v>835.22884999999997</v>
      </c>
      <c r="J25" s="55">
        <v>1031.79152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6453.2170100000003</v>
      </c>
      <c r="Q25" s="96">
        <v>1.0740117941959999</v>
      </c>
    </row>
    <row r="26" spans="1:17" ht="14.4" customHeight="1" x14ac:dyDescent="0.3">
      <c r="A26" s="15" t="s">
        <v>54</v>
      </c>
      <c r="B26" s="51">
        <v>1361.30236122152</v>
      </c>
      <c r="C26" s="52">
        <v>113.441863435127</v>
      </c>
      <c r="D26" s="52">
        <v>96.526600000000002</v>
      </c>
      <c r="E26" s="52">
        <v>95.765799999999999</v>
      </c>
      <c r="F26" s="52">
        <v>126.56292000000001</v>
      </c>
      <c r="G26" s="52">
        <v>115.86709999999999</v>
      </c>
      <c r="H26" s="52">
        <v>114.81944</v>
      </c>
      <c r="I26" s="52">
        <v>126.09401</v>
      </c>
      <c r="J26" s="52">
        <v>128.23851999999999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803.87438999999995</v>
      </c>
      <c r="Q26" s="95">
        <v>1.01231763208</v>
      </c>
    </row>
    <row r="27" spans="1:17" ht="14.4" customHeight="1" x14ac:dyDescent="0.3">
      <c r="A27" s="18" t="s">
        <v>55</v>
      </c>
      <c r="B27" s="54">
        <v>11661.6154408373</v>
      </c>
      <c r="C27" s="55">
        <v>971.80128673643799</v>
      </c>
      <c r="D27" s="55">
        <v>1042.7833000000001</v>
      </c>
      <c r="E27" s="55">
        <v>1004.99785</v>
      </c>
      <c r="F27" s="55">
        <v>1160.0055600000001</v>
      </c>
      <c r="G27" s="55">
        <v>953.13486999999998</v>
      </c>
      <c r="H27" s="55">
        <v>974.81691999999998</v>
      </c>
      <c r="I27" s="55">
        <v>961.32285999999999</v>
      </c>
      <c r="J27" s="55">
        <v>1160.0300400000001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7257.0914000000002</v>
      </c>
      <c r="Q27" s="96">
        <v>1.066810012506</v>
      </c>
    </row>
    <row r="28" spans="1:17" ht="14.4" customHeight="1" x14ac:dyDescent="0.3">
      <c r="A28" s="16" t="s">
        <v>56</v>
      </c>
      <c r="B28" s="51">
        <v>4567.5</v>
      </c>
      <c r="C28" s="52">
        <v>380.625</v>
      </c>
      <c r="D28" s="52">
        <v>422.74619999999999</v>
      </c>
      <c r="E28" s="52">
        <v>419.98372000000001</v>
      </c>
      <c r="F28" s="52">
        <v>449.40413000000001</v>
      </c>
      <c r="G28" s="52">
        <v>418.35683999999998</v>
      </c>
      <c r="H28" s="52">
        <v>456.25265000000002</v>
      </c>
      <c r="I28" s="52">
        <v>605.04723999999999</v>
      </c>
      <c r="J28" s="52">
        <v>296.51855999999998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3068.3093399999998</v>
      </c>
      <c r="Q28" s="95">
        <v>1.151605663617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260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260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161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55" t="s">
        <v>61</v>
      </c>
      <c r="B1" s="355"/>
      <c r="C1" s="355"/>
      <c r="D1" s="355"/>
      <c r="E1" s="355"/>
      <c r="F1" s="355"/>
      <c r="G1" s="355"/>
      <c r="H1" s="360"/>
      <c r="I1" s="360"/>
      <c r="J1" s="360"/>
      <c r="K1" s="360"/>
    </row>
    <row r="2" spans="1:11" s="60" customFormat="1" ht="14.4" customHeight="1" thickBot="1" x14ac:dyDescent="0.35">
      <c r="A2" s="235" t="s">
        <v>259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6" t="s">
        <v>62</v>
      </c>
      <c r="C3" s="357"/>
      <c r="D3" s="357"/>
      <c r="E3" s="357"/>
      <c r="F3" s="363" t="s">
        <v>63</v>
      </c>
      <c r="G3" s="357"/>
      <c r="H3" s="357"/>
      <c r="I3" s="357"/>
      <c r="J3" s="357"/>
      <c r="K3" s="364"/>
    </row>
    <row r="4" spans="1:11" ht="14.4" customHeight="1" x14ac:dyDescent="0.3">
      <c r="A4" s="77"/>
      <c r="B4" s="361"/>
      <c r="C4" s="362"/>
      <c r="D4" s="362"/>
      <c r="E4" s="362"/>
      <c r="F4" s="365" t="s">
        <v>238</v>
      </c>
      <c r="G4" s="367" t="s">
        <v>64</v>
      </c>
      <c r="H4" s="140" t="s">
        <v>142</v>
      </c>
      <c r="I4" s="365" t="s">
        <v>65</v>
      </c>
      <c r="J4" s="367" t="s">
        <v>245</v>
      </c>
      <c r="K4" s="368" t="s">
        <v>239</v>
      </c>
    </row>
    <row r="5" spans="1:11" ht="42" thickBot="1" x14ac:dyDescent="0.35">
      <c r="A5" s="78"/>
      <c r="B5" s="24" t="s">
        <v>241</v>
      </c>
      <c r="C5" s="25" t="s">
        <v>242</v>
      </c>
      <c r="D5" s="26" t="s">
        <v>243</v>
      </c>
      <c r="E5" s="26" t="s">
        <v>244</v>
      </c>
      <c r="F5" s="366"/>
      <c r="G5" s="366"/>
      <c r="H5" s="25" t="s">
        <v>240</v>
      </c>
      <c r="I5" s="366"/>
      <c r="J5" s="366"/>
      <c r="K5" s="369"/>
    </row>
    <row r="6" spans="1:11" ht="14.4" customHeight="1" thickBot="1" x14ac:dyDescent="0.35">
      <c r="A6" s="455" t="s">
        <v>262</v>
      </c>
      <c r="B6" s="437">
        <v>10064.5202236608</v>
      </c>
      <c r="C6" s="437">
        <v>10283.963400000001</v>
      </c>
      <c r="D6" s="438">
        <v>219.443176339166</v>
      </c>
      <c r="E6" s="439">
        <v>1.0218036400599999</v>
      </c>
      <c r="F6" s="437">
        <v>10300.3130796157</v>
      </c>
      <c r="G6" s="438">
        <v>6008.5159631091801</v>
      </c>
      <c r="H6" s="440">
        <v>1031.79152</v>
      </c>
      <c r="I6" s="437">
        <v>6453.2170100000003</v>
      </c>
      <c r="J6" s="438">
        <v>444.70104689082098</v>
      </c>
      <c r="K6" s="441">
        <v>0.62650687994800003</v>
      </c>
    </row>
    <row r="7" spans="1:11" ht="14.4" customHeight="1" thickBot="1" x14ac:dyDescent="0.35">
      <c r="A7" s="456" t="s">
        <v>263</v>
      </c>
      <c r="B7" s="437">
        <v>2026.8167606618099</v>
      </c>
      <c r="C7" s="437">
        <v>1801.2349400000001</v>
      </c>
      <c r="D7" s="438">
        <v>-225.58182066180899</v>
      </c>
      <c r="E7" s="439">
        <v>0.88870142331500002</v>
      </c>
      <c r="F7" s="437">
        <v>1856.2171377531899</v>
      </c>
      <c r="G7" s="438">
        <v>1082.7933303560301</v>
      </c>
      <c r="H7" s="440">
        <v>92.904759999999996</v>
      </c>
      <c r="I7" s="437">
        <v>1110.2674099999999</v>
      </c>
      <c r="J7" s="438">
        <v>27.474079643972999</v>
      </c>
      <c r="K7" s="441">
        <v>0.59813444635199997</v>
      </c>
    </row>
    <row r="8" spans="1:11" ht="14.4" customHeight="1" thickBot="1" x14ac:dyDescent="0.35">
      <c r="A8" s="457" t="s">
        <v>264</v>
      </c>
      <c r="B8" s="437">
        <v>863.34346805397502</v>
      </c>
      <c r="C8" s="437">
        <v>649.59993999999995</v>
      </c>
      <c r="D8" s="438">
        <v>-213.74352805397501</v>
      </c>
      <c r="E8" s="439">
        <v>0.75242353018999997</v>
      </c>
      <c r="F8" s="437">
        <v>694.34663108144605</v>
      </c>
      <c r="G8" s="438">
        <v>405.03553479751002</v>
      </c>
      <c r="H8" s="440">
        <v>35.651760000000003</v>
      </c>
      <c r="I8" s="437">
        <v>436.21740999999997</v>
      </c>
      <c r="J8" s="438">
        <v>31.181875202489</v>
      </c>
      <c r="K8" s="441">
        <v>0.62824155900400003</v>
      </c>
    </row>
    <row r="9" spans="1:11" ht="14.4" customHeight="1" thickBot="1" x14ac:dyDescent="0.35">
      <c r="A9" s="458" t="s">
        <v>265</v>
      </c>
      <c r="B9" s="442">
        <v>0</v>
      </c>
      <c r="C9" s="442">
        <v>-4.0000000000000003E-5</v>
      </c>
      <c r="D9" s="443">
        <v>-4.0000000000000003E-5</v>
      </c>
      <c r="E9" s="444" t="s">
        <v>260</v>
      </c>
      <c r="F9" s="442">
        <v>0</v>
      </c>
      <c r="G9" s="443">
        <v>0</v>
      </c>
      <c r="H9" s="445">
        <v>4.0000000000000002E-4</v>
      </c>
      <c r="I9" s="442">
        <v>1.32E-3</v>
      </c>
      <c r="J9" s="443">
        <v>1.32E-3</v>
      </c>
      <c r="K9" s="446" t="s">
        <v>260</v>
      </c>
    </row>
    <row r="10" spans="1:11" ht="14.4" customHeight="1" thickBot="1" x14ac:dyDescent="0.35">
      <c r="A10" s="459" t="s">
        <v>266</v>
      </c>
      <c r="B10" s="437">
        <v>0</v>
      </c>
      <c r="C10" s="437">
        <v>-4.0000000000000003E-5</v>
      </c>
      <c r="D10" s="438">
        <v>-4.0000000000000003E-5</v>
      </c>
      <c r="E10" s="447" t="s">
        <v>260</v>
      </c>
      <c r="F10" s="437">
        <v>0</v>
      </c>
      <c r="G10" s="438">
        <v>0</v>
      </c>
      <c r="H10" s="440">
        <v>4.0000000000000002E-4</v>
      </c>
      <c r="I10" s="437">
        <v>1.32E-3</v>
      </c>
      <c r="J10" s="438">
        <v>1.32E-3</v>
      </c>
      <c r="K10" s="448" t="s">
        <v>260</v>
      </c>
    </row>
    <row r="11" spans="1:11" ht="14.4" customHeight="1" thickBot="1" x14ac:dyDescent="0.35">
      <c r="A11" s="458" t="s">
        <v>267</v>
      </c>
      <c r="B11" s="442">
        <v>692.03907428192201</v>
      </c>
      <c r="C11" s="442">
        <v>513.75162999999998</v>
      </c>
      <c r="D11" s="443">
        <v>-178.28744428192201</v>
      </c>
      <c r="E11" s="449">
        <v>0.74237373161700004</v>
      </c>
      <c r="F11" s="442">
        <v>530</v>
      </c>
      <c r="G11" s="443">
        <v>309.16666666666703</v>
      </c>
      <c r="H11" s="445">
        <v>22.759920000000001</v>
      </c>
      <c r="I11" s="442">
        <v>343.06999000000002</v>
      </c>
      <c r="J11" s="443">
        <v>33.903323333332999</v>
      </c>
      <c r="K11" s="450">
        <v>0.64730186792400002</v>
      </c>
    </row>
    <row r="12" spans="1:11" ht="14.4" customHeight="1" thickBot="1" x14ac:dyDescent="0.35">
      <c r="A12" s="459" t="s">
        <v>268</v>
      </c>
      <c r="B12" s="437">
        <v>692.03907428192201</v>
      </c>
      <c r="C12" s="437">
        <v>513.75162999999998</v>
      </c>
      <c r="D12" s="438">
        <v>-178.28744428192201</v>
      </c>
      <c r="E12" s="439">
        <v>0.74237373161700004</v>
      </c>
      <c r="F12" s="437">
        <v>530</v>
      </c>
      <c r="G12" s="438">
        <v>309.16666666666703</v>
      </c>
      <c r="H12" s="440">
        <v>22.759920000000001</v>
      </c>
      <c r="I12" s="437">
        <v>343.06999000000002</v>
      </c>
      <c r="J12" s="438">
        <v>33.903323333332999</v>
      </c>
      <c r="K12" s="441">
        <v>0.64730186792400002</v>
      </c>
    </row>
    <row r="13" spans="1:11" ht="14.4" customHeight="1" thickBot="1" x14ac:dyDescent="0.35">
      <c r="A13" s="458" t="s">
        <v>269</v>
      </c>
      <c r="B13" s="442">
        <v>82.542857451925002</v>
      </c>
      <c r="C13" s="442">
        <v>65.470349999999996</v>
      </c>
      <c r="D13" s="443">
        <v>-17.072507451924999</v>
      </c>
      <c r="E13" s="449">
        <v>0.79316796172299997</v>
      </c>
      <c r="F13" s="442">
        <v>83.411597789278005</v>
      </c>
      <c r="G13" s="443">
        <v>48.656765377078997</v>
      </c>
      <c r="H13" s="445">
        <v>6.8492800000000003</v>
      </c>
      <c r="I13" s="442">
        <v>44.63711</v>
      </c>
      <c r="J13" s="443">
        <v>-4.0196553770790002</v>
      </c>
      <c r="K13" s="450">
        <v>0.53514272814599995</v>
      </c>
    </row>
    <row r="14" spans="1:11" ht="14.4" customHeight="1" thickBot="1" x14ac:dyDescent="0.35">
      <c r="A14" s="459" t="s">
        <v>270</v>
      </c>
      <c r="B14" s="437">
        <v>17.542851583758999</v>
      </c>
      <c r="C14" s="437">
        <v>16.88176</v>
      </c>
      <c r="D14" s="438">
        <v>-0.66109158375900001</v>
      </c>
      <c r="E14" s="439">
        <v>0.962315614391</v>
      </c>
      <c r="F14" s="437">
        <v>18</v>
      </c>
      <c r="G14" s="438">
        <v>10.5</v>
      </c>
      <c r="H14" s="440">
        <v>1.5972</v>
      </c>
      <c r="I14" s="437">
        <v>9.2891700000000004</v>
      </c>
      <c r="J14" s="438">
        <v>-1.2108300000000001</v>
      </c>
      <c r="K14" s="441">
        <v>0.516065</v>
      </c>
    </row>
    <row r="15" spans="1:11" ht="14.4" customHeight="1" thickBot="1" x14ac:dyDescent="0.35">
      <c r="A15" s="459" t="s">
        <v>271</v>
      </c>
      <c r="B15" s="437">
        <v>2.0000001805580001</v>
      </c>
      <c r="C15" s="437">
        <v>2.2842699999999998</v>
      </c>
      <c r="D15" s="438">
        <v>0.28426981944099999</v>
      </c>
      <c r="E15" s="439">
        <v>1.1421348968880001</v>
      </c>
      <c r="F15" s="437">
        <v>2</v>
      </c>
      <c r="G15" s="438">
        <v>1.1666666666659999</v>
      </c>
      <c r="H15" s="440">
        <v>0.18387999999999999</v>
      </c>
      <c r="I15" s="437">
        <v>1.2190000000000001</v>
      </c>
      <c r="J15" s="438">
        <v>5.2333333332999998E-2</v>
      </c>
      <c r="K15" s="441">
        <v>0.60950000000000004</v>
      </c>
    </row>
    <row r="16" spans="1:11" ht="14.4" customHeight="1" thickBot="1" x14ac:dyDescent="0.35">
      <c r="A16" s="459" t="s">
        <v>272</v>
      </c>
      <c r="B16" s="437">
        <v>25.000002256986999</v>
      </c>
      <c r="C16" s="437">
        <v>23.676290000000002</v>
      </c>
      <c r="D16" s="438">
        <v>-1.3237122569869999</v>
      </c>
      <c r="E16" s="439">
        <v>0.94705151450000002</v>
      </c>
      <c r="F16" s="437">
        <v>25</v>
      </c>
      <c r="G16" s="438">
        <v>14.583333333333</v>
      </c>
      <c r="H16" s="440">
        <v>2.1602000000000001</v>
      </c>
      <c r="I16" s="437">
        <v>14.73354</v>
      </c>
      <c r="J16" s="438">
        <v>0.15020666666599999</v>
      </c>
      <c r="K16" s="441">
        <v>0.58934160000000002</v>
      </c>
    </row>
    <row r="17" spans="1:11" ht="14.4" customHeight="1" thickBot="1" x14ac:dyDescent="0.35">
      <c r="A17" s="459" t="s">
        <v>273</v>
      </c>
      <c r="B17" s="437">
        <v>30.000002708383999</v>
      </c>
      <c r="C17" s="437">
        <v>13.887029999999999</v>
      </c>
      <c r="D17" s="438">
        <v>-16.112972708384</v>
      </c>
      <c r="E17" s="439">
        <v>0.46290095820900001</v>
      </c>
      <c r="F17" s="437">
        <v>25.411597789278002</v>
      </c>
      <c r="G17" s="438">
        <v>14.823432043744999</v>
      </c>
      <c r="H17" s="440">
        <v>2.1779999999999999</v>
      </c>
      <c r="I17" s="437">
        <v>14.212400000000001</v>
      </c>
      <c r="J17" s="438">
        <v>-0.61103204374499998</v>
      </c>
      <c r="K17" s="441">
        <v>0.55928793292900003</v>
      </c>
    </row>
    <row r="18" spans="1:11" ht="14.4" customHeight="1" thickBot="1" x14ac:dyDescent="0.35">
      <c r="A18" s="459" t="s">
        <v>274</v>
      </c>
      <c r="B18" s="437">
        <v>5.0000004513969998</v>
      </c>
      <c r="C18" s="437">
        <v>5.9169999999999998</v>
      </c>
      <c r="D18" s="438">
        <v>0.91699954860199995</v>
      </c>
      <c r="E18" s="439">
        <v>1.1833998931630001</v>
      </c>
      <c r="F18" s="437">
        <v>10</v>
      </c>
      <c r="G18" s="438">
        <v>5.833333333333</v>
      </c>
      <c r="H18" s="440">
        <v>0.73</v>
      </c>
      <c r="I18" s="437">
        <v>4.0830000000000002</v>
      </c>
      <c r="J18" s="438">
        <v>-1.750333333333</v>
      </c>
      <c r="K18" s="441">
        <v>0.4083</v>
      </c>
    </row>
    <row r="19" spans="1:11" ht="14.4" customHeight="1" thickBot="1" x14ac:dyDescent="0.35">
      <c r="A19" s="459" t="s">
        <v>275</v>
      </c>
      <c r="B19" s="437">
        <v>3.000000270838</v>
      </c>
      <c r="C19" s="437">
        <v>2.8239999999999998</v>
      </c>
      <c r="D19" s="438">
        <v>-0.17600027083799999</v>
      </c>
      <c r="E19" s="439">
        <v>0.94133324834999998</v>
      </c>
      <c r="F19" s="437">
        <v>3</v>
      </c>
      <c r="G19" s="438">
        <v>1.75</v>
      </c>
      <c r="H19" s="440">
        <v>0</v>
      </c>
      <c r="I19" s="437">
        <v>1.1000000000000001</v>
      </c>
      <c r="J19" s="438">
        <v>-0.64999999999900004</v>
      </c>
      <c r="K19" s="441">
        <v>0.36666666666600001</v>
      </c>
    </row>
    <row r="20" spans="1:11" ht="14.4" customHeight="1" thickBot="1" x14ac:dyDescent="0.35">
      <c r="A20" s="458" t="s">
        <v>276</v>
      </c>
      <c r="B20" s="442">
        <v>83.707587076886</v>
      </c>
      <c r="C20" s="442">
        <v>62.749369999999999</v>
      </c>
      <c r="D20" s="443">
        <v>-20.958217076886001</v>
      </c>
      <c r="E20" s="449">
        <v>0.749625836692</v>
      </c>
      <c r="F20" s="442">
        <v>70.901636314384007</v>
      </c>
      <c r="G20" s="443">
        <v>41.359287850057001</v>
      </c>
      <c r="H20" s="445">
        <v>5.7117800000000001</v>
      </c>
      <c r="I20" s="442">
        <v>44.438650000000003</v>
      </c>
      <c r="J20" s="443">
        <v>3.0793621499419999</v>
      </c>
      <c r="K20" s="450">
        <v>0.62676480135000001</v>
      </c>
    </row>
    <row r="21" spans="1:11" ht="14.4" customHeight="1" thickBot="1" x14ac:dyDescent="0.35">
      <c r="A21" s="459" t="s">
        <v>277</v>
      </c>
      <c r="B21" s="437">
        <v>9.3666148303450001</v>
      </c>
      <c r="C21" s="437">
        <v>0</v>
      </c>
      <c r="D21" s="438">
        <v>-9.3666148303450001</v>
      </c>
      <c r="E21" s="439">
        <v>0</v>
      </c>
      <c r="F21" s="437">
        <v>0</v>
      </c>
      <c r="G21" s="438">
        <v>0</v>
      </c>
      <c r="H21" s="440">
        <v>0</v>
      </c>
      <c r="I21" s="437">
        <v>3.5306000000000002</v>
      </c>
      <c r="J21" s="438">
        <v>3.5306000000000002</v>
      </c>
      <c r="K21" s="448" t="s">
        <v>260</v>
      </c>
    </row>
    <row r="22" spans="1:11" ht="14.4" customHeight="1" thickBot="1" x14ac:dyDescent="0.35">
      <c r="A22" s="459" t="s">
        <v>278</v>
      </c>
      <c r="B22" s="437">
        <v>0.81644452732999995</v>
      </c>
      <c r="C22" s="437">
        <v>0.27798</v>
      </c>
      <c r="D22" s="438">
        <v>-0.53846452733000005</v>
      </c>
      <c r="E22" s="439">
        <v>0.34047628552100001</v>
      </c>
      <c r="F22" s="437">
        <v>1</v>
      </c>
      <c r="G22" s="438">
        <v>0.58333333333299997</v>
      </c>
      <c r="H22" s="440">
        <v>3.737E-2</v>
      </c>
      <c r="I22" s="437">
        <v>0.14405000000000001</v>
      </c>
      <c r="J22" s="438">
        <v>-0.43928333333300001</v>
      </c>
      <c r="K22" s="441">
        <v>0.14405000000000001</v>
      </c>
    </row>
    <row r="23" spans="1:11" ht="14.4" customHeight="1" thickBot="1" x14ac:dyDescent="0.35">
      <c r="A23" s="459" t="s">
        <v>279</v>
      </c>
      <c r="B23" s="437">
        <v>11.539128390142</v>
      </c>
      <c r="C23" s="437">
        <v>12.123530000000001</v>
      </c>
      <c r="D23" s="438">
        <v>0.58440160985699996</v>
      </c>
      <c r="E23" s="439">
        <v>1.050645212541</v>
      </c>
      <c r="F23" s="437">
        <v>11.597093897509</v>
      </c>
      <c r="G23" s="438">
        <v>6.7649714402130003</v>
      </c>
      <c r="H23" s="440">
        <v>0.44845000000000002</v>
      </c>
      <c r="I23" s="437">
        <v>6.3810000000000002</v>
      </c>
      <c r="J23" s="438">
        <v>-0.383971440213</v>
      </c>
      <c r="K23" s="441">
        <v>0.55022405236899996</v>
      </c>
    </row>
    <row r="24" spans="1:11" ht="14.4" customHeight="1" thickBot="1" x14ac:dyDescent="0.35">
      <c r="A24" s="459" t="s">
        <v>280</v>
      </c>
      <c r="B24" s="437">
        <v>30.880345233008001</v>
      </c>
      <c r="C24" s="437">
        <v>23.839030000000001</v>
      </c>
      <c r="D24" s="438">
        <v>-7.0413152330080004</v>
      </c>
      <c r="E24" s="439">
        <v>0.77198068286199995</v>
      </c>
      <c r="F24" s="437">
        <v>25</v>
      </c>
      <c r="G24" s="438">
        <v>14.583333333333</v>
      </c>
      <c r="H24" s="440">
        <v>1.81227</v>
      </c>
      <c r="I24" s="437">
        <v>12.91798</v>
      </c>
      <c r="J24" s="438">
        <v>-1.665353333333</v>
      </c>
      <c r="K24" s="441">
        <v>0.51671920000000005</v>
      </c>
    </row>
    <row r="25" spans="1:11" ht="14.4" customHeight="1" thickBot="1" x14ac:dyDescent="0.35">
      <c r="A25" s="459" t="s">
        <v>281</v>
      </c>
      <c r="B25" s="437">
        <v>1.619593333696</v>
      </c>
      <c r="C25" s="437">
        <v>1.3509</v>
      </c>
      <c r="D25" s="438">
        <v>-0.26869333369600001</v>
      </c>
      <c r="E25" s="439">
        <v>0.83409827139500003</v>
      </c>
      <c r="F25" s="437">
        <v>1.4598156484839999</v>
      </c>
      <c r="G25" s="438">
        <v>0.85155912828199998</v>
      </c>
      <c r="H25" s="440">
        <v>0.2286</v>
      </c>
      <c r="I25" s="437">
        <v>1.242</v>
      </c>
      <c r="J25" s="438">
        <v>0.39044087171699998</v>
      </c>
      <c r="K25" s="441">
        <v>0.85079235949300003</v>
      </c>
    </row>
    <row r="26" spans="1:11" ht="14.4" customHeight="1" thickBot="1" x14ac:dyDescent="0.35">
      <c r="A26" s="459" t="s">
        <v>282</v>
      </c>
      <c r="B26" s="437">
        <v>0</v>
      </c>
      <c r="C26" s="437">
        <v>4.598E-2</v>
      </c>
      <c r="D26" s="438">
        <v>4.598E-2</v>
      </c>
      <c r="E26" s="447" t="s">
        <v>283</v>
      </c>
      <c r="F26" s="437">
        <v>0</v>
      </c>
      <c r="G26" s="438">
        <v>0</v>
      </c>
      <c r="H26" s="440">
        <v>0.55659999999999998</v>
      </c>
      <c r="I26" s="437">
        <v>2.27407</v>
      </c>
      <c r="J26" s="438">
        <v>2.27407</v>
      </c>
      <c r="K26" s="448" t="s">
        <v>283</v>
      </c>
    </row>
    <row r="27" spans="1:11" ht="14.4" customHeight="1" thickBot="1" x14ac:dyDescent="0.35">
      <c r="A27" s="459" t="s">
        <v>284</v>
      </c>
      <c r="B27" s="437">
        <v>5.0093428382000003E-2</v>
      </c>
      <c r="C27" s="437">
        <v>3.159E-2</v>
      </c>
      <c r="D27" s="438">
        <v>-1.8503428382E-2</v>
      </c>
      <c r="E27" s="439">
        <v>0.63062164080299998</v>
      </c>
      <c r="F27" s="437">
        <v>0</v>
      </c>
      <c r="G27" s="438">
        <v>0</v>
      </c>
      <c r="H27" s="440">
        <v>0</v>
      </c>
      <c r="I27" s="437">
        <v>0</v>
      </c>
      <c r="J27" s="438">
        <v>0</v>
      </c>
      <c r="K27" s="448" t="s">
        <v>260</v>
      </c>
    </row>
    <row r="28" spans="1:11" ht="14.4" customHeight="1" thickBot="1" x14ac:dyDescent="0.35">
      <c r="A28" s="459" t="s">
        <v>285</v>
      </c>
      <c r="B28" s="437">
        <v>24.916949492238</v>
      </c>
      <c r="C28" s="437">
        <v>20.193280000000001</v>
      </c>
      <c r="D28" s="438">
        <v>-4.7236694922379998</v>
      </c>
      <c r="E28" s="439">
        <v>0.81042344313799997</v>
      </c>
      <c r="F28" s="437">
        <v>26.84472676839</v>
      </c>
      <c r="G28" s="438">
        <v>15.659423948228</v>
      </c>
      <c r="H28" s="440">
        <v>1.9949300000000001</v>
      </c>
      <c r="I28" s="437">
        <v>12.926909999999999</v>
      </c>
      <c r="J28" s="438">
        <v>-2.732513948227</v>
      </c>
      <c r="K28" s="441">
        <v>0.48154373525600003</v>
      </c>
    </row>
    <row r="29" spans="1:11" ht="14.4" customHeight="1" thickBot="1" x14ac:dyDescent="0.35">
      <c r="A29" s="459" t="s">
        <v>286</v>
      </c>
      <c r="B29" s="437">
        <v>0</v>
      </c>
      <c r="C29" s="437">
        <v>0</v>
      </c>
      <c r="D29" s="438">
        <v>0</v>
      </c>
      <c r="E29" s="439">
        <v>1</v>
      </c>
      <c r="F29" s="437">
        <v>0</v>
      </c>
      <c r="G29" s="438">
        <v>0</v>
      </c>
      <c r="H29" s="440">
        <v>0</v>
      </c>
      <c r="I29" s="437">
        <v>0.21199999999999999</v>
      </c>
      <c r="J29" s="438">
        <v>0.21199999999999999</v>
      </c>
      <c r="K29" s="448" t="s">
        <v>283</v>
      </c>
    </row>
    <row r="30" spans="1:11" ht="14.4" customHeight="1" thickBot="1" x14ac:dyDescent="0.35">
      <c r="A30" s="459" t="s">
        <v>287</v>
      </c>
      <c r="B30" s="437">
        <v>4.5184178417409999</v>
      </c>
      <c r="C30" s="437">
        <v>4.8870800000000001</v>
      </c>
      <c r="D30" s="438">
        <v>0.36866215825799997</v>
      </c>
      <c r="E30" s="439">
        <v>1.0815909840939999</v>
      </c>
      <c r="F30" s="437">
        <v>5</v>
      </c>
      <c r="G30" s="438">
        <v>2.9166666666659999</v>
      </c>
      <c r="H30" s="440">
        <v>0.63356000000000001</v>
      </c>
      <c r="I30" s="437">
        <v>4.8100399999999999</v>
      </c>
      <c r="J30" s="438">
        <v>1.8933733333330001</v>
      </c>
      <c r="K30" s="441">
        <v>0.96200799999999997</v>
      </c>
    </row>
    <row r="31" spans="1:11" ht="14.4" customHeight="1" thickBot="1" x14ac:dyDescent="0.35">
      <c r="A31" s="458" t="s">
        <v>288</v>
      </c>
      <c r="B31" s="442">
        <v>1.1985341599420001</v>
      </c>
      <c r="C31" s="442">
        <v>0.41389999999999999</v>
      </c>
      <c r="D31" s="443">
        <v>-0.78463415994200003</v>
      </c>
      <c r="E31" s="449">
        <v>0.34533850918300002</v>
      </c>
      <c r="F31" s="442">
        <v>3.033396977782</v>
      </c>
      <c r="G31" s="443">
        <v>1.769481570373</v>
      </c>
      <c r="H31" s="445">
        <v>9.1399999999999995E-2</v>
      </c>
      <c r="I31" s="442">
        <v>0.85775000000000001</v>
      </c>
      <c r="J31" s="443">
        <v>-0.91173157037300001</v>
      </c>
      <c r="K31" s="450">
        <v>0.28276879230800001</v>
      </c>
    </row>
    <row r="32" spans="1:11" ht="14.4" customHeight="1" thickBot="1" x14ac:dyDescent="0.35">
      <c r="A32" s="459" t="s">
        <v>289</v>
      </c>
      <c r="B32" s="437">
        <v>0.85346690561500005</v>
      </c>
      <c r="C32" s="437">
        <v>0</v>
      </c>
      <c r="D32" s="438">
        <v>-0.85346690561500005</v>
      </c>
      <c r="E32" s="439">
        <v>0</v>
      </c>
      <c r="F32" s="437">
        <v>0</v>
      </c>
      <c r="G32" s="438">
        <v>0</v>
      </c>
      <c r="H32" s="440">
        <v>0</v>
      </c>
      <c r="I32" s="437">
        <v>0</v>
      </c>
      <c r="J32" s="438">
        <v>0</v>
      </c>
      <c r="K32" s="441">
        <v>0</v>
      </c>
    </row>
    <row r="33" spans="1:11" ht="14.4" customHeight="1" thickBot="1" x14ac:dyDescent="0.35">
      <c r="A33" s="459" t="s">
        <v>290</v>
      </c>
      <c r="B33" s="437">
        <v>0.34506725432699997</v>
      </c>
      <c r="C33" s="437">
        <v>0.41389999999999999</v>
      </c>
      <c r="D33" s="438">
        <v>6.8832745671999998E-2</v>
      </c>
      <c r="E33" s="439">
        <v>1.199476318918</v>
      </c>
      <c r="F33" s="437">
        <v>3.033396977782</v>
      </c>
      <c r="G33" s="438">
        <v>1.769481570373</v>
      </c>
      <c r="H33" s="440">
        <v>9.1399999999999995E-2</v>
      </c>
      <c r="I33" s="437">
        <v>0.85775000000000001</v>
      </c>
      <c r="J33" s="438">
        <v>-0.91173157037300001</v>
      </c>
      <c r="K33" s="441">
        <v>0.28276879230800001</v>
      </c>
    </row>
    <row r="34" spans="1:11" ht="14.4" customHeight="1" thickBot="1" x14ac:dyDescent="0.35">
      <c r="A34" s="458" t="s">
        <v>291</v>
      </c>
      <c r="B34" s="442">
        <v>3.8554150832979999</v>
      </c>
      <c r="C34" s="442">
        <v>7.2147300000000003</v>
      </c>
      <c r="D34" s="443">
        <v>3.3593149167009999</v>
      </c>
      <c r="E34" s="449">
        <v>1.8713237988960001</v>
      </c>
      <c r="F34" s="442">
        <v>7</v>
      </c>
      <c r="G34" s="443">
        <v>4.083333333333</v>
      </c>
      <c r="H34" s="445">
        <v>0.23898</v>
      </c>
      <c r="I34" s="442">
        <v>3.2125900000000001</v>
      </c>
      <c r="J34" s="443">
        <v>-0.87074333333300002</v>
      </c>
      <c r="K34" s="450">
        <v>0.45894142857100001</v>
      </c>
    </row>
    <row r="35" spans="1:11" ht="14.4" customHeight="1" thickBot="1" x14ac:dyDescent="0.35">
      <c r="A35" s="459" t="s">
        <v>292</v>
      </c>
      <c r="B35" s="437">
        <v>0</v>
      </c>
      <c r="C35" s="437">
        <v>3.4582199999999998</v>
      </c>
      <c r="D35" s="438">
        <v>3.4582199999999998</v>
      </c>
      <c r="E35" s="447" t="s">
        <v>260</v>
      </c>
      <c r="F35" s="437">
        <v>3</v>
      </c>
      <c r="G35" s="438">
        <v>1.75</v>
      </c>
      <c r="H35" s="440">
        <v>0</v>
      </c>
      <c r="I35" s="437">
        <v>1.49193</v>
      </c>
      <c r="J35" s="438">
        <v>-0.25807000000000002</v>
      </c>
      <c r="K35" s="441">
        <v>0.497309999999</v>
      </c>
    </row>
    <row r="36" spans="1:11" ht="14.4" customHeight="1" thickBot="1" x14ac:dyDescent="0.35">
      <c r="A36" s="459" t="s">
        <v>293</v>
      </c>
      <c r="B36" s="437">
        <v>3.8554150832979999</v>
      </c>
      <c r="C36" s="437">
        <v>3.75651</v>
      </c>
      <c r="D36" s="438">
        <v>-9.8905083298000004E-2</v>
      </c>
      <c r="E36" s="439">
        <v>0.97434645007999998</v>
      </c>
      <c r="F36" s="437">
        <v>4</v>
      </c>
      <c r="G36" s="438">
        <v>2.333333333333</v>
      </c>
      <c r="H36" s="440">
        <v>0.23898</v>
      </c>
      <c r="I36" s="437">
        <v>1.7206600000000001</v>
      </c>
      <c r="J36" s="438">
        <v>-0.612673333333</v>
      </c>
      <c r="K36" s="441">
        <v>0.43016500000000002</v>
      </c>
    </row>
    <row r="37" spans="1:11" ht="14.4" customHeight="1" thickBot="1" x14ac:dyDescent="0.35">
      <c r="A37" s="457" t="s">
        <v>42</v>
      </c>
      <c r="B37" s="437">
        <v>1163.47329260783</v>
      </c>
      <c r="C37" s="437">
        <v>1151.635</v>
      </c>
      <c r="D37" s="438">
        <v>-11.838292607833001</v>
      </c>
      <c r="E37" s="439">
        <v>0.98982504137899996</v>
      </c>
      <c r="F37" s="437">
        <v>1161.87050667174</v>
      </c>
      <c r="G37" s="438">
        <v>677.75779555851602</v>
      </c>
      <c r="H37" s="440">
        <v>57.253</v>
      </c>
      <c r="I37" s="437">
        <v>674.05</v>
      </c>
      <c r="J37" s="438">
        <v>-3.7077955585160001</v>
      </c>
      <c r="K37" s="441">
        <v>0.58014210372700004</v>
      </c>
    </row>
    <row r="38" spans="1:11" ht="14.4" customHeight="1" thickBot="1" x14ac:dyDescent="0.35">
      <c r="A38" s="458" t="s">
        <v>294</v>
      </c>
      <c r="B38" s="442">
        <v>1163.47329260783</v>
      </c>
      <c r="C38" s="442">
        <v>1151.635</v>
      </c>
      <c r="D38" s="443">
        <v>-11.838292607833001</v>
      </c>
      <c r="E38" s="449">
        <v>0.98982504137899996</v>
      </c>
      <c r="F38" s="442">
        <v>1161.87050667174</v>
      </c>
      <c r="G38" s="443">
        <v>677.75779555851602</v>
      </c>
      <c r="H38" s="445">
        <v>57.253</v>
      </c>
      <c r="I38" s="442">
        <v>674.05</v>
      </c>
      <c r="J38" s="443">
        <v>-3.7077955585160001</v>
      </c>
      <c r="K38" s="450">
        <v>0.58014210372700004</v>
      </c>
    </row>
    <row r="39" spans="1:11" ht="14.4" customHeight="1" thickBot="1" x14ac:dyDescent="0.35">
      <c r="A39" s="459" t="s">
        <v>295</v>
      </c>
      <c r="B39" s="437">
        <v>358.42371147042002</v>
      </c>
      <c r="C39" s="437">
        <v>324.05500000000001</v>
      </c>
      <c r="D39" s="438">
        <v>-34.368711470419001</v>
      </c>
      <c r="E39" s="439">
        <v>0.90411150163700005</v>
      </c>
      <c r="F39" s="437">
        <v>334.46799999999899</v>
      </c>
      <c r="G39" s="438">
        <v>195.106333333333</v>
      </c>
      <c r="H39" s="440">
        <v>27.257999999999999</v>
      </c>
      <c r="I39" s="437">
        <v>195.61500000000001</v>
      </c>
      <c r="J39" s="438">
        <v>0.508666666667</v>
      </c>
      <c r="K39" s="441">
        <v>0.58485415645100003</v>
      </c>
    </row>
    <row r="40" spans="1:11" ht="14.4" customHeight="1" thickBot="1" x14ac:dyDescent="0.35">
      <c r="A40" s="459" t="s">
        <v>296</v>
      </c>
      <c r="B40" s="437">
        <v>92.787621195617007</v>
      </c>
      <c r="C40" s="437">
        <v>96.668999999999997</v>
      </c>
      <c r="D40" s="438">
        <v>3.8813788043819999</v>
      </c>
      <c r="E40" s="439">
        <v>1.0418307825369999</v>
      </c>
      <c r="F40" s="437">
        <v>104.40250667174701</v>
      </c>
      <c r="G40" s="438">
        <v>60.901462225185</v>
      </c>
      <c r="H40" s="440">
        <v>7.1459999999999999</v>
      </c>
      <c r="I40" s="437">
        <v>56.860999999999997</v>
      </c>
      <c r="J40" s="438">
        <v>-4.0404622251850002</v>
      </c>
      <c r="K40" s="441">
        <v>0.54463251709799998</v>
      </c>
    </row>
    <row r="41" spans="1:11" ht="14.4" customHeight="1" thickBot="1" x14ac:dyDescent="0.35">
      <c r="A41" s="459" t="s">
        <v>297</v>
      </c>
      <c r="B41" s="437">
        <v>712.26195994179704</v>
      </c>
      <c r="C41" s="437">
        <v>730.91100000000097</v>
      </c>
      <c r="D41" s="438">
        <v>18.649040058202999</v>
      </c>
      <c r="E41" s="439">
        <v>1.0261828387680001</v>
      </c>
      <c r="F41" s="437">
        <v>722.99999999999704</v>
      </c>
      <c r="G41" s="438">
        <v>421.74999999999801</v>
      </c>
      <c r="H41" s="440">
        <v>22.849</v>
      </c>
      <c r="I41" s="437">
        <v>421.57400000000001</v>
      </c>
      <c r="J41" s="438">
        <v>-0.17599999999800001</v>
      </c>
      <c r="K41" s="441">
        <v>0.58308990318099996</v>
      </c>
    </row>
    <row r="42" spans="1:11" ht="14.4" customHeight="1" thickBot="1" x14ac:dyDescent="0.35">
      <c r="A42" s="460" t="s">
        <v>298</v>
      </c>
      <c r="B42" s="442">
        <v>263.70208215831298</v>
      </c>
      <c r="C42" s="442">
        <v>293.28984000000003</v>
      </c>
      <c r="D42" s="443">
        <v>29.587757841685999</v>
      </c>
      <c r="E42" s="449">
        <v>1.1122014570359999</v>
      </c>
      <c r="F42" s="442">
        <v>286.09594186254702</v>
      </c>
      <c r="G42" s="443">
        <v>166.889299419819</v>
      </c>
      <c r="H42" s="445">
        <v>18.689540000000001</v>
      </c>
      <c r="I42" s="442">
        <v>180.25468000000001</v>
      </c>
      <c r="J42" s="443">
        <v>13.36538058018</v>
      </c>
      <c r="K42" s="450">
        <v>0.63004976172100002</v>
      </c>
    </row>
    <row r="43" spans="1:11" ht="14.4" customHeight="1" thickBot="1" x14ac:dyDescent="0.35">
      <c r="A43" s="457" t="s">
        <v>45</v>
      </c>
      <c r="B43" s="437">
        <v>52.728335883112997</v>
      </c>
      <c r="C43" s="437">
        <v>38.484459999999999</v>
      </c>
      <c r="D43" s="438">
        <v>-14.243875883113001</v>
      </c>
      <c r="E43" s="439">
        <v>0.72986297320799998</v>
      </c>
      <c r="F43" s="437">
        <v>49.470107407542997</v>
      </c>
      <c r="G43" s="438">
        <v>28.857562654399999</v>
      </c>
      <c r="H43" s="440">
        <v>2.77007</v>
      </c>
      <c r="I43" s="437">
        <v>51.414670000000001</v>
      </c>
      <c r="J43" s="438">
        <v>22.557107345599</v>
      </c>
      <c r="K43" s="441">
        <v>1.039307830412</v>
      </c>
    </row>
    <row r="44" spans="1:11" ht="14.4" customHeight="1" thickBot="1" x14ac:dyDescent="0.35">
      <c r="A44" s="461" t="s">
        <v>299</v>
      </c>
      <c r="B44" s="437">
        <v>52.728335883112997</v>
      </c>
      <c r="C44" s="437">
        <v>38.484459999999999</v>
      </c>
      <c r="D44" s="438">
        <v>-14.243875883113001</v>
      </c>
      <c r="E44" s="439">
        <v>0.72986297320799998</v>
      </c>
      <c r="F44" s="437">
        <v>49.470107407542997</v>
      </c>
      <c r="G44" s="438">
        <v>28.857562654399999</v>
      </c>
      <c r="H44" s="440">
        <v>2.77007</v>
      </c>
      <c r="I44" s="437">
        <v>51.414670000000001</v>
      </c>
      <c r="J44" s="438">
        <v>22.557107345599</v>
      </c>
      <c r="K44" s="441">
        <v>1.039307830412</v>
      </c>
    </row>
    <row r="45" spans="1:11" ht="14.4" customHeight="1" thickBot="1" x14ac:dyDescent="0.35">
      <c r="A45" s="459" t="s">
        <v>300</v>
      </c>
      <c r="B45" s="437">
        <v>0</v>
      </c>
      <c r="C45" s="437">
        <v>10.156700000000001</v>
      </c>
      <c r="D45" s="438">
        <v>10.156700000000001</v>
      </c>
      <c r="E45" s="447" t="s">
        <v>283</v>
      </c>
      <c r="F45" s="437">
        <v>10.221947843051</v>
      </c>
      <c r="G45" s="438">
        <v>5.9628029084460001</v>
      </c>
      <c r="H45" s="440">
        <v>0</v>
      </c>
      <c r="I45" s="437">
        <v>0</v>
      </c>
      <c r="J45" s="438">
        <v>-5.9628029084460001</v>
      </c>
      <c r="K45" s="441">
        <v>0</v>
      </c>
    </row>
    <row r="46" spans="1:11" ht="14.4" customHeight="1" thickBot="1" x14ac:dyDescent="0.35">
      <c r="A46" s="459" t="s">
        <v>301</v>
      </c>
      <c r="B46" s="437">
        <v>0.433084392584</v>
      </c>
      <c r="C46" s="437">
        <v>0.27356999999999998</v>
      </c>
      <c r="D46" s="438">
        <v>-0.15951439258399999</v>
      </c>
      <c r="E46" s="439">
        <v>0.63167827029599999</v>
      </c>
      <c r="F46" s="437">
        <v>0.248159564492</v>
      </c>
      <c r="G46" s="438">
        <v>0.14475974595300001</v>
      </c>
      <c r="H46" s="440">
        <v>0</v>
      </c>
      <c r="I46" s="437">
        <v>23.377199999999998</v>
      </c>
      <c r="J46" s="438">
        <v>23.232440254046001</v>
      </c>
      <c r="K46" s="441">
        <v>0</v>
      </c>
    </row>
    <row r="47" spans="1:11" ht="14.4" customHeight="1" thickBot="1" x14ac:dyDescent="0.35">
      <c r="A47" s="459" t="s">
        <v>302</v>
      </c>
      <c r="B47" s="437">
        <v>12.536645708249001</v>
      </c>
      <c r="C47" s="437">
        <v>11.55405</v>
      </c>
      <c r="D47" s="438">
        <v>-0.982595708249</v>
      </c>
      <c r="E47" s="439">
        <v>0.92162212037199998</v>
      </c>
      <c r="F47" s="437">
        <v>20</v>
      </c>
      <c r="G47" s="438">
        <v>11.666666666666</v>
      </c>
      <c r="H47" s="440">
        <v>0</v>
      </c>
      <c r="I47" s="437">
        <v>10.81982</v>
      </c>
      <c r="J47" s="438">
        <v>-0.84684666666599995</v>
      </c>
      <c r="K47" s="441">
        <v>0.540991</v>
      </c>
    </row>
    <row r="48" spans="1:11" ht="14.4" customHeight="1" thickBot="1" x14ac:dyDescent="0.35">
      <c r="A48" s="459" t="s">
        <v>303</v>
      </c>
      <c r="B48" s="437">
        <v>39.758605782278998</v>
      </c>
      <c r="C48" s="437">
        <v>16.500139999999998</v>
      </c>
      <c r="D48" s="438">
        <v>-23.258465782279</v>
      </c>
      <c r="E48" s="439">
        <v>0.41500801336799997</v>
      </c>
      <c r="F48" s="437">
        <v>18.999999999999002</v>
      </c>
      <c r="G48" s="438">
        <v>11.083333333333</v>
      </c>
      <c r="H48" s="440">
        <v>2.77007</v>
      </c>
      <c r="I48" s="437">
        <v>17.217649999999999</v>
      </c>
      <c r="J48" s="438">
        <v>6.1343166666659998</v>
      </c>
      <c r="K48" s="441">
        <v>0.90619210526299998</v>
      </c>
    </row>
    <row r="49" spans="1:11" ht="14.4" customHeight="1" thickBot="1" x14ac:dyDescent="0.35">
      <c r="A49" s="462" t="s">
        <v>46</v>
      </c>
      <c r="B49" s="442">
        <v>0</v>
      </c>
      <c r="C49" s="442">
        <v>3.7690000000000001</v>
      </c>
      <c r="D49" s="443">
        <v>3.7690000000000001</v>
      </c>
      <c r="E49" s="444" t="s">
        <v>260</v>
      </c>
      <c r="F49" s="442">
        <v>0</v>
      </c>
      <c r="G49" s="443">
        <v>0</v>
      </c>
      <c r="H49" s="445">
        <v>0.51100000000000001</v>
      </c>
      <c r="I49" s="442">
        <v>1.3420000000000001</v>
      </c>
      <c r="J49" s="443">
        <v>1.3420000000000001</v>
      </c>
      <c r="K49" s="446" t="s">
        <v>260</v>
      </c>
    </row>
    <row r="50" spans="1:11" ht="14.4" customHeight="1" thickBot="1" x14ac:dyDescent="0.35">
      <c r="A50" s="458" t="s">
        <v>304</v>
      </c>
      <c r="B50" s="442">
        <v>0</v>
      </c>
      <c r="C50" s="442">
        <v>3.7690000000000001</v>
      </c>
      <c r="D50" s="443">
        <v>3.7690000000000001</v>
      </c>
      <c r="E50" s="444" t="s">
        <v>260</v>
      </c>
      <c r="F50" s="442">
        <v>0</v>
      </c>
      <c r="G50" s="443">
        <v>0</v>
      </c>
      <c r="H50" s="445">
        <v>0.51100000000000001</v>
      </c>
      <c r="I50" s="442">
        <v>1.3420000000000001</v>
      </c>
      <c r="J50" s="443">
        <v>1.3420000000000001</v>
      </c>
      <c r="K50" s="446" t="s">
        <v>260</v>
      </c>
    </row>
    <row r="51" spans="1:11" ht="14.4" customHeight="1" thickBot="1" x14ac:dyDescent="0.35">
      <c r="A51" s="459" t="s">
        <v>305</v>
      </c>
      <c r="B51" s="437">
        <v>0</v>
      </c>
      <c r="C51" s="437">
        <v>3.7690000000000001</v>
      </c>
      <c r="D51" s="438">
        <v>3.7690000000000001</v>
      </c>
      <c r="E51" s="447" t="s">
        <v>260</v>
      </c>
      <c r="F51" s="437">
        <v>0</v>
      </c>
      <c r="G51" s="438">
        <v>0</v>
      </c>
      <c r="H51" s="440">
        <v>0.51100000000000001</v>
      </c>
      <c r="I51" s="437">
        <v>1.3420000000000001</v>
      </c>
      <c r="J51" s="438">
        <v>1.3420000000000001</v>
      </c>
      <c r="K51" s="448" t="s">
        <v>260</v>
      </c>
    </row>
    <row r="52" spans="1:11" ht="14.4" customHeight="1" thickBot="1" x14ac:dyDescent="0.35">
      <c r="A52" s="457" t="s">
        <v>47</v>
      </c>
      <c r="B52" s="437">
        <v>210.9737462752</v>
      </c>
      <c r="C52" s="437">
        <v>251.03638000000001</v>
      </c>
      <c r="D52" s="438">
        <v>40.062633724800001</v>
      </c>
      <c r="E52" s="439">
        <v>1.18989392961</v>
      </c>
      <c r="F52" s="437">
        <v>236.625834455003</v>
      </c>
      <c r="G52" s="438">
        <v>138.031736765419</v>
      </c>
      <c r="H52" s="440">
        <v>15.408469999999999</v>
      </c>
      <c r="I52" s="437">
        <v>127.49800999999999</v>
      </c>
      <c r="J52" s="438">
        <v>-10.533726765418001</v>
      </c>
      <c r="K52" s="441">
        <v>0.53881694825699999</v>
      </c>
    </row>
    <row r="53" spans="1:11" ht="14.4" customHeight="1" thickBot="1" x14ac:dyDescent="0.35">
      <c r="A53" s="458" t="s">
        <v>306</v>
      </c>
      <c r="B53" s="442">
        <v>50.264280854421003</v>
      </c>
      <c r="C53" s="442">
        <v>62.918129999999998</v>
      </c>
      <c r="D53" s="443">
        <v>12.653849145578</v>
      </c>
      <c r="E53" s="449">
        <v>1.2517463481119999</v>
      </c>
      <c r="F53" s="442">
        <v>59.092260682244003</v>
      </c>
      <c r="G53" s="443">
        <v>34.470485397975999</v>
      </c>
      <c r="H53" s="445">
        <v>4.9634799999999997</v>
      </c>
      <c r="I53" s="442">
        <v>44.733240000000002</v>
      </c>
      <c r="J53" s="443">
        <v>10.262754602024</v>
      </c>
      <c r="K53" s="450">
        <v>0.75700674645900001</v>
      </c>
    </row>
    <row r="54" spans="1:11" ht="14.4" customHeight="1" thickBot="1" x14ac:dyDescent="0.35">
      <c r="A54" s="459" t="s">
        <v>307</v>
      </c>
      <c r="B54" s="437">
        <v>38.690966233109997</v>
      </c>
      <c r="C54" s="437">
        <v>55.319000000000003</v>
      </c>
      <c r="D54" s="438">
        <v>16.628033766889999</v>
      </c>
      <c r="E54" s="439">
        <v>1.4297652756120001</v>
      </c>
      <c r="F54" s="437">
        <v>50.426290650116002</v>
      </c>
      <c r="G54" s="438">
        <v>29.415336212566999</v>
      </c>
      <c r="H54" s="440">
        <v>3.9134000000000002</v>
      </c>
      <c r="I54" s="437">
        <v>40.097499999999997</v>
      </c>
      <c r="J54" s="438">
        <v>10.682163787432</v>
      </c>
      <c r="K54" s="441">
        <v>0.79517052479999994</v>
      </c>
    </row>
    <row r="55" spans="1:11" ht="14.4" customHeight="1" thickBot="1" x14ac:dyDescent="0.35">
      <c r="A55" s="459" t="s">
        <v>308</v>
      </c>
      <c r="B55" s="437">
        <v>11.573314621311001</v>
      </c>
      <c r="C55" s="437">
        <v>7.5991299999999997</v>
      </c>
      <c r="D55" s="438">
        <v>-3.9741846213110001</v>
      </c>
      <c r="E55" s="439">
        <v>0.65660791645600003</v>
      </c>
      <c r="F55" s="437">
        <v>8.6659700321279995</v>
      </c>
      <c r="G55" s="438">
        <v>5.0551491854080002</v>
      </c>
      <c r="H55" s="440">
        <v>1.0500799999999999</v>
      </c>
      <c r="I55" s="437">
        <v>4.6357400000000002</v>
      </c>
      <c r="J55" s="438">
        <v>-0.41940918540799998</v>
      </c>
      <c r="K55" s="441">
        <v>0.53493607557</v>
      </c>
    </row>
    <row r="56" spans="1:11" ht="14.4" customHeight="1" thickBot="1" x14ac:dyDescent="0.35">
      <c r="A56" s="458" t="s">
        <v>309</v>
      </c>
      <c r="B56" s="442">
        <v>6.3311590614400002</v>
      </c>
      <c r="C56" s="442">
        <v>5.2016</v>
      </c>
      <c r="D56" s="443">
        <v>-1.12955906144</v>
      </c>
      <c r="E56" s="449">
        <v>0.82158731908600002</v>
      </c>
      <c r="F56" s="442">
        <v>6</v>
      </c>
      <c r="G56" s="443">
        <v>3.5</v>
      </c>
      <c r="H56" s="445">
        <v>0.40500000000000003</v>
      </c>
      <c r="I56" s="442">
        <v>4.1996700000000002</v>
      </c>
      <c r="J56" s="443">
        <v>0.69966999999900004</v>
      </c>
      <c r="K56" s="450">
        <v>0.69994499999899995</v>
      </c>
    </row>
    <row r="57" spans="1:11" ht="14.4" customHeight="1" thickBot="1" x14ac:dyDescent="0.35">
      <c r="A57" s="459" t="s">
        <v>310</v>
      </c>
      <c r="B57" s="437">
        <v>1.999996816928</v>
      </c>
      <c r="C57" s="437">
        <v>1.62</v>
      </c>
      <c r="D57" s="438">
        <v>-0.37999681692800003</v>
      </c>
      <c r="E57" s="439">
        <v>0.81000128914500003</v>
      </c>
      <c r="F57" s="437">
        <v>2</v>
      </c>
      <c r="G57" s="438">
        <v>1.1666666666659999</v>
      </c>
      <c r="H57" s="440">
        <v>0.40500000000000003</v>
      </c>
      <c r="I57" s="437">
        <v>1.2150000000000001</v>
      </c>
      <c r="J57" s="438">
        <v>4.8333333333000002E-2</v>
      </c>
      <c r="K57" s="441">
        <v>0.60749999999899995</v>
      </c>
    </row>
    <row r="58" spans="1:11" ht="14.4" customHeight="1" thickBot="1" x14ac:dyDescent="0.35">
      <c r="A58" s="459" t="s">
        <v>311</v>
      </c>
      <c r="B58" s="437">
        <v>4.3311622445109998</v>
      </c>
      <c r="C58" s="437">
        <v>3.5815999999999999</v>
      </c>
      <c r="D58" s="438">
        <v>-0.74956224451099995</v>
      </c>
      <c r="E58" s="439">
        <v>0.82693738950499995</v>
      </c>
      <c r="F58" s="437">
        <v>4</v>
      </c>
      <c r="G58" s="438">
        <v>2.333333333333</v>
      </c>
      <c r="H58" s="440">
        <v>0</v>
      </c>
      <c r="I58" s="437">
        <v>2.9846699999999999</v>
      </c>
      <c r="J58" s="438">
        <v>0.65133666666599999</v>
      </c>
      <c r="K58" s="441">
        <v>0.74616749999900001</v>
      </c>
    </row>
    <row r="59" spans="1:11" ht="14.4" customHeight="1" thickBot="1" x14ac:dyDescent="0.35">
      <c r="A59" s="458" t="s">
        <v>312</v>
      </c>
      <c r="B59" s="442">
        <v>0</v>
      </c>
      <c r="C59" s="442">
        <v>19.8</v>
      </c>
      <c r="D59" s="443">
        <v>19.8</v>
      </c>
      <c r="E59" s="444" t="s">
        <v>283</v>
      </c>
      <c r="F59" s="442">
        <v>0</v>
      </c>
      <c r="G59" s="443">
        <v>0</v>
      </c>
      <c r="H59" s="445">
        <v>0</v>
      </c>
      <c r="I59" s="442">
        <v>0</v>
      </c>
      <c r="J59" s="443">
        <v>0</v>
      </c>
      <c r="K59" s="446" t="s">
        <v>260</v>
      </c>
    </row>
    <row r="60" spans="1:11" ht="14.4" customHeight="1" thickBot="1" x14ac:dyDescent="0.35">
      <c r="A60" s="459" t="s">
        <v>313</v>
      </c>
      <c r="B60" s="437">
        <v>0</v>
      </c>
      <c r="C60" s="437">
        <v>19.8</v>
      </c>
      <c r="D60" s="438">
        <v>19.8</v>
      </c>
      <c r="E60" s="447" t="s">
        <v>283</v>
      </c>
      <c r="F60" s="437">
        <v>0</v>
      </c>
      <c r="G60" s="438">
        <v>0</v>
      </c>
      <c r="H60" s="440">
        <v>0</v>
      </c>
      <c r="I60" s="437">
        <v>0</v>
      </c>
      <c r="J60" s="438">
        <v>0</v>
      </c>
      <c r="K60" s="448" t="s">
        <v>260</v>
      </c>
    </row>
    <row r="61" spans="1:11" ht="14.4" customHeight="1" thickBot="1" x14ac:dyDescent="0.35">
      <c r="A61" s="458" t="s">
        <v>314</v>
      </c>
      <c r="B61" s="442">
        <v>120.81427495470101</v>
      </c>
      <c r="C61" s="442">
        <v>122.35334</v>
      </c>
      <c r="D61" s="443">
        <v>1.539065045299</v>
      </c>
      <c r="E61" s="449">
        <v>1.0127390992980001</v>
      </c>
      <c r="F61" s="442">
        <v>124.28963776601</v>
      </c>
      <c r="G61" s="443">
        <v>72.502288696839003</v>
      </c>
      <c r="H61" s="445">
        <v>10.03999</v>
      </c>
      <c r="I61" s="442">
        <v>68.217339999999993</v>
      </c>
      <c r="J61" s="443">
        <v>-4.2849486968389998</v>
      </c>
      <c r="K61" s="450">
        <v>0.54885782295399999</v>
      </c>
    </row>
    <row r="62" spans="1:11" ht="14.4" customHeight="1" thickBot="1" x14ac:dyDescent="0.35">
      <c r="A62" s="459" t="s">
        <v>315</v>
      </c>
      <c r="B62" s="437">
        <v>104.814304829752</v>
      </c>
      <c r="C62" s="437">
        <v>105.20587999999999</v>
      </c>
      <c r="D62" s="438">
        <v>0.39157517024799998</v>
      </c>
      <c r="E62" s="439">
        <v>1.003735894359</v>
      </c>
      <c r="F62" s="437">
        <v>109</v>
      </c>
      <c r="G62" s="438">
        <v>63.583333333333002</v>
      </c>
      <c r="H62" s="440">
        <v>8.92835</v>
      </c>
      <c r="I62" s="437">
        <v>60.449120000000001</v>
      </c>
      <c r="J62" s="438">
        <v>-3.1342133333329998</v>
      </c>
      <c r="K62" s="441">
        <v>0.55457908256800004</v>
      </c>
    </row>
    <row r="63" spans="1:11" ht="14.4" customHeight="1" thickBot="1" x14ac:dyDescent="0.35">
      <c r="A63" s="459" t="s">
        <v>316</v>
      </c>
      <c r="B63" s="437">
        <v>0</v>
      </c>
      <c r="C63" s="437">
        <v>4.8097500000000002</v>
      </c>
      <c r="D63" s="438">
        <v>4.8097500000000002</v>
      </c>
      <c r="E63" s="447" t="s">
        <v>283</v>
      </c>
      <c r="F63" s="437">
        <v>0</v>
      </c>
      <c r="G63" s="438">
        <v>0</v>
      </c>
      <c r="H63" s="440">
        <v>0</v>
      </c>
      <c r="I63" s="437">
        <v>0</v>
      </c>
      <c r="J63" s="438">
        <v>0</v>
      </c>
      <c r="K63" s="448" t="s">
        <v>260</v>
      </c>
    </row>
    <row r="64" spans="1:11" ht="14.4" customHeight="1" thickBot="1" x14ac:dyDescent="0.35">
      <c r="A64" s="459" t="s">
        <v>317</v>
      </c>
      <c r="B64" s="437">
        <v>15.999970124949</v>
      </c>
      <c r="C64" s="437">
        <v>12.33771</v>
      </c>
      <c r="D64" s="438">
        <v>-3.6622601249489999</v>
      </c>
      <c r="E64" s="439">
        <v>0.77110831480599995</v>
      </c>
      <c r="F64" s="437">
        <v>15.289637766009999</v>
      </c>
      <c r="G64" s="438">
        <v>8.9189553635060008</v>
      </c>
      <c r="H64" s="440">
        <v>1.11164</v>
      </c>
      <c r="I64" s="437">
        <v>7.7682200000000003</v>
      </c>
      <c r="J64" s="438">
        <v>-1.150735363506</v>
      </c>
      <c r="K64" s="441">
        <v>0.50807089866199995</v>
      </c>
    </row>
    <row r="65" spans="1:11" ht="14.4" customHeight="1" thickBot="1" x14ac:dyDescent="0.35">
      <c r="A65" s="458" t="s">
        <v>318</v>
      </c>
      <c r="B65" s="442">
        <v>33.134909430687998</v>
      </c>
      <c r="C65" s="442">
        <v>27.362110000000001</v>
      </c>
      <c r="D65" s="443">
        <v>-5.7727994306879999</v>
      </c>
      <c r="E65" s="449">
        <v>0.82577892832999999</v>
      </c>
      <c r="F65" s="442">
        <v>42.911342494727002</v>
      </c>
      <c r="G65" s="443">
        <v>25.031616455257002</v>
      </c>
      <c r="H65" s="445">
        <v>0</v>
      </c>
      <c r="I65" s="442">
        <v>9.3477599999999992</v>
      </c>
      <c r="J65" s="443">
        <v>-15.683856455257001</v>
      </c>
      <c r="K65" s="450">
        <v>0.217838908236</v>
      </c>
    </row>
    <row r="66" spans="1:11" ht="14.4" customHeight="1" thickBot="1" x14ac:dyDescent="0.35">
      <c r="A66" s="459" t="s">
        <v>319</v>
      </c>
      <c r="B66" s="437">
        <v>16.500031932877</v>
      </c>
      <c r="C66" s="437">
        <v>20.537040000000001</v>
      </c>
      <c r="D66" s="438">
        <v>4.0370080671219997</v>
      </c>
      <c r="E66" s="439">
        <v>1.2446666820729999</v>
      </c>
      <c r="F66" s="437">
        <v>33.929699147653999</v>
      </c>
      <c r="G66" s="438">
        <v>19.792324502797999</v>
      </c>
      <c r="H66" s="440">
        <v>0</v>
      </c>
      <c r="I66" s="437">
        <v>7.8977599999999999</v>
      </c>
      <c r="J66" s="438">
        <v>-11.894564502798</v>
      </c>
      <c r="K66" s="441">
        <v>0.23276834744700001</v>
      </c>
    </row>
    <row r="67" spans="1:11" ht="14.4" customHeight="1" thickBot="1" x14ac:dyDescent="0.35">
      <c r="A67" s="459" t="s">
        <v>320</v>
      </c>
      <c r="B67" s="437">
        <v>0.99999840846400001</v>
      </c>
      <c r="C67" s="437">
        <v>1.2989999999999999</v>
      </c>
      <c r="D67" s="438">
        <v>0.299001591535</v>
      </c>
      <c r="E67" s="439">
        <v>1.299002067407</v>
      </c>
      <c r="F67" s="437">
        <v>1</v>
      </c>
      <c r="G67" s="438">
        <v>0.58333333333299997</v>
      </c>
      <c r="H67" s="440">
        <v>0</v>
      </c>
      <c r="I67" s="437">
        <v>1.45</v>
      </c>
      <c r="J67" s="438">
        <v>0.86666666666600001</v>
      </c>
      <c r="K67" s="441">
        <v>1.45</v>
      </c>
    </row>
    <row r="68" spans="1:11" ht="14.4" customHeight="1" thickBot="1" x14ac:dyDescent="0.35">
      <c r="A68" s="459" t="s">
        <v>321</v>
      </c>
      <c r="B68" s="437">
        <v>5.1387978832770003</v>
      </c>
      <c r="C68" s="437">
        <v>1.3552</v>
      </c>
      <c r="D68" s="438">
        <v>-3.7835978832769999</v>
      </c>
      <c r="E68" s="439">
        <v>0.263719264851</v>
      </c>
      <c r="F68" s="437">
        <v>1.628466275364</v>
      </c>
      <c r="G68" s="438">
        <v>0.94993866062900001</v>
      </c>
      <c r="H68" s="440">
        <v>0</v>
      </c>
      <c r="I68" s="437">
        <v>0</v>
      </c>
      <c r="J68" s="438">
        <v>-0.94993866062900001</v>
      </c>
      <c r="K68" s="441">
        <v>0</v>
      </c>
    </row>
    <row r="69" spans="1:11" ht="14.4" customHeight="1" thickBot="1" x14ac:dyDescent="0.35">
      <c r="A69" s="459" t="s">
        <v>322</v>
      </c>
      <c r="B69" s="437">
        <v>10.496081206069</v>
      </c>
      <c r="C69" s="437">
        <v>4.1708699999999999</v>
      </c>
      <c r="D69" s="438">
        <v>-6.3252112060689996</v>
      </c>
      <c r="E69" s="439">
        <v>0.39737402160899998</v>
      </c>
      <c r="F69" s="437">
        <v>6.3531770717080001</v>
      </c>
      <c r="G69" s="438">
        <v>3.7060199584959999</v>
      </c>
      <c r="H69" s="440">
        <v>0</v>
      </c>
      <c r="I69" s="437">
        <v>0</v>
      </c>
      <c r="J69" s="438">
        <v>-3.7060199584959999</v>
      </c>
      <c r="K69" s="441">
        <v>0</v>
      </c>
    </row>
    <row r="70" spans="1:11" ht="14.4" customHeight="1" thickBot="1" x14ac:dyDescent="0.35">
      <c r="A70" s="458" t="s">
        <v>323</v>
      </c>
      <c r="B70" s="442">
        <v>0</v>
      </c>
      <c r="C70" s="442">
        <v>0.24399999999999999</v>
      </c>
      <c r="D70" s="443">
        <v>0.24399999999999999</v>
      </c>
      <c r="E70" s="444" t="s">
        <v>283</v>
      </c>
      <c r="F70" s="442">
        <v>0</v>
      </c>
      <c r="G70" s="443">
        <v>0</v>
      </c>
      <c r="H70" s="445">
        <v>0</v>
      </c>
      <c r="I70" s="442">
        <v>0</v>
      </c>
      <c r="J70" s="443">
        <v>0</v>
      </c>
      <c r="K70" s="446" t="s">
        <v>260</v>
      </c>
    </row>
    <row r="71" spans="1:11" ht="14.4" customHeight="1" thickBot="1" x14ac:dyDescent="0.35">
      <c r="A71" s="459" t="s">
        <v>324</v>
      </c>
      <c r="B71" s="437">
        <v>0</v>
      </c>
      <c r="C71" s="437">
        <v>0.24399999999999999</v>
      </c>
      <c r="D71" s="438">
        <v>0.24399999999999999</v>
      </c>
      <c r="E71" s="447" t="s">
        <v>283</v>
      </c>
      <c r="F71" s="437">
        <v>0</v>
      </c>
      <c r="G71" s="438">
        <v>0</v>
      </c>
      <c r="H71" s="440">
        <v>0</v>
      </c>
      <c r="I71" s="437">
        <v>0</v>
      </c>
      <c r="J71" s="438">
        <v>0</v>
      </c>
      <c r="K71" s="448" t="s">
        <v>260</v>
      </c>
    </row>
    <row r="72" spans="1:11" ht="14.4" customHeight="1" thickBot="1" x14ac:dyDescent="0.35">
      <c r="A72" s="458" t="s">
        <v>325</v>
      </c>
      <c r="B72" s="442">
        <v>0.429121973948</v>
      </c>
      <c r="C72" s="442">
        <v>13.1572</v>
      </c>
      <c r="D72" s="443">
        <v>12.728078026051</v>
      </c>
      <c r="E72" s="449">
        <v>30.660746358297999</v>
      </c>
      <c r="F72" s="442">
        <v>4.3325935120199999</v>
      </c>
      <c r="G72" s="443">
        <v>2.5273462153450001</v>
      </c>
      <c r="H72" s="445">
        <v>0</v>
      </c>
      <c r="I72" s="442">
        <v>1</v>
      </c>
      <c r="J72" s="443">
        <v>-1.5273462153449999</v>
      </c>
      <c r="K72" s="450">
        <v>0.230808636264</v>
      </c>
    </row>
    <row r="73" spans="1:11" ht="14.4" customHeight="1" thickBot="1" x14ac:dyDescent="0.35">
      <c r="A73" s="459" t="s">
        <v>326</v>
      </c>
      <c r="B73" s="437">
        <v>0</v>
      </c>
      <c r="C73" s="437">
        <v>9.7390000000000008</v>
      </c>
      <c r="D73" s="438">
        <v>9.7390000000000008</v>
      </c>
      <c r="E73" s="447" t="s">
        <v>283</v>
      </c>
      <c r="F73" s="437">
        <v>0</v>
      </c>
      <c r="G73" s="438">
        <v>0</v>
      </c>
      <c r="H73" s="440">
        <v>0</v>
      </c>
      <c r="I73" s="437">
        <v>0</v>
      </c>
      <c r="J73" s="438">
        <v>0</v>
      </c>
      <c r="K73" s="448" t="s">
        <v>260</v>
      </c>
    </row>
    <row r="74" spans="1:11" ht="14.4" customHeight="1" thickBot="1" x14ac:dyDescent="0.35">
      <c r="A74" s="459" t="s">
        <v>327</v>
      </c>
      <c r="B74" s="437">
        <v>0.429121973948</v>
      </c>
      <c r="C74" s="437">
        <v>2.9611999999999998</v>
      </c>
      <c r="D74" s="438">
        <v>2.5320780260509999</v>
      </c>
      <c r="E74" s="439">
        <v>6.9006021126219999</v>
      </c>
      <c r="F74" s="437">
        <v>4.3325935120199999</v>
      </c>
      <c r="G74" s="438">
        <v>2.5273462153450001</v>
      </c>
      <c r="H74" s="440">
        <v>0</v>
      </c>
      <c r="I74" s="437">
        <v>1</v>
      </c>
      <c r="J74" s="438">
        <v>-1.5273462153449999</v>
      </c>
      <c r="K74" s="441">
        <v>0.230808636264</v>
      </c>
    </row>
    <row r="75" spans="1:11" ht="14.4" customHeight="1" thickBot="1" x14ac:dyDescent="0.35">
      <c r="A75" s="459" t="s">
        <v>328</v>
      </c>
      <c r="B75" s="437">
        <v>0</v>
      </c>
      <c r="C75" s="437">
        <v>0.45700000000000002</v>
      </c>
      <c r="D75" s="438">
        <v>0.45700000000000002</v>
      </c>
      <c r="E75" s="447" t="s">
        <v>283</v>
      </c>
      <c r="F75" s="437">
        <v>0</v>
      </c>
      <c r="G75" s="438">
        <v>0</v>
      </c>
      <c r="H75" s="440">
        <v>0</v>
      </c>
      <c r="I75" s="437">
        <v>0</v>
      </c>
      <c r="J75" s="438">
        <v>0</v>
      </c>
      <c r="K75" s="448" t="s">
        <v>260</v>
      </c>
    </row>
    <row r="76" spans="1:11" ht="14.4" customHeight="1" thickBot="1" x14ac:dyDescent="0.35">
      <c r="A76" s="456" t="s">
        <v>48</v>
      </c>
      <c r="B76" s="437">
        <v>7468.0006742072601</v>
      </c>
      <c r="C76" s="437">
        <v>7859.2764699999998</v>
      </c>
      <c r="D76" s="438">
        <v>391.27579579274402</v>
      </c>
      <c r="E76" s="439">
        <v>1.052393647625</v>
      </c>
      <c r="F76" s="437">
        <v>7849</v>
      </c>
      <c r="G76" s="438">
        <v>4578.5833333333303</v>
      </c>
      <c r="H76" s="440">
        <v>878.22904000000005</v>
      </c>
      <c r="I76" s="437">
        <v>4949.0823700000001</v>
      </c>
      <c r="J76" s="438">
        <v>370.499036666667</v>
      </c>
      <c r="K76" s="441">
        <v>0.63053667600899999</v>
      </c>
    </row>
    <row r="77" spans="1:11" ht="14.4" customHeight="1" thickBot="1" x14ac:dyDescent="0.35">
      <c r="A77" s="462" t="s">
        <v>329</v>
      </c>
      <c r="B77" s="442">
        <v>5515.0004978914103</v>
      </c>
      <c r="C77" s="442">
        <v>5801.1819999999998</v>
      </c>
      <c r="D77" s="443">
        <v>286.18150210859699</v>
      </c>
      <c r="E77" s="449">
        <v>1.051891473485</v>
      </c>
      <c r="F77" s="442">
        <v>5776</v>
      </c>
      <c r="G77" s="443">
        <v>3369.3333333333399</v>
      </c>
      <c r="H77" s="445">
        <v>647.66399999999999</v>
      </c>
      <c r="I77" s="442">
        <v>3641.6129999999998</v>
      </c>
      <c r="J77" s="443">
        <v>272.27966666666498</v>
      </c>
      <c r="K77" s="450">
        <v>0.63047316481899995</v>
      </c>
    </row>
    <row r="78" spans="1:11" ht="14.4" customHeight="1" thickBot="1" x14ac:dyDescent="0.35">
      <c r="A78" s="458" t="s">
        <v>330</v>
      </c>
      <c r="B78" s="442">
        <v>5500.00049653721</v>
      </c>
      <c r="C78" s="442">
        <v>5797.2780000000002</v>
      </c>
      <c r="D78" s="443">
        <v>297.27750346278799</v>
      </c>
      <c r="E78" s="449">
        <v>1.0540504502950001</v>
      </c>
      <c r="F78" s="442">
        <v>5760</v>
      </c>
      <c r="G78" s="443">
        <v>3360</v>
      </c>
      <c r="H78" s="445">
        <v>640.46400000000006</v>
      </c>
      <c r="I78" s="442">
        <v>3631.7069999999999</v>
      </c>
      <c r="J78" s="443">
        <v>271.70699999999903</v>
      </c>
      <c r="K78" s="450">
        <v>0.63050468749999999</v>
      </c>
    </row>
    <row r="79" spans="1:11" ht="14.4" customHeight="1" thickBot="1" x14ac:dyDescent="0.35">
      <c r="A79" s="459" t="s">
        <v>331</v>
      </c>
      <c r="B79" s="437">
        <v>5500.00049653721</v>
      </c>
      <c r="C79" s="437">
        <v>5797.2780000000002</v>
      </c>
      <c r="D79" s="438">
        <v>297.27750346278799</v>
      </c>
      <c r="E79" s="439">
        <v>1.0540504502950001</v>
      </c>
      <c r="F79" s="437">
        <v>5760</v>
      </c>
      <c r="G79" s="438">
        <v>3360</v>
      </c>
      <c r="H79" s="440">
        <v>640.46400000000006</v>
      </c>
      <c r="I79" s="437">
        <v>3631.7069999999999</v>
      </c>
      <c r="J79" s="438">
        <v>271.70699999999903</v>
      </c>
      <c r="K79" s="441">
        <v>0.63050468749999999</v>
      </c>
    </row>
    <row r="80" spans="1:11" ht="14.4" customHeight="1" thickBot="1" x14ac:dyDescent="0.35">
      <c r="A80" s="458" t="s">
        <v>332</v>
      </c>
      <c r="B80" s="442">
        <v>0</v>
      </c>
      <c r="C80" s="442">
        <v>0</v>
      </c>
      <c r="D80" s="443">
        <v>0</v>
      </c>
      <c r="E80" s="449">
        <v>1</v>
      </c>
      <c r="F80" s="442">
        <v>0</v>
      </c>
      <c r="G80" s="443">
        <v>0</v>
      </c>
      <c r="H80" s="445">
        <v>7.2</v>
      </c>
      <c r="I80" s="442">
        <v>7.2</v>
      </c>
      <c r="J80" s="443">
        <v>7.2</v>
      </c>
      <c r="K80" s="446" t="s">
        <v>283</v>
      </c>
    </row>
    <row r="81" spans="1:11" ht="14.4" customHeight="1" thickBot="1" x14ac:dyDescent="0.35">
      <c r="A81" s="459" t="s">
        <v>333</v>
      </c>
      <c r="B81" s="437">
        <v>0</v>
      </c>
      <c r="C81" s="437">
        <v>0</v>
      </c>
      <c r="D81" s="438">
        <v>0</v>
      </c>
      <c r="E81" s="439">
        <v>1</v>
      </c>
      <c r="F81" s="437">
        <v>0</v>
      </c>
      <c r="G81" s="438">
        <v>0</v>
      </c>
      <c r="H81" s="440">
        <v>7.2</v>
      </c>
      <c r="I81" s="437">
        <v>7.2</v>
      </c>
      <c r="J81" s="438">
        <v>7.2</v>
      </c>
      <c r="K81" s="448" t="s">
        <v>283</v>
      </c>
    </row>
    <row r="82" spans="1:11" ht="14.4" customHeight="1" thickBot="1" x14ac:dyDescent="0.35">
      <c r="A82" s="458" t="s">
        <v>334</v>
      </c>
      <c r="B82" s="442">
        <v>15.000001354191999</v>
      </c>
      <c r="C82" s="442">
        <v>3.9039999999999999</v>
      </c>
      <c r="D82" s="443">
        <v>-11.096001354192</v>
      </c>
      <c r="E82" s="449">
        <v>0.260266643169</v>
      </c>
      <c r="F82" s="442">
        <v>16</v>
      </c>
      <c r="G82" s="443">
        <v>9.333333333333</v>
      </c>
      <c r="H82" s="445">
        <v>0</v>
      </c>
      <c r="I82" s="442">
        <v>2.706</v>
      </c>
      <c r="J82" s="443">
        <v>-6.6273333333329996</v>
      </c>
      <c r="K82" s="450">
        <v>0.169125</v>
      </c>
    </row>
    <row r="83" spans="1:11" ht="14.4" customHeight="1" thickBot="1" x14ac:dyDescent="0.35">
      <c r="A83" s="459" t="s">
        <v>335</v>
      </c>
      <c r="B83" s="437">
        <v>15.000001354191999</v>
      </c>
      <c r="C83" s="437">
        <v>3.9039999999999999</v>
      </c>
      <c r="D83" s="438">
        <v>-11.096001354192</v>
      </c>
      <c r="E83" s="439">
        <v>0.260266643169</v>
      </c>
      <c r="F83" s="437">
        <v>16</v>
      </c>
      <c r="G83" s="438">
        <v>9.333333333333</v>
      </c>
      <c r="H83" s="440">
        <v>0</v>
      </c>
      <c r="I83" s="437">
        <v>2.706</v>
      </c>
      <c r="J83" s="438">
        <v>-6.6273333333329996</v>
      </c>
      <c r="K83" s="441">
        <v>0.169125</v>
      </c>
    </row>
    <row r="84" spans="1:11" ht="14.4" customHeight="1" thickBot="1" x14ac:dyDescent="0.35">
      <c r="A84" s="457" t="s">
        <v>336</v>
      </c>
      <c r="B84" s="437">
        <v>1870.00016882265</v>
      </c>
      <c r="C84" s="437">
        <v>1971.07779</v>
      </c>
      <c r="D84" s="438">
        <v>101.07762117734799</v>
      </c>
      <c r="E84" s="439">
        <v>1.0540521989580001</v>
      </c>
      <c r="F84" s="437">
        <v>1958</v>
      </c>
      <c r="G84" s="438">
        <v>1142.1666666666699</v>
      </c>
      <c r="H84" s="440">
        <v>217.75700000000001</v>
      </c>
      <c r="I84" s="437">
        <v>1234.7833900000001</v>
      </c>
      <c r="J84" s="438">
        <v>92.616723333335003</v>
      </c>
      <c r="K84" s="441">
        <v>0.63063503064299997</v>
      </c>
    </row>
    <row r="85" spans="1:11" ht="14.4" customHeight="1" thickBot="1" x14ac:dyDescent="0.35">
      <c r="A85" s="458" t="s">
        <v>337</v>
      </c>
      <c r="B85" s="442">
        <v>495.00004468834902</v>
      </c>
      <c r="C85" s="442">
        <v>521.75828999999999</v>
      </c>
      <c r="D85" s="443">
        <v>26.758245311650001</v>
      </c>
      <c r="E85" s="449">
        <v>1.054057056355</v>
      </c>
      <c r="F85" s="442">
        <v>517.99999999999795</v>
      </c>
      <c r="G85" s="443">
        <v>302.16666666666498</v>
      </c>
      <c r="H85" s="445">
        <v>57.640999999999998</v>
      </c>
      <c r="I85" s="442">
        <v>326.85664000000003</v>
      </c>
      <c r="J85" s="443">
        <v>24.689973333333999</v>
      </c>
      <c r="K85" s="450">
        <v>0.630997374517</v>
      </c>
    </row>
    <row r="86" spans="1:11" ht="14.4" customHeight="1" thickBot="1" x14ac:dyDescent="0.35">
      <c r="A86" s="459" t="s">
        <v>338</v>
      </c>
      <c r="B86" s="437">
        <v>495.00004468834902</v>
      </c>
      <c r="C86" s="437">
        <v>521.75828999999999</v>
      </c>
      <c r="D86" s="438">
        <v>26.758245311650001</v>
      </c>
      <c r="E86" s="439">
        <v>1.054057056355</v>
      </c>
      <c r="F86" s="437">
        <v>517.99999999999795</v>
      </c>
      <c r="G86" s="438">
        <v>302.16666666666498</v>
      </c>
      <c r="H86" s="440">
        <v>57.640999999999998</v>
      </c>
      <c r="I86" s="437">
        <v>326.85664000000003</v>
      </c>
      <c r="J86" s="438">
        <v>24.689973333333999</v>
      </c>
      <c r="K86" s="441">
        <v>0.630997374517</v>
      </c>
    </row>
    <row r="87" spans="1:11" ht="14.4" customHeight="1" thickBot="1" x14ac:dyDescent="0.35">
      <c r="A87" s="458" t="s">
        <v>339</v>
      </c>
      <c r="B87" s="442">
        <v>1375.0001241343</v>
      </c>
      <c r="C87" s="442">
        <v>1449.3195000000001</v>
      </c>
      <c r="D87" s="443">
        <v>74.319375865696003</v>
      </c>
      <c r="E87" s="449">
        <v>1.0540504502950001</v>
      </c>
      <c r="F87" s="442">
        <v>1440</v>
      </c>
      <c r="G87" s="443">
        <v>840</v>
      </c>
      <c r="H87" s="445">
        <v>160.11600000000001</v>
      </c>
      <c r="I87" s="442">
        <v>907.92674999999997</v>
      </c>
      <c r="J87" s="443">
        <v>67.926749999999998</v>
      </c>
      <c r="K87" s="450">
        <v>0.63050468749999999</v>
      </c>
    </row>
    <row r="88" spans="1:11" ht="14.4" customHeight="1" thickBot="1" x14ac:dyDescent="0.35">
      <c r="A88" s="459" t="s">
        <v>340</v>
      </c>
      <c r="B88" s="437">
        <v>1375.0001241343</v>
      </c>
      <c r="C88" s="437">
        <v>1449.3195000000001</v>
      </c>
      <c r="D88" s="438">
        <v>74.319375865696003</v>
      </c>
      <c r="E88" s="439">
        <v>1.0540504502950001</v>
      </c>
      <c r="F88" s="437">
        <v>1440</v>
      </c>
      <c r="G88" s="438">
        <v>840</v>
      </c>
      <c r="H88" s="440">
        <v>160.11600000000001</v>
      </c>
      <c r="I88" s="437">
        <v>907.92674999999997</v>
      </c>
      <c r="J88" s="438">
        <v>67.926749999999998</v>
      </c>
      <c r="K88" s="441">
        <v>0.63050468749999999</v>
      </c>
    </row>
    <row r="89" spans="1:11" ht="14.4" customHeight="1" thickBot="1" x14ac:dyDescent="0.35">
      <c r="A89" s="457" t="s">
        <v>341</v>
      </c>
      <c r="B89" s="437">
        <v>83.000007493197998</v>
      </c>
      <c r="C89" s="437">
        <v>87.016679999999994</v>
      </c>
      <c r="D89" s="438">
        <v>4.0166725068020002</v>
      </c>
      <c r="E89" s="439">
        <v>1.0483936402909999</v>
      </c>
      <c r="F89" s="437">
        <v>115</v>
      </c>
      <c r="G89" s="438">
        <v>67.083333333333002</v>
      </c>
      <c r="H89" s="440">
        <v>12.80804</v>
      </c>
      <c r="I89" s="437">
        <v>72.685980000000001</v>
      </c>
      <c r="J89" s="438">
        <v>5.6026466666659998</v>
      </c>
      <c r="K89" s="441">
        <v>0.63205199999999995</v>
      </c>
    </row>
    <row r="90" spans="1:11" ht="14.4" customHeight="1" thickBot="1" x14ac:dyDescent="0.35">
      <c r="A90" s="458" t="s">
        <v>342</v>
      </c>
      <c r="B90" s="442">
        <v>83.000007493197998</v>
      </c>
      <c r="C90" s="442">
        <v>87.016679999999994</v>
      </c>
      <c r="D90" s="443">
        <v>4.0166725068020002</v>
      </c>
      <c r="E90" s="449">
        <v>1.0483936402909999</v>
      </c>
      <c r="F90" s="442">
        <v>115</v>
      </c>
      <c r="G90" s="443">
        <v>67.083333333333002</v>
      </c>
      <c r="H90" s="445">
        <v>12.80804</v>
      </c>
      <c r="I90" s="442">
        <v>72.685980000000001</v>
      </c>
      <c r="J90" s="443">
        <v>5.6026466666659998</v>
      </c>
      <c r="K90" s="450">
        <v>0.63205199999999995</v>
      </c>
    </row>
    <row r="91" spans="1:11" ht="14.4" customHeight="1" thickBot="1" x14ac:dyDescent="0.35">
      <c r="A91" s="459" t="s">
        <v>343</v>
      </c>
      <c r="B91" s="437">
        <v>83.000007493197998</v>
      </c>
      <c r="C91" s="437">
        <v>87.016679999999994</v>
      </c>
      <c r="D91" s="438">
        <v>4.0166725068020002</v>
      </c>
      <c r="E91" s="439">
        <v>1.0483936402909999</v>
      </c>
      <c r="F91" s="437">
        <v>115</v>
      </c>
      <c r="G91" s="438">
        <v>67.083333333333002</v>
      </c>
      <c r="H91" s="440">
        <v>12.80804</v>
      </c>
      <c r="I91" s="437">
        <v>72.685980000000001</v>
      </c>
      <c r="J91" s="438">
        <v>5.6026466666659998</v>
      </c>
      <c r="K91" s="441">
        <v>0.63205199999999995</v>
      </c>
    </row>
    <row r="92" spans="1:11" ht="14.4" customHeight="1" thickBot="1" x14ac:dyDescent="0.35">
      <c r="A92" s="456" t="s">
        <v>344</v>
      </c>
      <c r="B92" s="437">
        <v>0</v>
      </c>
      <c r="C92" s="437">
        <v>0.17496999999999999</v>
      </c>
      <c r="D92" s="438">
        <v>0.17496999999999999</v>
      </c>
      <c r="E92" s="447" t="s">
        <v>260</v>
      </c>
      <c r="F92" s="437">
        <v>0</v>
      </c>
      <c r="G92" s="438">
        <v>0</v>
      </c>
      <c r="H92" s="440">
        <v>0</v>
      </c>
      <c r="I92" s="437">
        <v>3.0123700000000002</v>
      </c>
      <c r="J92" s="438">
        <v>3.0123700000000002</v>
      </c>
      <c r="K92" s="448" t="s">
        <v>260</v>
      </c>
    </row>
    <row r="93" spans="1:11" ht="14.4" customHeight="1" thickBot="1" x14ac:dyDescent="0.35">
      <c r="A93" s="457" t="s">
        <v>345</v>
      </c>
      <c r="B93" s="437">
        <v>0</v>
      </c>
      <c r="C93" s="437">
        <v>0.17496999999999999</v>
      </c>
      <c r="D93" s="438">
        <v>0.17496999999999999</v>
      </c>
      <c r="E93" s="447" t="s">
        <v>260</v>
      </c>
      <c r="F93" s="437">
        <v>0</v>
      </c>
      <c r="G93" s="438">
        <v>0</v>
      </c>
      <c r="H93" s="440">
        <v>0</v>
      </c>
      <c r="I93" s="437">
        <v>3.0123700000000002</v>
      </c>
      <c r="J93" s="438">
        <v>3.0123700000000002</v>
      </c>
      <c r="K93" s="448" t="s">
        <v>260</v>
      </c>
    </row>
    <row r="94" spans="1:11" ht="14.4" customHeight="1" thickBot="1" x14ac:dyDescent="0.35">
      <c r="A94" s="458" t="s">
        <v>346</v>
      </c>
      <c r="B94" s="442">
        <v>0</v>
      </c>
      <c r="C94" s="442">
        <v>0.17496999999999999</v>
      </c>
      <c r="D94" s="443">
        <v>0.17496999999999999</v>
      </c>
      <c r="E94" s="444" t="s">
        <v>260</v>
      </c>
      <c r="F94" s="442">
        <v>0</v>
      </c>
      <c r="G94" s="443">
        <v>0</v>
      </c>
      <c r="H94" s="445">
        <v>0</v>
      </c>
      <c r="I94" s="442">
        <v>3.0123700000000002</v>
      </c>
      <c r="J94" s="443">
        <v>3.0123700000000002</v>
      </c>
      <c r="K94" s="446" t="s">
        <v>260</v>
      </c>
    </row>
    <row r="95" spans="1:11" ht="14.4" customHeight="1" thickBot="1" x14ac:dyDescent="0.35">
      <c r="A95" s="459" t="s">
        <v>347</v>
      </c>
      <c r="B95" s="437">
        <v>0</v>
      </c>
      <c r="C95" s="437">
        <v>1.0359700000000001</v>
      </c>
      <c r="D95" s="438">
        <v>1.0359700000000001</v>
      </c>
      <c r="E95" s="447" t="s">
        <v>260</v>
      </c>
      <c r="F95" s="437">
        <v>0</v>
      </c>
      <c r="G95" s="438">
        <v>0</v>
      </c>
      <c r="H95" s="440">
        <v>0</v>
      </c>
      <c r="I95" s="437">
        <v>3.0123700000000002</v>
      </c>
      <c r="J95" s="438">
        <v>3.0123700000000002</v>
      </c>
      <c r="K95" s="448" t="s">
        <v>260</v>
      </c>
    </row>
    <row r="96" spans="1:11" ht="14.4" customHeight="1" thickBot="1" x14ac:dyDescent="0.35">
      <c r="A96" s="459" t="s">
        <v>348</v>
      </c>
      <c r="B96" s="437">
        <v>0</v>
      </c>
      <c r="C96" s="437">
        <v>-0.86099999999999999</v>
      </c>
      <c r="D96" s="438">
        <v>-0.86099999999999999</v>
      </c>
      <c r="E96" s="447" t="s">
        <v>260</v>
      </c>
      <c r="F96" s="437">
        <v>0</v>
      </c>
      <c r="G96" s="438">
        <v>0</v>
      </c>
      <c r="H96" s="440">
        <v>0</v>
      </c>
      <c r="I96" s="437">
        <v>0</v>
      </c>
      <c r="J96" s="438">
        <v>0</v>
      </c>
      <c r="K96" s="448" t="s">
        <v>260</v>
      </c>
    </row>
    <row r="97" spans="1:11" ht="14.4" customHeight="1" thickBot="1" x14ac:dyDescent="0.35">
      <c r="A97" s="456" t="s">
        <v>349</v>
      </c>
      <c r="B97" s="437">
        <v>306.000706633454</v>
      </c>
      <c r="C97" s="437">
        <v>329.98718000000002</v>
      </c>
      <c r="D97" s="438">
        <v>23.986473366546001</v>
      </c>
      <c r="E97" s="439">
        <v>1.0783869868480001</v>
      </c>
      <c r="F97" s="437">
        <v>309.00000000000102</v>
      </c>
      <c r="G97" s="438">
        <v>180.25</v>
      </c>
      <c r="H97" s="440">
        <v>41.968179999999997</v>
      </c>
      <c r="I97" s="437">
        <v>210.60017999999999</v>
      </c>
      <c r="J97" s="438">
        <v>30.350179999999</v>
      </c>
      <c r="K97" s="441">
        <v>0.68155398058200001</v>
      </c>
    </row>
    <row r="98" spans="1:11" ht="14.4" customHeight="1" thickBot="1" x14ac:dyDescent="0.35">
      <c r="A98" s="457" t="s">
        <v>350</v>
      </c>
      <c r="B98" s="437">
        <v>306.000706633454</v>
      </c>
      <c r="C98" s="437">
        <v>305.20800000000003</v>
      </c>
      <c r="D98" s="438">
        <v>-0.79270663345299996</v>
      </c>
      <c r="E98" s="439">
        <v>0.99740946142800002</v>
      </c>
      <c r="F98" s="437">
        <v>306.00000000000102</v>
      </c>
      <c r="G98" s="438">
        <v>178.5</v>
      </c>
      <c r="H98" s="440">
        <v>27.498999999999999</v>
      </c>
      <c r="I98" s="437">
        <v>180.09800000000001</v>
      </c>
      <c r="J98" s="438">
        <v>1.597999999999</v>
      </c>
      <c r="K98" s="441">
        <v>0.58855555555500005</v>
      </c>
    </row>
    <row r="99" spans="1:11" ht="14.4" customHeight="1" thickBot="1" x14ac:dyDescent="0.35">
      <c r="A99" s="458" t="s">
        <v>351</v>
      </c>
      <c r="B99" s="442">
        <v>306.000706633454</v>
      </c>
      <c r="C99" s="442">
        <v>305.20800000000003</v>
      </c>
      <c r="D99" s="443">
        <v>-0.79270663345299996</v>
      </c>
      <c r="E99" s="449">
        <v>0.99740946142800002</v>
      </c>
      <c r="F99" s="442">
        <v>306.00000000000102</v>
      </c>
      <c r="G99" s="443">
        <v>178.5</v>
      </c>
      <c r="H99" s="445">
        <v>27.498999999999999</v>
      </c>
      <c r="I99" s="442">
        <v>180.09800000000001</v>
      </c>
      <c r="J99" s="443">
        <v>1.597999999999</v>
      </c>
      <c r="K99" s="450">
        <v>0.58855555555500005</v>
      </c>
    </row>
    <row r="100" spans="1:11" ht="14.4" customHeight="1" thickBot="1" x14ac:dyDescent="0.35">
      <c r="A100" s="459" t="s">
        <v>352</v>
      </c>
      <c r="B100" s="437">
        <v>129.00029789449499</v>
      </c>
      <c r="C100" s="437">
        <v>128.59200000000001</v>
      </c>
      <c r="D100" s="438">
        <v>-0.40829789449499998</v>
      </c>
      <c r="E100" s="439">
        <v>0.996834907351</v>
      </c>
      <c r="F100" s="437">
        <v>129</v>
      </c>
      <c r="G100" s="438">
        <v>75.25</v>
      </c>
      <c r="H100" s="440">
        <v>10.715</v>
      </c>
      <c r="I100" s="437">
        <v>75.006</v>
      </c>
      <c r="J100" s="438">
        <v>-0.24399999999999999</v>
      </c>
      <c r="K100" s="441">
        <v>0.58144186046500002</v>
      </c>
    </row>
    <row r="101" spans="1:11" ht="14.4" customHeight="1" thickBot="1" x14ac:dyDescent="0.35">
      <c r="A101" s="459" t="s">
        <v>353</v>
      </c>
      <c r="B101" s="437">
        <v>154.000355625987</v>
      </c>
      <c r="C101" s="437">
        <v>153.58799999999999</v>
      </c>
      <c r="D101" s="438">
        <v>-0.41235562598600001</v>
      </c>
      <c r="E101" s="439">
        <v>0.99732237224800002</v>
      </c>
      <c r="F101" s="437">
        <v>154</v>
      </c>
      <c r="G101" s="438">
        <v>89.833333333333002</v>
      </c>
      <c r="H101" s="440">
        <v>14.865</v>
      </c>
      <c r="I101" s="437">
        <v>91.659000000000006</v>
      </c>
      <c r="J101" s="438">
        <v>1.825666666666</v>
      </c>
      <c r="K101" s="441">
        <v>0.59518831168800002</v>
      </c>
    </row>
    <row r="102" spans="1:11" ht="14.4" customHeight="1" thickBot="1" x14ac:dyDescent="0.35">
      <c r="A102" s="459" t="s">
        <v>354</v>
      </c>
      <c r="B102" s="437">
        <v>23.000053112972001</v>
      </c>
      <c r="C102" s="437">
        <v>23.027999999999999</v>
      </c>
      <c r="D102" s="438">
        <v>2.7946887027E-2</v>
      </c>
      <c r="E102" s="439">
        <v>1.0012150792379999</v>
      </c>
      <c r="F102" s="437">
        <v>23</v>
      </c>
      <c r="G102" s="438">
        <v>13.416666666666</v>
      </c>
      <c r="H102" s="440">
        <v>1.919</v>
      </c>
      <c r="I102" s="437">
        <v>13.433</v>
      </c>
      <c r="J102" s="438">
        <v>1.6333333333000001E-2</v>
      </c>
      <c r="K102" s="441">
        <v>0.58404347826000003</v>
      </c>
    </row>
    <row r="103" spans="1:11" ht="14.4" customHeight="1" thickBot="1" x14ac:dyDescent="0.35">
      <c r="A103" s="457" t="s">
        <v>355</v>
      </c>
      <c r="B103" s="437">
        <v>0</v>
      </c>
      <c r="C103" s="437">
        <v>24.77918</v>
      </c>
      <c r="D103" s="438">
        <v>24.77918</v>
      </c>
      <c r="E103" s="447" t="s">
        <v>260</v>
      </c>
      <c r="F103" s="437">
        <v>3</v>
      </c>
      <c r="G103" s="438">
        <v>1.75</v>
      </c>
      <c r="H103" s="440">
        <v>14.46918</v>
      </c>
      <c r="I103" s="437">
        <v>30.502179999999999</v>
      </c>
      <c r="J103" s="438">
        <v>28.752179999999999</v>
      </c>
      <c r="K103" s="441">
        <v>10.167393333333001</v>
      </c>
    </row>
    <row r="104" spans="1:11" ht="14.4" customHeight="1" thickBot="1" x14ac:dyDescent="0.35">
      <c r="A104" s="458" t="s">
        <v>356</v>
      </c>
      <c r="B104" s="442">
        <v>0</v>
      </c>
      <c r="C104" s="442">
        <v>23.775300000000001</v>
      </c>
      <c r="D104" s="443">
        <v>23.775300000000001</v>
      </c>
      <c r="E104" s="444" t="s">
        <v>260</v>
      </c>
      <c r="F104" s="442">
        <v>3</v>
      </c>
      <c r="G104" s="443">
        <v>1.75</v>
      </c>
      <c r="H104" s="445">
        <v>0</v>
      </c>
      <c r="I104" s="442">
        <v>0</v>
      </c>
      <c r="J104" s="443">
        <v>-1.75</v>
      </c>
      <c r="K104" s="450">
        <v>0</v>
      </c>
    </row>
    <row r="105" spans="1:11" ht="14.4" customHeight="1" thickBot="1" x14ac:dyDescent="0.35">
      <c r="A105" s="459" t="s">
        <v>357</v>
      </c>
      <c r="B105" s="437">
        <v>0</v>
      </c>
      <c r="C105" s="437">
        <v>23.775300000000001</v>
      </c>
      <c r="D105" s="438">
        <v>23.775300000000001</v>
      </c>
      <c r="E105" s="447" t="s">
        <v>260</v>
      </c>
      <c r="F105" s="437">
        <v>3</v>
      </c>
      <c r="G105" s="438">
        <v>1.75</v>
      </c>
      <c r="H105" s="440">
        <v>0</v>
      </c>
      <c r="I105" s="437">
        <v>0</v>
      </c>
      <c r="J105" s="438">
        <v>-1.75</v>
      </c>
      <c r="K105" s="441">
        <v>0</v>
      </c>
    </row>
    <row r="106" spans="1:11" ht="14.4" customHeight="1" thickBot="1" x14ac:dyDescent="0.35">
      <c r="A106" s="458" t="s">
        <v>358</v>
      </c>
      <c r="B106" s="442">
        <v>0</v>
      </c>
      <c r="C106" s="442">
        <v>0</v>
      </c>
      <c r="D106" s="443">
        <v>0</v>
      </c>
      <c r="E106" s="449">
        <v>1</v>
      </c>
      <c r="F106" s="442">
        <v>0</v>
      </c>
      <c r="G106" s="443">
        <v>0</v>
      </c>
      <c r="H106" s="445">
        <v>14.46918</v>
      </c>
      <c r="I106" s="442">
        <v>14.46918</v>
      </c>
      <c r="J106" s="443">
        <v>14.46918</v>
      </c>
      <c r="K106" s="446" t="s">
        <v>283</v>
      </c>
    </row>
    <row r="107" spans="1:11" ht="14.4" customHeight="1" thickBot="1" x14ac:dyDescent="0.35">
      <c r="A107" s="459" t="s">
        <v>359</v>
      </c>
      <c r="B107" s="437">
        <v>0</v>
      </c>
      <c r="C107" s="437">
        <v>0</v>
      </c>
      <c r="D107" s="438">
        <v>0</v>
      </c>
      <c r="E107" s="439">
        <v>1</v>
      </c>
      <c r="F107" s="437">
        <v>0</v>
      </c>
      <c r="G107" s="438">
        <v>0</v>
      </c>
      <c r="H107" s="440">
        <v>14.46918</v>
      </c>
      <c r="I107" s="437">
        <v>14.46918</v>
      </c>
      <c r="J107" s="438">
        <v>14.46918</v>
      </c>
      <c r="K107" s="448" t="s">
        <v>283</v>
      </c>
    </row>
    <row r="108" spans="1:11" ht="14.4" customHeight="1" thickBot="1" x14ac:dyDescent="0.35">
      <c r="A108" s="458" t="s">
        <v>360</v>
      </c>
      <c r="B108" s="442">
        <v>0</v>
      </c>
      <c r="C108" s="442">
        <v>1.0038800000000001</v>
      </c>
      <c r="D108" s="443">
        <v>1.0038800000000001</v>
      </c>
      <c r="E108" s="444" t="s">
        <v>260</v>
      </c>
      <c r="F108" s="442">
        <v>0</v>
      </c>
      <c r="G108" s="443">
        <v>0</v>
      </c>
      <c r="H108" s="445">
        <v>0</v>
      </c>
      <c r="I108" s="442">
        <v>16.033000000000001</v>
      </c>
      <c r="J108" s="443">
        <v>16.033000000000001</v>
      </c>
      <c r="K108" s="446" t="s">
        <v>260</v>
      </c>
    </row>
    <row r="109" spans="1:11" ht="14.4" customHeight="1" thickBot="1" x14ac:dyDescent="0.35">
      <c r="A109" s="459" t="s">
        <v>361</v>
      </c>
      <c r="B109" s="437">
        <v>0</v>
      </c>
      <c r="C109" s="437">
        <v>1.0038800000000001</v>
      </c>
      <c r="D109" s="438">
        <v>1.0038800000000001</v>
      </c>
      <c r="E109" s="447" t="s">
        <v>260</v>
      </c>
      <c r="F109" s="437">
        <v>0</v>
      </c>
      <c r="G109" s="438">
        <v>0</v>
      </c>
      <c r="H109" s="440">
        <v>0</v>
      </c>
      <c r="I109" s="437">
        <v>16.033000000000001</v>
      </c>
      <c r="J109" s="438">
        <v>16.033000000000001</v>
      </c>
      <c r="K109" s="448" t="s">
        <v>260</v>
      </c>
    </row>
    <row r="110" spans="1:11" ht="14.4" customHeight="1" thickBot="1" x14ac:dyDescent="0.35">
      <c r="A110" s="455" t="s">
        <v>362</v>
      </c>
      <c r="B110" s="437">
        <v>6947.2384951597796</v>
      </c>
      <c r="C110" s="437">
        <v>7160.9029399999999</v>
      </c>
      <c r="D110" s="438">
        <v>213.66444484021901</v>
      </c>
      <c r="E110" s="439">
        <v>1.0307553058650001</v>
      </c>
      <c r="F110" s="437">
        <v>7202.6894508272098</v>
      </c>
      <c r="G110" s="438">
        <v>4201.5688463158704</v>
      </c>
      <c r="H110" s="440">
        <v>467.89469000000003</v>
      </c>
      <c r="I110" s="437">
        <v>4745.7824799999999</v>
      </c>
      <c r="J110" s="438">
        <v>544.21363368412904</v>
      </c>
      <c r="K110" s="441">
        <v>0.65889033706</v>
      </c>
    </row>
    <row r="111" spans="1:11" ht="14.4" customHeight="1" thickBot="1" x14ac:dyDescent="0.35">
      <c r="A111" s="456" t="s">
        <v>363</v>
      </c>
      <c r="B111" s="437">
        <v>6856.7344153613503</v>
      </c>
      <c r="C111" s="437">
        <v>7105.4462000000003</v>
      </c>
      <c r="D111" s="438">
        <v>248.71178463864501</v>
      </c>
      <c r="E111" s="439">
        <v>1.036272629151</v>
      </c>
      <c r="F111" s="437">
        <v>7148.7875299111602</v>
      </c>
      <c r="G111" s="438">
        <v>4170.1260591148402</v>
      </c>
      <c r="H111" s="440">
        <v>464.71863000000002</v>
      </c>
      <c r="I111" s="437">
        <v>4736.52711</v>
      </c>
      <c r="J111" s="438">
        <v>566.401050885156</v>
      </c>
      <c r="K111" s="441">
        <v>0.66256369911400004</v>
      </c>
    </row>
    <row r="112" spans="1:11" ht="14.4" customHeight="1" thickBot="1" x14ac:dyDescent="0.35">
      <c r="A112" s="457" t="s">
        <v>364</v>
      </c>
      <c r="B112" s="437">
        <v>6856.7344153613503</v>
      </c>
      <c r="C112" s="437">
        <v>7105.4462000000003</v>
      </c>
      <c r="D112" s="438">
        <v>248.71178463864501</v>
      </c>
      <c r="E112" s="439">
        <v>1.036272629151</v>
      </c>
      <c r="F112" s="437">
        <v>7148.7875299111602</v>
      </c>
      <c r="G112" s="438">
        <v>4170.1260591148402</v>
      </c>
      <c r="H112" s="440">
        <v>464.71863000000002</v>
      </c>
      <c r="I112" s="437">
        <v>4736.52711</v>
      </c>
      <c r="J112" s="438">
        <v>566.401050885156</v>
      </c>
      <c r="K112" s="441">
        <v>0.66256369911400004</v>
      </c>
    </row>
    <row r="113" spans="1:11" ht="14.4" customHeight="1" thickBot="1" x14ac:dyDescent="0.35">
      <c r="A113" s="458" t="s">
        <v>365</v>
      </c>
      <c r="B113" s="442">
        <v>4453.7341744157702</v>
      </c>
      <c r="C113" s="442">
        <v>4811.7146899999998</v>
      </c>
      <c r="D113" s="443">
        <v>357.98051558422901</v>
      </c>
      <c r="E113" s="449">
        <v>1.0803776115870001</v>
      </c>
      <c r="F113" s="442">
        <v>4567.5</v>
      </c>
      <c r="G113" s="443">
        <v>2664.375</v>
      </c>
      <c r="H113" s="445">
        <v>296.51855999999998</v>
      </c>
      <c r="I113" s="442">
        <v>3068.3093399999998</v>
      </c>
      <c r="J113" s="443">
        <v>403.93434000000002</v>
      </c>
      <c r="K113" s="450">
        <v>0.67176997044300002</v>
      </c>
    </row>
    <row r="114" spans="1:11" ht="14.4" customHeight="1" thickBot="1" x14ac:dyDescent="0.35">
      <c r="A114" s="459" t="s">
        <v>366</v>
      </c>
      <c r="B114" s="437">
        <v>3427.26425456674</v>
      </c>
      <c r="C114" s="437">
        <v>3716.5016099999998</v>
      </c>
      <c r="D114" s="438">
        <v>289.23735543325603</v>
      </c>
      <c r="E114" s="439">
        <v>1.0843930709589999</v>
      </c>
      <c r="F114" s="437">
        <v>3503</v>
      </c>
      <c r="G114" s="438">
        <v>2043.4166666666699</v>
      </c>
      <c r="H114" s="440">
        <v>252.69281000000001</v>
      </c>
      <c r="I114" s="437">
        <v>2282.1593400000002</v>
      </c>
      <c r="J114" s="438">
        <v>238.74267333333299</v>
      </c>
      <c r="K114" s="441">
        <v>0.65148710819199995</v>
      </c>
    </row>
    <row r="115" spans="1:11" ht="14.4" customHeight="1" thickBot="1" x14ac:dyDescent="0.35">
      <c r="A115" s="459" t="s">
        <v>367</v>
      </c>
      <c r="B115" s="437">
        <v>49.791237304747</v>
      </c>
      <c r="C115" s="437">
        <v>39.462000000000003</v>
      </c>
      <c r="D115" s="438">
        <v>-10.329237304747</v>
      </c>
      <c r="E115" s="439">
        <v>0.79254909369799997</v>
      </c>
      <c r="F115" s="437">
        <v>40</v>
      </c>
      <c r="G115" s="438">
        <v>23.333333333333002</v>
      </c>
      <c r="H115" s="440">
        <v>0</v>
      </c>
      <c r="I115" s="437">
        <v>2.5823999999999998</v>
      </c>
      <c r="J115" s="438">
        <v>-20.750933333332998</v>
      </c>
      <c r="K115" s="441">
        <v>6.4560000000000006E-2</v>
      </c>
    </row>
    <row r="116" spans="1:11" ht="14.4" customHeight="1" thickBot="1" x14ac:dyDescent="0.35">
      <c r="A116" s="459" t="s">
        <v>368</v>
      </c>
      <c r="B116" s="437">
        <v>104.245743218396</v>
      </c>
      <c r="C116" s="437">
        <v>124.29519999999999</v>
      </c>
      <c r="D116" s="438">
        <v>20.049456781604</v>
      </c>
      <c r="E116" s="439">
        <v>1.1923287816129999</v>
      </c>
      <c r="F116" s="437">
        <v>125</v>
      </c>
      <c r="G116" s="438">
        <v>72.916666666666003</v>
      </c>
      <c r="H116" s="440">
        <v>0.61680000000000001</v>
      </c>
      <c r="I116" s="437">
        <v>51.02</v>
      </c>
      <c r="J116" s="438">
        <v>-21.896666666666</v>
      </c>
      <c r="K116" s="441">
        <v>0.40816000000000002</v>
      </c>
    </row>
    <row r="117" spans="1:11" ht="14.4" customHeight="1" thickBot="1" x14ac:dyDescent="0.35">
      <c r="A117" s="459" t="s">
        <v>369</v>
      </c>
      <c r="B117" s="437">
        <v>872.43293932588494</v>
      </c>
      <c r="C117" s="437">
        <v>931.45587999999998</v>
      </c>
      <c r="D117" s="438">
        <v>59.022940674114999</v>
      </c>
      <c r="E117" s="439">
        <v>1.067653269395</v>
      </c>
      <c r="F117" s="437">
        <v>899.5</v>
      </c>
      <c r="G117" s="438">
        <v>524.70833333333303</v>
      </c>
      <c r="H117" s="440">
        <v>43.208950000000002</v>
      </c>
      <c r="I117" s="437">
        <v>732.54759999999999</v>
      </c>
      <c r="J117" s="438">
        <v>207.83926666666699</v>
      </c>
      <c r="K117" s="441">
        <v>0.81439421900999998</v>
      </c>
    </row>
    <row r="118" spans="1:11" ht="14.4" customHeight="1" thickBot="1" x14ac:dyDescent="0.35">
      <c r="A118" s="458" t="s">
        <v>370</v>
      </c>
      <c r="B118" s="442">
        <v>0</v>
      </c>
      <c r="C118" s="442">
        <v>1.5181899999999999</v>
      </c>
      <c r="D118" s="443">
        <v>1.5181899999999999</v>
      </c>
      <c r="E118" s="444" t="s">
        <v>260</v>
      </c>
      <c r="F118" s="442">
        <v>0</v>
      </c>
      <c r="G118" s="443">
        <v>0</v>
      </c>
      <c r="H118" s="445">
        <v>0</v>
      </c>
      <c r="I118" s="442">
        <v>0</v>
      </c>
      <c r="J118" s="443">
        <v>0</v>
      </c>
      <c r="K118" s="446" t="s">
        <v>260</v>
      </c>
    </row>
    <row r="119" spans="1:11" ht="14.4" customHeight="1" thickBot="1" x14ac:dyDescent="0.35">
      <c r="A119" s="459" t="s">
        <v>371</v>
      </c>
      <c r="B119" s="437">
        <v>0</v>
      </c>
      <c r="C119" s="437">
        <v>1.5181899999999999</v>
      </c>
      <c r="D119" s="438">
        <v>1.5181899999999999</v>
      </c>
      <c r="E119" s="447" t="s">
        <v>260</v>
      </c>
      <c r="F119" s="437">
        <v>0</v>
      </c>
      <c r="G119" s="438">
        <v>0</v>
      </c>
      <c r="H119" s="440">
        <v>0</v>
      </c>
      <c r="I119" s="437">
        <v>0</v>
      </c>
      <c r="J119" s="438">
        <v>0</v>
      </c>
      <c r="K119" s="448" t="s">
        <v>260</v>
      </c>
    </row>
    <row r="120" spans="1:11" ht="14.4" customHeight="1" thickBot="1" x14ac:dyDescent="0.35">
      <c r="A120" s="458" t="s">
        <v>372</v>
      </c>
      <c r="B120" s="442">
        <v>1.0000001002679999</v>
      </c>
      <c r="C120" s="442">
        <v>0</v>
      </c>
      <c r="D120" s="443">
        <v>-1.0000001002679999</v>
      </c>
      <c r="E120" s="449">
        <v>0</v>
      </c>
      <c r="F120" s="442">
        <v>2</v>
      </c>
      <c r="G120" s="443">
        <v>1.1666666666659999</v>
      </c>
      <c r="H120" s="445">
        <v>0</v>
      </c>
      <c r="I120" s="442">
        <v>0.77188999999999997</v>
      </c>
      <c r="J120" s="443">
        <v>-0.39477666666599998</v>
      </c>
      <c r="K120" s="450">
        <v>0.38594499999999998</v>
      </c>
    </row>
    <row r="121" spans="1:11" ht="14.4" customHeight="1" thickBot="1" x14ac:dyDescent="0.35">
      <c r="A121" s="459" t="s">
        <v>373</v>
      </c>
      <c r="B121" s="437">
        <v>1.0000001002679999</v>
      </c>
      <c r="C121" s="437">
        <v>0</v>
      </c>
      <c r="D121" s="438">
        <v>-1.0000001002679999</v>
      </c>
      <c r="E121" s="439">
        <v>0</v>
      </c>
      <c r="F121" s="437">
        <v>2</v>
      </c>
      <c r="G121" s="438">
        <v>1.1666666666659999</v>
      </c>
      <c r="H121" s="440">
        <v>0</v>
      </c>
      <c r="I121" s="437">
        <v>0.77188999999999997</v>
      </c>
      <c r="J121" s="438">
        <v>-0.39477666666599998</v>
      </c>
      <c r="K121" s="441">
        <v>0.38594499999999998</v>
      </c>
    </row>
    <row r="122" spans="1:11" ht="14.4" customHeight="1" thickBot="1" x14ac:dyDescent="0.35">
      <c r="A122" s="458" t="s">
        <v>374</v>
      </c>
      <c r="B122" s="442">
        <v>0</v>
      </c>
      <c r="C122" s="442">
        <v>0.126</v>
      </c>
      <c r="D122" s="443">
        <v>0.126</v>
      </c>
      <c r="E122" s="444" t="s">
        <v>283</v>
      </c>
      <c r="F122" s="442">
        <v>0.12132968086</v>
      </c>
      <c r="G122" s="443">
        <v>7.0775647168E-2</v>
      </c>
      <c r="H122" s="445">
        <v>0</v>
      </c>
      <c r="I122" s="442">
        <v>0</v>
      </c>
      <c r="J122" s="443">
        <v>-7.0775647168E-2</v>
      </c>
      <c r="K122" s="450">
        <v>0</v>
      </c>
    </row>
    <row r="123" spans="1:11" ht="14.4" customHeight="1" thickBot="1" x14ac:dyDescent="0.35">
      <c r="A123" s="459" t="s">
        <v>375</v>
      </c>
      <c r="B123" s="437">
        <v>0</v>
      </c>
      <c r="C123" s="437">
        <v>0.126</v>
      </c>
      <c r="D123" s="438">
        <v>0.126</v>
      </c>
      <c r="E123" s="447" t="s">
        <v>283</v>
      </c>
      <c r="F123" s="437">
        <v>0.12132968086</v>
      </c>
      <c r="G123" s="438">
        <v>7.0775647168E-2</v>
      </c>
      <c r="H123" s="440">
        <v>0</v>
      </c>
      <c r="I123" s="437">
        <v>0</v>
      </c>
      <c r="J123" s="438">
        <v>-7.0775647168E-2</v>
      </c>
      <c r="K123" s="441">
        <v>0</v>
      </c>
    </row>
    <row r="124" spans="1:11" ht="14.4" customHeight="1" thickBot="1" x14ac:dyDescent="0.35">
      <c r="A124" s="458" t="s">
        <v>376</v>
      </c>
      <c r="B124" s="442">
        <v>2402.0002408453101</v>
      </c>
      <c r="C124" s="442">
        <v>2158.1463199999998</v>
      </c>
      <c r="D124" s="443">
        <v>-243.853920845315</v>
      </c>
      <c r="E124" s="449">
        <v>0.89847881082600001</v>
      </c>
      <c r="F124" s="442">
        <v>2579.1662002303001</v>
      </c>
      <c r="G124" s="443">
        <v>1504.5136168010099</v>
      </c>
      <c r="H124" s="445">
        <v>168.20007000000001</v>
      </c>
      <c r="I124" s="442">
        <v>1612.0225800000001</v>
      </c>
      <c r="J124" s="443">
        <v>107.50896319899201</v>
      </c>
      <c r="K124" s="450">
        <v>0.62501694534300001</v>
      </c>
    </row>
    <row r="125" spans="1:11" ht="14.4" customHeight="1" thickBot="1" x14ac:dyDescent="0.35">
      <c r="A125" s="459" t="s">
        <v>377</v>
      </c>
      <c r="B125" s="437">
        <v>966.00009685952296</v>
      </c>
      <c r="C125" s="437">
        <v>776.46451999999999</v>
      </c>
      <c r="D125" s="438">
        <v>-189.53557685952299</v>
      </c>
      <c r="E125" s="439">
        <v>0.80379341836899998</v>
      </c>
      <c r="F125" s="437">
        <v>1019.1662002303</v>
      </c>
      <c r="G125" s="438">
        <v>594.51361680100695</v>
      </c>
      <c r="H125" s="440">
        <v>54.2151</v>
      </c>
      <c r="I125" s="437">
        <v>580.17220999999995</v>
      </c>
      <c r="J125" s="438">
        <v>-14.341406801007</v>
      </c>
      <c r="K125" s="441">
        <v>0.56926162765999999</v>
      </c>
    </row>
    <row r="126" spans="1:11" ht="14.4" customHeight="1" thickBot="1" x14ac:dyDescent="0.35">
      <c r="A126" s="459" t="s">
        <v>378</v>
      </c>
      <c r="B126" s="437">
        <v>1436.0001439857899</v>
      </c>
      <c r="C126" s="437">
        <v>1381.6818000000001</v>
      </c>
      <c r="D126" s="438">
        <v>-54.318343985791003</v>
      </c>
      <c r="E126" s="439">
        <v>0.96217385895499996</v>
      </c>
      <c r="F126" s="437">
        <v>1560</v>
      </c>
      <c r="G126" s="438">
        <v>910</v>
      </c>
      <c r="H126" s="440">
        <v>113.98497</v>
      </c>
      <c r="I126" s="437">
        <v>1031.8503700000001</v>
      </c>
      <c r="J126" s="438">
        <v>121.85037</v>
      </c>
      <c r="K126" s="441">
        <v>0.66144254487099996</v>
      </c>
    </row>
    <row r="127" spans="1:11" ht="14.4" customHeight="1" thickBot="1" x14ac:dyDescent="0.35">
      <c r="A127" s="458" t="s">
        <v>379</v>
      </c>
      <c r="B127" s="442">
        <v>0</v>
      </c>
      <c r="C127" s="442">
        <v>133.941</v>
      </c>
      <c r="D127" s="443">
        <v>133.941</v>
      </c>
      <c r="E127" s="444" t="s">
        <v>260</v>
      </c>
      <c r="F127" s="442">
        <v>0</v>
      </c>
      <c r="G127" s="443">
        <v>0</v>
      </c>
      <c r="H127" s="445">
        <v>0</v>
      </c>
      <c r="I127" s="442">
        <v>55.423299999999998</v>
      </c>
      <c r="J127" s="443">
        <v>55.423299999999998</v>
      </c>
      <c r="K127" s="446" t="s">
        <v>260</v>
      </c>
    </row>
    <row r="128" spans="1:11" ht="14.4" customHeight="1" thickBot="1" x14ac:dyDescent="0.35">
      <c r="A128" s="459" t="s">
        <v>380</v>
      </c>
      <c r="B128" s="437">
        <v>0</v>
      </c>
      <c r="C128" s="437">
        <v>14.798069999999999</v>
      </c>
      <c r="D128" s="438">
        <v>14.798069999999999</v>
      </c>
      <c r="E128" s="447" t="s">
        <v>260</v>
      </c>
      <c r="F128" s="437">
        <v>0</v>
      </c>
      <c r="G128" s="438">
        <v>0</v>
      </c>
      <c r="H128" s="440">
        <v>0</v>
      </c>
      <c r="I128" s="437">
        <v>41.305050000000001</v>
      </c>
      <c r="J128" s="438">
        <v>41.305050000000001</v>
      </c>
      <c r="K128" s="448" t="s">
        <v>260</v>
      </c>
    </row>
    <row r="129" spans="1:11" ht="14.4" customHeight="1" thickBot="1" x14ac:dyDescent="0.35">
      <c r="A129" s="459" t="s">
        <v>381</v>
      </c>
      <c r="B129" s="437">
        <v>0</v>
      </c>
      <c r="C129" s="437">
        <v>119.14293000000001</v>
      </c>
      <c r="D129" s="438">
        <v>119.14293000000001</v>
      </c>
      <c r="E129" s="447" t="s">
        <v>260</v>
      </c>
      <c r="F129" s="437">
        <v>0</v>
      </c>
      <c r="G129" s="438">
        <v>0</v>
      </c>
      <c r="H129" s="440">
        <v>0</v>
      </c>
      <c r="I129" s="437">
        <v>14.11825</v>
      </c>
      <c r="J129" s="438">
        <v>14.11825</v>
      </c>
      <c r="K129" s="448" t="s">
        <v>260</v>
      </c>
    </row>
    <row r="130" spans="1:11" ht="14.4" customHeight="1" thickBot="1" x14ac:dyDescent="0.35">
      <c r="A130" s="456" t="s">
        <v>382</v>
      </c>
      <c r="B130" s="437">
        <v>90.504079798424002</v>
      </c>
      <c r="C130" s="437">
        <v>55.456740000000003</v>
      </c>
      <c r="D130" s="438">
        <v>-35.047339798423998</v>
      </c>
      <c r="E130" s="439">
        <v>0.61275403411100005</v>
      </c>
      <c r="F130" s="437">
        <v>53.901920916045</v>
      </c>
      <c r="G130" s="438">
        <v>31.442787201026</v>
      </c>
      <c r="H130" s="440">
        <v>3.1760600000000001</v>
      </c>
      <c r="I130" s="437">
        <v>9.2553699999999992</v>
      </c>
      <c r="J130" s="438">
        <v>-22.187417201026001</v>
      </c>
      <c r="K130" s="441">
        <v>0.171707609723</v>
      </c>
    </row>
    <row r="131" spans="1:11" ht="14.4" customHeight="1" thickBot="1" x14ac:dyDescent="0.35">
      <c r="A131" s="462" t="s">
        <v>383</v>
      </c>
      <c r="B131" s="442">
        <v>90.504079798424002</v>
      </c>
      <c r="C131" s="442">
        <v>55.456740000000003</v>
      </c>
      <c r="D131" s="443">
        <v>-35.047339798423998</v>
      </c>
      <c r="E131" s="449">
        <v>0.61275403411100005</v>
      </c>
      <c r="F131" s="442">
        <v>53.901920916045</v>
      </c>
      <c r="G131" s="443">
        <v>31.442787201026</v>
      </c>
      <c r="H131" s="445">
        <v>3.1760600000000001</v>
      </c>
      <c r="I131" s="442">
        <v>9.2553699999999992</v>
      </c>
      <c r="J131" s="443">
        <v>-22.187417201026001</v>
      </c>
      <c r="K131" s="450">
        <v>0.171707609723</v>
      </c>
    </row>
    <row r="132" spans="1:11" ht="14.4" customHeight="1" thickBot="1" x14ac:dyDescent="0.35">
      <c r="A132" s="458" t="s">
        <v>384</v>
      </c>
      <c r="B132" s="442">
        <v>0</v>
      </c>
      <c r="C132" s="442">
        <v>0</v>
      </c>
      <c r="D132" s="443">
        <v>0</v>
      </c>
      <c r="E132" s="449">
        <v>1</v>
      </c>
      <c r="F132" s="442">
        <v>0</v>
      </c>
      <c r="G132" s="443">
        <v>0</v>
      </c>
      <c r="H132" s="445">
        <v>0</v>
      </c>
      <c r="I132" s="442">
        <v>1.5835999999999999</v>
      </c>
      <c r="J132" s="443">
        <v>1.5835999999999999</v>
      </c>
      <c r="K132" s="446" t="s">
        <v>283</v>
      </c>
    </row>
    <row r="133" spans="1:11" ht="14.4" customHeight="1" thickBot="1" x14ac:dyDescent="0.35">
      <c r="A133" s="459" t="s">
        <v>385</v>
      </c>
      <c r="B133" s="437">
        <v>0</v>
      </c>
      <c r="C133" s="437">
        <v>0</v>
      </c>
      <c r="D133" s="438">
        <v>0</v>
      </c>
      <c r="E133" s="439">
        <v>1</v>
      </c>
      <c r="F133" s="437">
        <v>0</v>
      </c>
      <c r="G133" s="438">
        <v>0</v>
      </c>
      <c r="H133" s="440">
        <v>0</v>
      </c>
      <c r="I133" s="437">
        <v>1.5835999999999999</v>
      </c>
      <c r="J133" s="438">
        <v>1.5835999999999999</v>
      </c>
      <c r="K133" s="448" t="s">
        <v>283</v>
      </c>
    </row>
    <row r="134" spans="1:11" ht="14.4" customHeight="1" thickBot="1" x14ac:dyDescent="0.35">
      <c r="A134" s="458" t="s">
        <v>386</v>
      </c>
      <c r="B134" s="442">
        <v>0</v>
      </c>
      <c r="C134" s="442">
        <v>1.6619999999999999E-2</v>
      </c>
      <c r="D134" s="443">
        <v>1.6619999999999999E-2</v>
      </c>
      <c r="E134" s="444" t="s">
        <v>260</v>
      </c>
      <c r="F134" s="442">
        <v>0</v>
      </c>
      <c r="G134" s="443">
        <v>0</v>
      </c>
      <c r="H134" s="445">
        <v>-1.274E-2</v>
      </c>
      <c r="I134" s="442">
        <v>0.71684999999999999</v>
      </c>
      <c r="J134" s="443">
        <v>0.71684999999999999</v>
      </c>
      <c r="K134" s="446" t="s">
        <v>260</v>
      </c>
    </row>
    <row r="135" spans="1:11" ht="14.4" customHeight="1" thickBot="1" x14ac:dyDescent="0.35">
      <c r="A135" s="459" t="s">
        <v>387</v>
      </c>
      <c r="B135" s="437">
        <v>0</v>
      </c>
      <c r="C135" s="437">
        <v>1.6619999999999999E-2</v>
      </c>
      <c r="D135" s="438">
        <v>1.6619999999999999E-2</v>
      </c>
      <c r="E135" s="447" t="s">
        <v>260</v>
      </c>
      <c r="F135" s="437">
        <v>0</v>
      </c>
      <c r="G135" s="438">
        <v>0</v>
      </c>
      <c r="H135" s="440">
        <v>-1.274E-2</v>
      </c>
      <c r="I135" s="437">
        <v>-4.3150000000000001E-2</v>
      </c>
      <c r="J135" s="438">
        <v>-4.3150000000000001E-2</v>
      </c>
      <c r="K135" s="448" t="s">
        <v>260</v>
      </c>
    </row>
    <row r="136" spans="1:11" ht="14.4" customHeight="1" thickBot="1" x14ac:dyDescent="0.35">
      <c r="A136" s="459" t="s">
        <v>388</v>
      </c>
      <c r="B136" s="437">
        <v>0</v>
      </c>
      <c r="C136" s="437">
        <v>0</v>
      </c>
      <c r="D136" s="438">
        <v>0</v>
      </c>
      <c r="E136" s="439">
        <v>1</v>
      </c>
      <c r="F136" s="437">
        <v>0</v>
      </c>
      <c r="G136" s="438">
        <v>0</v>
      </c>
      <c r="H136" s="440">
        <v>0</v>
      </c>
      <c r="I136" s="437">
        <v>0.76</v>
      </c>
      <c r="J136" s="438">
        <v>0.76</v>
      </c>
      <c r="K136" s="448" t="s">
        <v>283</v>
      </c>
    </row>
    <row r="137" spans="1:11" ht="14.4" customHeight="1" thickBot="1" x14ac:dyDescent="0.35">
      <c r="A137" s="458" t="s">
        <v>389</v>
      </c>
      <c r="B137" s="442">
        <v>90.504079798424002</v>
      </c>
      <c r="C137" s="442">
        <v>55.44012</v>
      </c>
      <c r="D137" s="443">
        <v>-35.063959798424001</v>
      </c>
      <c r="E137" s="449">
        <v>0.61257039597999996</v>
      </c>
      <c r="F137" s="442">
        <v>53.901920916045</v>
      </c>
      <c r="G137" s="443">
        <v>31.442787201026</v>
      </c>
      <c r="H137" s="445">
        <v>3.1888000000000001</v>
      </c>
      <c r="I137" s="442">
        <v>6.9549200000000004</v>
      </c>
      <c r="J137" s="443">
        <v>-24.487867201025999</v>
      </c>
      <c r="K137" s="450">
        <v>0.12902916782500001</v>
      </c>
    </row>
    <row r="138" spans="1:11" ht="14.4" customHeight="1" thickBot="1" x14ac:dyDescent="0.35">
      <c r="A138" s="459" t="s">
        <v>390</v>
      </c>
      <c r="B138" s="437">
        <v>2.2848444865000001E-2</v>
      </c>
      <c r="C138" s="437">
        <v>0</v>
      </c>
      <c r="D138" s="438">
        <v>-2.2848444865000001E-2</v>
      </c>
      <c r="E138" s="439">
        <v>0</v>
      </c>
      <c r="F138" s="437">
        <v>0</v>
      </c>
      <c r="G138" s="438">
        <v>0</v>
      </c>
      <c r="H138" s="440">
        <v>0</v>
      </c>
      <c r="I138" s="437">
        <v>0</v>
      </c>
      <c r="J138" s="438">
        <v>0</v>
      </c>
      <c r="K138" s="441">
        <v>7</v>
      </c>
    </row>
    <row r="139" spans="1:11" ht="14.4" customHeight="1" thickBot="1" x14ac:dyDescent="0.35">
      <c r="A139" s="459" t="s">
        <v>391</v>
      </c>
      <c r="B139" s="437">
        <v>60.390770925901002</v>
      </c>
      <c r="C139" s="437">
        <v>31.6</v>
      </c>
      <c r="D139" s="438">
        <v>-28.790770925901001</v>
      </c>
      <c r="E139" s="439">
        <v>0.52325876148799999</v>
      </c>
      <c r="F139" s="437">
        <v>31.284264344212001</v>
      </c>
      <c r="G139" s="438">
        <v>18.249154200789999</v>
      </c>
      <c r="H139" s="440">
        <v>0</v>
      </c>
      <c r="I139" s="437">
        <v>0</v>
      </c>
      <c r="J139" s="438">
        <v>-18.249154200789999</v>
      </c>
      <c r="K139" s="441">
        <v>0</v>
      </c>
    </row>
    <row r="140" spans="1:11" ht="14.4" customHeight="1" thickBot="1" x14ac:dyDescent="0.35">
      <c r="A140" s="459" t="s">
        <v>392</v>
      </c>
      <c r="B140" s="437">
        <v>6.3686558441359997</v>
      </c>
      <c r="C140" s="437">
        <v>2.8151999999999999</v>
      </c>
      <c r="D140" s="438">
        <v>-3.5534558441359998</v>
      </c>
      <c r="E140" s="439">
        <v>0.44203990118100001</v>
      </c>
      <c r="F140" s="437">
        <v>3.2311861340879999</v>
      </c>
      <c r="G140" s="438">
        <v>1.8848585782180001</v>
      </c>
      <c r="H140" s="440">
        <v>0.94079999999999997</v>
      </c>
      <c r="I140" s="437">
        <v>1.8804000000000001</v>
      </c>
      <c r="J140" s="438">
        <v>-4.4585782180000004E-3</v>
      </c>
      <c r="K140" s="441">
        <v>0.58195347527700003</v>
      </c>
    </row>
    <row r="141" spans="1:11" ht="14.4" customHeight="1" thickBot="1" x14ac:dyDescent="0.35">
      <c r="A141" s="459" t="s">
        <v>393</v>
      </c>
      <c r="B141" s="437">
        <v>23.721804583522001</v>
      </c>
      <c r="C141" s="437">
        <v>21.024920000000002</v>
      </c>
      <c r="D141" s="438">
        <v>-2.6968845835209998</v>
      </c>
      <c r="E141" s="439">
        <v>0.88631199729999999</v>
      </c>
      <c r="F141" s="437">
        <v>19.386470437743</v>
      </c>
      <c r="G141" s="438">
        <v>11.308774422017001</v>
      </c>
      <c r="H141" s="440">
        <v>2.2480000000000002</v>
      </c>
      <c r="I141" s="437">
        <v>5.0745199999999997</v>
      </c>
      <c r="J141" s="438">
        <v>-6.234254422017</v>
      </c>
      <c r="K141" s="441">
        <v>0.261755744362</v>
      </c>
    </row>
    <row r="142" spans="1:11" ht="14.4" customHeight="1" thickBot="1" x14ac:dyDescent="0.35">
      <c r="A142" s="455" t="s">
        <v>394</v>
      </c>
      <c r="B142" s="437">
        <v>1430.14749503029</v>
      </c>
      <c r="C142" s="437">
        <v>1370.25926</v>
      </c>
      <c r="D142" s="438">
        <v>-59.888235030292002</v>
      </c>
      <c r="E142" s="439">
        <v>0.95812443454999996</v>
      </c>
      <c r="F142" s="437">
        <v>1361.30236122152</v>
      </c>
      <c r="G142" s="438">
        <v>794.09304404588897</v>
      </c>
      <c r="H142" s="440">
        <v>128.23851999999999</v>
      </c>
      <c r="I142" s="437">
        <v>803.87438999999995</v>
      </c>
      <c r="J142" s="438">
        <v>9.7813459541109999</v>
      </c>
      <c r="K142" s="441">
        <v>0.59051861871300004</v>
      </c>
    </row>
    <row r="143" spans="1:11" ht="14.4" customHeight="1" thickBot="1" x14ac:dyDescent="0.35">
      <c r="A143" s="460" t="s">
        <v>395</v>
      </c>
      <c r="B143" s="442">
        <v>1430.14749503029</v>
      </c>
      <c r="C143" s="442">
        <v>1370.25926</v>
      </c>
      <c r="D143" s="443">
        <v>-59.888235030292002</v>
      </c>
      <c r="E143" s="449">
        <v>0.95812443454999996</v>
      </c>
      <c r="F143" s="442">
        <v>1361.30236122152</v>
      </c>
      <c r="G143" s="443">
        <v>794.09304404588897</v>
      </c>
      <c r="H143" s="445">
        <v>128.23851999999999</v>
      </c>
      <c r="I143" s="442">
        <v>803.87438999999995</v>
      </c>
      <c r="J143" s="443">
        <v>9.7813459541109999</v>
      </c>
      <c r="K143" s="450">
        <v>0.59051861871300004</v>
      </c>
    </row>
    <row r="144" spans="1:11" ht="14.4" customHeight="1" thickBot="1" x14ac:dyDescent="0.35">
      <c r="A144" s="462" t="s">
        <v>54</v>
      </c>
      <c r="B144" s="442">
        <v>1430.14749503029</v>
      </c>
      <c r="C144" s="442">
        <v>1370.25926</v>
      </c>
      <c r="D144" s="443">
        <v>-59.888235030292002</v>
      </c>
      <c r="E144" s="449">
        <v>0.95812443454999996</v>
      </c>
      <c r="F144" s="442">
        <v>1361.30236122152</v>
      </c>
      <c r="G144" s="443">
        <v>794.09304404588897</v>
      </c>
      <c r="H144" s="445">
        <v>128.23851999999999</v>
      </c>
      <c r="I144" s="442">
        <v>803.87438999999995</v>
      </c>
      <c r="J144" s="443">
        <v>9.7813459541109999</v>
      </c>
      <c r="K144" s="450">
        <v>0.59051861871300004</v>
      </c>
    </row>
    <row r="145" spans="1:11" ht="14.4" customHeight="1" thickBot="1" x14ac:dyDescent="0.35">
      <c r="A145" s="461" t="s">
        <v>396</v>
      </c>
      <c r="B145" s="437">
        <v>0</v>
      </c>
      <c r="C145" s="437">
        <v>0</v>
      </c>
      <c r="D145" s="438">
        <v>0</v>
      </c>
      <c r="E145" s="439">
        <v>1</v>
      </c>
      <c r="F145" s="437">
        <v>23.258105950120001</v>
      </c>
      <c r="G145" s="438">
        <v>13.567228470903</v>
      </c>
      <c r="H145" s="440">
        <v>0.60309999999999997</v>
      </c>
      <c r="I145" s="437">
        <v>10.27515</v>
      </c>
      <c r="J145" s="438">
        <v>-3.2920784709030002</v>
      </c>
      <c r="K145" s="441">
        <v>0.44178790921400002</v>
      </c>
    </row>
    <row r="146" spans="1:11" ht="14.4" customHeight="1" thickBot="1" x14ac:dyDescent="0.35">
      <c r="A146" s="459" t="s">
        <v>397</v>
      </c>
      <c r="B146" s="437">
        <v>0</v>
      </c>
      <c r="C146" s="437">
        <v>0</v>
      </c>
      <c r="D146" s="438">
        <v>0</v>
      </c>
      <c r="E146" s="439">
        <v>1</v>
      </c>
      <c r="F146" s="437">
        <v>23.258105950120001</v>
      </c>
      <c r="G146" s="438">
        <v>13.567228470903</v>
      </c>
      <c r="H146" s="440">
        <v>0.60309999999999997</v>
      </c>
      <c r="I146" s="437">
        <v>10.27515</v>
      </c>
      <c r="J146" s="438">
        <v>-3.2920784709030002</v>
      </c>
      <c r="K146" s="441">
        <v>0.44178790921400002</v>
      </c>
    </row>
    <row r="147" spans="1:11" ht="14.4" customHeight="1" thickBot="1" x14ac:dyDescent="0.35">
      <c r="A147" s="458" t="s">
        <v>398</v>
      </c>
      <c r="B147" s="442">
        <v>35.239978730164999</v>
      </c>
      <c r="C147" s="442">
        <v>32.417000000000002</v>
      </c>
      <c r="D147" s="443">
        <v>-2.822978730165</v>
      </c>
      <c r="E147" s="449">
        <v>0.91989272321100002</v>
      </c>
      <c r="F147" s="442">
        <v>35.018120059383001</v>
      </c>
      <c r="G147" s="443">
        <v>20.427236701306999</v>
      </c>
      <c r="H147" s="445">
        <v>2.82</v>
      </c>
      <c r="I147" s="442">
        <v>19.128</v>
      </c>
      <c r="J147" s="443">
        <v>-1.2992367013070001</v>
      </c>
      <c r="K147" s="450">
        <v>0.54623149293999995</v>
      </c>
    </row>
    <row r="148" spans="1:11" ht="14.4" customHeight="1" thickBot="1" x14ac:dyDescent="0.35">
      <c r="A148" s="459" t="s">
        <v>399</v>
      </c>
      <c r="B148" s="437">
        <v>35.239978730164999</v>
      </c>
      <c r="C148" s="437">
        <v>32.417000000000002</v>
      </c>
      <c r="D148" s="438">
        <v>-2.822978730165</v>
      </c>
      <c r="E148" s="439">
        <v>0.91989272321100002</v>
      </c>
      <c r="F148" s="437">
        <v>35.018120059383001</v>
      </c>
      <c r="G148" s="438">
        <v>20.427236701306999</v>
      </c>
      <c r="H148" s="440">
        <v>2.82</v>
      </c>
      <c r="I148" s="437">
        <v>19.128</v>
      </c>
      <c r="J148" s="438">
        <v>-1.2992367013070001</v>
      </c>
      <c r="K148" s="441">
        <v>0.54623149293999995</v>
      </c>
    </row>
    <row r="149" spans="1:11" ht="14.4" customHeight="1" thickBot="1" x14ac:dyDescent="0.35">
      <c r="A149" s="458" t="s">
        <v>400</v>
      </c>
      <c r="B149" s="442">
        <v>11.721061611905</v>
      </c>
      <c r="C149" s="442">
        <v>10.515499999999999</v>
      </c>
      <c r="D149" s="443">
        <v>-1.2055616119050001</v>
      </c>
      <c r="E149" s="449">
        <v>0.89714569790400001</v>
      </c>
      <c r="F149" s="442">
        <v>11.330195385841</v>
      </c>
      <c r="G149" s="443">
        <v>6.6092806417399999</v>
      </c>
      <c r="H149" s="445">
        <v>0.8085</v>
      </c>
      <c r="I149" s="442">
        <v>11.2455</v>
      </c>
      <c r="J149" s="443">
        <v>4.6362193582589999</v>
      </c>
      <c r="K149" s="450">
        <v>0.99252480800499998</v>
      </c>
    </row>
    <row r="150" spans="1:11" ht="14.4" customHeight="1" thickBot="1" x14ac:dyDescent="0.35">
      <c r="A150" s="459" t="s">
        <v>401</v>
      </c>
      <c r="B150" s="437">
        <v>0.95173613292699999</v>
      </c>
      <c r="C150" s="437">
        <v>0.74</v>
      </c>
      <c r="D150" s="438">
        <v>-0.211736132927</v>
      </c>
      <c r="E150" s="439">
        <v>0.77752643237700003</v>
      </c>
      <c r="F150" s="437">
        <v>0.86427441196999999</v>
      </c>
      <c r="G150" s="438">
        <v>0.50416007364899995</v>
      </c>
      <c r="H150" s="440">
        <v>0</v>
      </c>
      <c r="I150" s="437">
        <v>0</v>
      </c>
      <c r="J150" s="438">
        <v>-0.50416007364899995</v>
      </c>
      <c r="K150" s="441">
        <v>0</v>
      </c>
    </row>
    <row r="151" spans="1:11" ht="14.4" customHeight="1" thickBot="1" x14ac:dyDescent="0.35">
      <c r="A151" s="459" t="s">
        <v>402</v>
      </c>
      <c r="B151" s="437">
        <v>10.769325478977001</v>
      </c>
      <c r="C151" s="437">
        <v>9.7754999999999992</v>
      </c>
      <c r="D151" s="438">
        <v>-0.99382547897700002</v>
      </c>
      <c r="E151" s="439">
        <v>0.90771701710399999</v>
      </c>
      <c r="F151" s="437">
        <v>10.465920973871</v>
      </c>
      <c r="G151" s="438">
        <v>6.1051205680910003</v>
      </c>
      <c r="H151" s="440">
        <v>0.8085</v>
      </c>
      <c r="I151" s="437">
        <v>11.2455</v>
      </c>
      <c r="J151" s="438">
        <v>5.1403794319080003</v>
      </c>
      <c r="K151" s="441">
        <v>1.0744873793780001</v>
      </c>
    </row>
    <row r="152" spans="1:11" ht="14.4" customHeight="1" thickBot="1" x14ac:dyDescent="0.35">
      <c r="A152" s="458" t="s">
        <v>403</v>
      </c>
      <c r="B152" s="442">
        <v>28.055568512634</v>
      </c>
      <c r="C152" s="442">
        <v>29.81325</v>
      </c>
      <c r="D152" s="443">
        <v>1.757681487365</v>
      </c>
      <c r="E152" s="449">
        <v>1.062650004278</v>
      </c>
      <c r="F152" s="442">
        <v>29.172955636975999</v>
      </c>
      <c r="G152" s="443">
        <v>17.017557454902999</v>
      </c>
      <c r="H152" s="445">
        <v>1.6215999999999999</v>
      </c>
      <c r="I152" s="442">
        <v>16.891010000000001</v>
      </c>
      <c r="J152" s="443">
        <v>-0.12654745490300001</v>
      </c>
      <c r="K152" s="450">
        <v>0.57899549878199996</v>
      </c>
    </row>
    <row r="153" spans="1:11" ht="14.4" customHeight="1" thickBot="1" x14ac:dyDescent="0.35">
      <c r="A153" s="459" t="s">
        <v>404</v>
      </c>
      <c r="B153" s="437">
        <v>28.055568512634</v>
      </c>
      <c r="C153" s="437">
        <v>29.81325</v>
      </c>
      <c r="D153" s="438">
        <v>1.757681487365</v>
      </c>
      <c r="E153" s="439">
        <v>1.062650004278</v>
      </c>
      <c r="F153" s="437">
        <v>29.172955636975999</v>
      </c>
      <c r="G153" s="438">
        <v>17.017557454902999</v>
      </c>
      <c r="H153" s="440">
        <v>1.6215999999999999</v>
      </c>
      <c r="I153" s="437">
        <v>16.891010000000001</v>
      </c>
      <c r="J153" s="438">
        <v>-0.12654745490300001</v>
      </c>
      <c r="K153" s="441">
        <v>0.57899549878199996</v>
      </c>
    </row>
    <row r="154" spans="1:11" ht="14.4" customHeight="1" thickBot="1" x14ac:dyDescent="0.35">
      <c r="A154" s="458" t="s">
        <v>405</v>
      </c>
      <c r="B154" s="442">
        <v>0</v>
      </c>
      <c r="C154" s="442">
        <v>0.59199999999999997</v>
      </c>
      <c r="D154" s="443">
        <v>0.59199999999999997</v>
      </c>
      <c r="E154" s="444" t="s">
        <v>283</v>
      </c>
      <c r="F154" s="442">
        <v>0</v>
      </c>
      <c r="G154" s="443">
        <v>0</v>
      </c>
      <c r="H154" s="445">
        <v>0.13400000000000001</v>
      </c>
      <c r="I154" s="442">
        <v>0.496</v>
      </c>
      <c r="J154" s="443">
        <v>0.496</v>
      </c>
      <c r="K154" s="446" t="s">
        <v>283</v>
      </c>
    </row>
    <row r="155" spans="1:11" ht="14.4" customHeight="1" thickBot="1" x14ac:dyDescent="0.35">
      <c r="A155" s="459" t="s">
        <v>406</v>
      </c>
      <c r="B155" s="437">
        <v>0</v>
      </c>
      <c r="C155" s="437">
        <v>0.59199999999999997</v>
      </c>
      <c r="D155" s="438">
        <v>0.59199999999999997</v>
      </c>
      <c r="E155" s="447" t="s">
        <v>283</v>
      </c>
      <c r="F155" s="437">
        <v>0</v>
      </c>
      <c r="G155" s="438">
        <v>0</v>
      </c>
      <c r="H155" s="440">
        <v>0.13400000000000001</v>
      </c>
      <c r="I155" s="437">
        <v>0.496</v>
      </c>
      <c r="J155" s="438">
        <v>0.496</v>
      </c>
      <c r="K155" s="448" t="s">
        <v>283</v>
      </c>
    </row>
    <row r="156" spans="1:11" ht="14.4" customHeight="1" thickBot="1" x14ac:dyDescent="0.35">
      <c r="A156" s="458" t="s">
        <v>407</v>
      </c>
      <c r="B156" s="442">
        <v>512.28718251138901</v>
      </c>
      <c r="C156" s="442">
        <v>490.15016000000003</v>
      </c>
      <c r="D156" s="443">
        <v>-22.137022511388</v>
      </c>
      <c r="E156" s="449">
        <v>0.95678786573700003</v>
      </c>
      <c r="F156" s="442">
        <v>519.95356530312699</v>
      </c>
      <c r="G156" s="443">
        <v>303.30624642682398</v>
      </c>
      <c r="H156" s="445">
        <v>34.529820000000001</v>
      </c>
      <c r="I156" s="442">
        <v>243.96449999999999</v>
      </c>
      <c r="J156" s="443">
        <v>-59.341746426824002</v>
      </c>
      <c r="K156" s="450">
        <v>0.46920439877600001</v>
      </c>
    </row>
    <row r="157" spans="1:11" ht="14.4" customHeight="1" thickBot="1" x14ac:dyDescent="0.35">
      <c r="A157" s="459" t="s">
        <v>408</v>
      </c>
      <c r="B157" s="437">
        <v>512.28718251138901</v>
      </c>
      <c r="C157" s="437">
        <v>490.15016000000003</v>
      </c>
      <c r="D157" s="438">
        <v>-22.137022511388</v>
      </c>
      <c r="E157" s="439">
        <v>0.95678786573700003</v>
      </c>
      <c r="F157" s="437">
        <v>519.95356530312699</v>
      </c>
      <c r="G157" s="438">
        <v>303.30624642682398</v>
      </c>
      <c r="H157" s="440">
        <v>34.529820000000001</v>
      </c>
      <c r="I157" s="437">
        <v>243.96449999999999</v>
      </c>
      <c r="J157" s="438">
        <v>-59.341746426824002</v>
      </c>
      <c r="K157" s="441">
        <v>0.46920439877600001</v>
      </c>
    </row>
    <row r="158" spans="1:11" ht="14.4" customHeight="1" thickBot="1" x14ac:dyDescent="0.35">
      <c r="A158" s="458" t="s">
        <v>409</v>
      </c>
      <c r="B158" s="442">
        <v>0</v>
      </c>
      <c r="C158" s="442">
        <v>0</v>
      </c>
      <c r="D158" s="443">
        <v>0</v>
      </c>
      <c r="E158" s="449">
        <v>1</v>
      </c>
      <c r="F158" s="442">
        <v>0</v>
      </c>
      <c r="G158" s="443">
        <v>0</v>
      </c>
      <c r="H158" s="445">
        <v>0</v>
      </c>
      <c r="I158" s="442">
        <v>0.11456</v>
      </c>
      <c r="J158" s="443">
        <v>0.11456</v>
      </c>
      <c r="K158" s="446" t="s">
        <v>283</v>
      </c>
    </row>
    <row r="159" spans="1:11" ht="14.4" customHeight="1" thickBot="1" x14ac:dyDescent="0.35">
      <c r="A159" s="459" t="s">
        <v>410</v>
      </c>
      <c r="B159" s="437">
        <v>0</v>
      </c>
      <c r="C159" s="437">
        <v>0</v>
      </c>
      <c r="D159" s="438">
        <v>0</v>
      </c>
      <c r="E159" s="439">
        <v>1</v>
      </c>
      <c r="F159" s="437">
        <v>0</v>
      </c>
      <c r="G159" s="438">
        <v>0</v>
      </c>
      <c r="H159" s="440">
        <v>0</v>
      </c>
      <c r="I159" s="437">
        <v>0.11456</v>
      </c>
      <c r="J159" s="438">
        <v>0.11456</v>
      </c>
      <c r="K159" s="448" t="s">
        <v>283</v>
      </c>
    </row>
    <row r="160" spans="1:11" ht="14.4" customHeight="1" thickBot="1" x14ac:dyDescent="0.35">
      <c r="A160" s="458" t="s">
        <v>411</v>
      </c>
      <c r="B160" s="442">
        <v>842.84370366419796</v>
      </c>
      <c r="C160" s="442">
        <v>806.77134999999998</v>
      </c>
      <c r="D160" s="443">
        <v>-36.072353664197998</v>
      </c>
      <c r="E160" s="449">
        <v>0.95720160985000002</v>
      </c>
      <c r="F160" s="442">
        <v>742.569418886074</v>
      </c>
      <c r="G160" s="443">
        <v>433.16549435021</v>
      </c>
      <c r="H160" s="445">
        <v>87.721500000000006</v>
      </c>
      <c r="I160" s="442">
        <v>501.75967000000003</v>
      </c>
      <c r="J160" s="443">
        <v>68.594175649790003</v>
      </c>
      <c r="K160" s="450">
        <v>0.67570742510799997</v>
      </c>
    </row>
    <row r="161" spans="1:11" ht="14.4" customHeight="1" thickBot="1" x14ac:dyDescent="0.35">
      <c r="A161" s="459" t="s">
        <v>412</v>
      </c>
      <c r="B161" s="437">
        <v>842.84370366419796</v>
      </c>
      <c r="C161" s="437">
        <v>806.77134999999998</v>
      </c>
      <c r="D161" s="438">
        <v>-36.072353664197998</v>
      </c>
      <c r="E161" s="439">
        <v>0.95720160985000002</v>
      </c>
      <c r="F161" s="437">
        <v>742.569418886074</v>
      </c>
      <c r="G161" s="438">
        <v>433.16549435021</v>
      </c>
      <c r="H161" s="440">
        <v>87.721500000000006</v>
      </c>
      <c r="I161" s="437">
        <v>501.75967000000003</v>
      </c>
      <c r="J161" s="438">
        <v>68.594175649790003</v>
      </c>
      <c r="K161" s="441">
        <v>0.67570742510799997</v>
      </c>
    </row>
    <row r="162" spans="1:11" ht="14.4" customHeight="1" thickBot="1" x14ac:dyDescent="0.35">
      <c r="A162" s="455" t="s">
        <v>413</v>
      </c>
      <c r="B162" s="437">
        <v>0</v>
      </c>
      <c r="C162" s="437">
        <v>0.21718000000000001</v>
      </c>
      <c r="D162" s="438">
        <v>0.21718000000000001</v>
      </c>
      <c r="E162" s="447" t="s">
        <v>283</v>
      </c>
      <c r="F162" s="437">
        <v>0</v>
      </c>
      <c r="G162" s="438">
        <v>0</v>
      </c>
      <c r="H162" s="440">
        <v>0</v>
      </c>
      <c r="I162" s="437">
        <v>0.11879000000000001</v>
      </c>
      <c r="J162" s="438">
        <v>0.11879000000000001</v>
      </c>
      <c r="K162" s="448" t="s">
        <v>283</v>
      </c>
    </row>
    <row r="163" spans="1:11" ht="14.4" customHeight="1" thickBot="1" x14ac:dyDescent="0.35">
      <c r="A163" s="460" t="s">
        <v>414</v>
      </c>
      <c r="B163" s="442">
        <v>0</v>
      </c>
      <c r="C163" s="442">
        <v>0.21718000000000001</v>
      </c>
      <c r="D163" s="443">
        <v>0.21718000000000001</v>
      </c>
      <c r="E163" s="444" t="s">
        <v>283</v>
      </c>
      <c r="F163" s="442">
        <v>0</v>
      </c>
      <c r="G163" s="443">
        <v>0</v>
      </c>
      <c r="H163" s="445">
        <v>0</v>
      </c>
      <c r="I163" s="442">
        <v>0.11879000000000001</v>
      </c>
      <c r="J163" s="443">
        <v>0.11879000000000001</v>
      </c>
      <c r="K163" s="446" t="s">
        <v>283</v>
      </c>
    </row>
    <row r="164" spans="1:11" ht="14.4" customHeight="1" thickBot="1" x14ac:dyDescent="0.35">
      <c r="A164" s="462" t="s">
        <v>415</v>
      </c>
      <c r="B164" s="442">
        <v>0</v>
      </c>
      <c r="C164" s="442">
        <v>0.21718000000000001</v>
      </c>
      <c r="D164" s="443">
        <v>0.21718000000000001</v>
      </c>
      <c r="E164" s="444" t="s">
        <v>283</v>
      </c>
      <c r="F164" s="442">
        <v>0</v>
      </c>
      <c r="G164" s="443">
        <v>0</v>
      </c>
      <c r="H164" s="445">
        <v>0</v>
      </c>
      <c r="I164" s="442">
        <v>0.11879000000000001</v>
      </c>
      <c r="J164" s="443">
        <v>0.11879000000000001</v>
      </c>
      <c r="K164" s="446" t="s">
        <v>283</v>
      </c>
    </row>
    <row r="165" spans="1:11" ht="14.4" customHeight="1" thickBot="1" x14ac:dyDescent="0.35">
      <c r="A165" s="458" t="s">
        <v>416</v>
      </c>
      <c r="B165" s="442">
        <v>0</v>
      </c>
      <c r="C165" s="442">
        <v>0.21718000000000001</v>
      </c>
      <c r="D165" s="443">
        <v>0.21718000000000001</v>
      </c>
      <c r="E165" s="444" t="s">
        <v>283</v>
      </c>
      <c r="F165" s="442">
        <v>0</v>
      </c>
      <c r="G165" s="443">
        <v>0</v>
      </c>
      <c r="H165" s="445">
        <v>0</v>
      </c>
      <c r="I165" s="442">
        <v>0.11879000000000001</v>
      </c>
      <c r="J165" s="443">
        <v>0.11879000000000001</v>
      </c>
      <c r="K165" s="446" t="s">
        <v>283</v>
      </c>
    </row>
    <row r="166" spans="1:11" ht="14.4" customHeight="1" thickBot="1" x14ac:dyDescent="0.35">
      <c r="A166" s="459" t="s">
        <v>417</v>
      </c>
      <c r="B166" s="437">
        <v>0</v>
      </c>
      <c r="C166" s="437">
        <v>0.21718000000000001</v>
      </c>
      <c r="D166" s="438">
        <v>0.21718000000000001</v>
      </c>
      <c r="E166" s="447" t="s">
        <v>283</v>
      </c>
      <c r="F166" s="437">
        <v>0</v>
      </c>
      <c r="G166" s="438">
        <v>0</v>
      </c>
      <c r="H166" s="440">
        <v>0</v>
      </c>
      <c r="I166" s="437">
        <v>0.11879000000000001</v>
      </c>
      <c r="J166" s="438">
        <v>0.11879000000000001</v>
      </c>
      <c r="K166" s="448" t="s">
        <v>283</v>
      </c>
    </row>
    <row r="167" spans="1:11" ht="14.4" customHeight="1" thickBot="1" x14ac:dyDescent="0.35">
      <c r="A167" s="463"/>
      <c r="B167" s="437">
        <v>-4547.4292235313496</v>
      </c>
      <c r="C167" s="437">
        <v>-4493.1025400000099</v>
      </c>
      <c r="D167" s="438">
        <v>54.326683531344997</v>
      </c>
      <c r="E167" s="439">
        <v>0.988053319609</v>
      </c>
      <c r="F167" s="437">
        <v>-4458.9259900100596</v>
      </c>
      <c r="G167" s="438">
        <v>-2601.0401608391999</v>
      </c>
      <c r="H167" s="440">
        <v>-692.13535000000002</v>
      </c>
      <c r="I167" s="437">
        <v>-2511.19013</v>
      </c>
      <c r="J167" s="438">
        <v>89.850030839197998</v>
      </c>
      <c r="K167" s="441">
        <v>0.56318273405399999</v>
      </c>
    </row>
    <row r="168" spans="1:11" ht="14.4" customHeight="1" thickBot="1" x14ac:dyDescent="0.35">
      <c r="A168" s="464" t="s">
        <v>66</v>
      </c>
      <c r="B168" s="451">
        <v>-4547.4292235313496</v>
      </c>
      <c r="C168" s="451">
        <v>-4493.1025400000099</v>
      </c>
      <c r="D168" s="452">
        <v>54.326683531345999</v>
      </c>
      <c r="E168" s="453" t="s">
        <v>283</v>
      </c>
      <c r="F168" s="451">
        <v>-4458.9259900100596</v>
      </c>
      <c r="G168" s="452">
        <v>-2601.0401608391999</v>
      </c>
      <c r="H168" s="451">
        <v>-692.13535000000002</v>
      </c>
      <c r="I168" s="451">
        <v>-2511.19013</v>
      </c>
      <c r="J168" s="452">
        <v>89.850030839197004</v>
      </c>
      <c r="K168" s="454">
        <v>0.56318273405399999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138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259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313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205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5" t="s">
        <v>418</v>
      </c>
      <c r="B5" s="466" t="s">
        <v>419</v>
      </c>
      <c r="C5" s="467" t="s">
        <v>420</v>
      </c>
      <c r="D5" s="467" t="s">
        <v>420</v>
      </c>
      <c r="E5" s="467"/>
      <c r="F5" s="467" t="s">
        <v>420</v>
      </c>
      <c r="G5" s="467" t="s">
        <v>420</v>
      </c>
      <c r="H5" s="467" t="s">
        <v>420</v>
      </c>
      <c r="I5" s="468" t="s">
        <v>420</v>
      </c>
      <c r="J5" s="469" t="s">
        <v>69</v>
      </c>
    </row>
    <row r="6" spans="1:10" ht="14.4" customHeight="1" x14ac:dyDescent="0.3">
      <c r="A6" s="465" t="s">
        <v>418</v>
      </c>
      <c r="B6" s="466" t="s">
        <v>421</v>
      </c>
      <c r="C6" s="467">
        <v>315.96045000000004</v>
      </c>
      <c r="D6" s="467">
        <v>325.83298000000002</v>
      </c>
      <c r="E6" s="467"/>
      <c r="F6" s="467">
        <v>343.06998999999996</v>
      </c>
      <c r="G6" s="467">
        <v>309.16667968749999</v>
      </c>
      <c r="H6" s="467">
        <v>33.903310312499968</v>
      </c>
      <c r="I6" s="468">
        <v>1.1096602982791315</v>
      </c>
      <c r="J6" s="469" t="s">
        <v>1</v>
      </c>
    </row>
    <row r="7" spans="1:10" ht="14.4" customHeight="1" x14ac:dyDescent="0.3">
      <c r="A7" s="465" t="s">
        <v>418</v>
      </c>
      <c r="B7" s="466" t="s">
        <v>422</v>
      </c>
      <c r="C7" s="467">
        <v>315.96045000000004</v>
      </c>
      <c r="D7" s="467">
        <v>325.83298000000002</v>
      </c>
      <c r="E7" s="467"/>
      <c r="F7" s="467">
        <v>343.06998999999996</v>
      </c>
      <c r="G7" s="467">
        <v>309.16667968749999</v>
      </c>
      <c r="H7" s="467">
        <v>33.903310312499968</v>
      </c>
      <c r="I7" s="468">
        <v>1.1096602982791315</v>
      </c>
      <c r="J7" s="469" t="s">
        <v>423</v>
      </c>
    </row>
    <row r="9" spans="1:10" ht="14.4" customHeight="1" x14ac:dyDescent="0.3">
      <c r="A9" s="465" t="s">
        <v>418</v>
      </c>
      <c r="B9" s="466" t="s">
        <v>419</v>
      </c>
      <c r="C9" s="467" t="s">
        <v>420</v>
      </c>
      <c r="D9" s="467" t="s">
        <v>420</v>
      </c>
      <c r="E9" s="467"/>
      <c r="F9" s="467" t="s">
        <v>420</v>
      </c>
      <c r="G9" s="467" t="s">
        <v>420</v>
      </c>
      <c r="H9" s="467" t="s">
        <v>420</v>
      </c>
      <c r="I9" s="468" t="s">
        <v>420</v>
      </c>
      <c r="J9" s="469" t="s">
        <v>69</v>
      </c>
    </row>
    <row r="10" spans="1:10" ht="14.4" customHeight="1" x14ac:dyDescent="0.3">
      <c r="A10" s="465" t="s">
        <v>424</v>
      </c>
      <c r="B10" s="466" t="s">
        <v>425</v>
      </c>
      <c r="C10" s="467" t="s">
        <v>420</v>
      </c>
      <c r="D10" s="467" t="s">
        <v>420</v>
      </c>
      <c r="E10" s="467"/>
      <c r="F10" s="467" t="s">
        <v>420</v>
      </c>
      <c r="G10" s="467" t="s">
        <v>420</v>
      </c>
      <c r="H10" s="467" t="s">
        <v>420</v>
      </c>
      <c r="I10" s="468" t="s">
        <v>420</v>
      </c>
      <c r="J10" s="469" t="s">
        <v>0</v>
      </c>
    </row>
    <row r="11" spans="1:10" ht="14.4" customHeight="1" x14ac:dyDescent="0.3">
      <c r="A11" s="465" t="s">
        <v>424</v>
      </c>
      <c r="B11" s="466" t="s">
        <v>421</v>
      </c>
      <c r="C11" s="467">
        <v>69.278459999999995</v>
      </c>
      <c r="D11" s="467">
        <v>89.554880000000011</v>
      </c>
      <c r="E11" s="467"/>
      <c r="F11" s="467">
        <v>58.567460000000011</v>
      </c>
      <c r="G11" s="467">
        <v>82</v>
      </c>
      <c r="H11" s="467">
        <v>-23.432539999999989</v>
      </c>
      <c r="I11" s="468">
        <v>0.71423731707317084</v>
      </c>
      <c r="J11" s="469" t="s">
        <v>1</v>
      </c>
    </row>
    <row r="12" spans="1:10" ht="14.4" customHeight="1" x14ac:dyDescent="0.3">
      <c r="A12" s="465" t="s">
        <v>424</v>
      </c>
      <c r="B12" s="466" t="s">
        <v>426</v>
      </c>
      <c r="C12" s="467">
        <v>69.278459999999995</v>
      </c>
      <c r="D12" s="467">
        <v>89.554880000000011</v>
      </c>
      <c r="E12" s="467"/>
      <c r="F12" s="467">
        <v>58.567460000000011</v>
      </c>
      <c r="G12" s="467">
        <v>82</v>
      </c>
      <c r="H12" s="467">
        <v>-23.432539999999989</v>
      </c>
      <c r="I12" s="468">
        <v>0.71423731707317084</v>
      </c>
      <c r="J12" s="469" t="s">
        <v>427</v>
      </c>
    </row>
    <row r="13" spans="1:10" ht="14.4" customHeight="1" x14ac:dyDescent="0.3">
      <c r="A13" s="465" t="s">
        <v>420</v>
      </c>
      <c r="B13" s="466" t="s">
        <v>420</v>
      </c>
      <c r="C13" s="467" t="s">
        <v>420</v>
      </c>
      <c r="D13" s="467" t="s">
        <v>420</v>
      </c>
      <c r="E13" s="467"/>
      <c r="F13" s="467" t="s">
        <v>420</v>
      </c>
      <c r="G13" s="467" t="s">
        <v>420</v>
      </c>
      <c r="H13" s="467" t="s">
        <v>420</v>
      </c>
      <c r="I13" s="468" t="s">
        <v>420</v>
      </c>
      <c r="J13" s="469" t="s">
        <v>428</v>
      </c>
    </row>
    <row r="14" spans="1:10" ht="14.4" customHeight="1" x14ac:dyDescent="0.3">
      <c r="A14" s="465" t="s">
        <v>429</v>
      </c>
      <c r="B14" s="466" t="s">
        <v>430</v>
      </c>
      <c r="C14" s="467" t="s">
        <v>420</v>
      </c>
      <c r="D14" s="467" t="s">
        <v>420</v>
      </c>
      <c r="E14" s="467"/>
      <c r="F14" s="467" t="s">
        <v>420</v>
      </c>
      <c r="G14" s="467" t="s">
        <v>420</v>
      </c>
      <c r="H14" s="467" t="s">
        <v>420</v>
      </c>
      <c r="I14" s="468" t="s">
        <v>420</v>
      </c>
      <c r="J14" s="469" t="s">
        <v>0</v>
      </c>
    </row>
    <row r="15" spans="1:10" ht="14.4" customHeight="1" x14ac:dyDescent="0.3">
      <c r="A15" s="465" t="s">
        <v>429</v>
      </c>
      <c r="B15" s="466" t="s">
        <v>421</v>
      </c>
      <c r="C15" s="467">
        <v>246.68199000000004</v>
      </c>
      <c r="D15" s="467">
        <v>236.27810000000002</v>
      </c>
      <c r="E15" s="467"/>
      <c r="F15" s="467">
        <v>284.50252999999998</v>
      </c>
      <c r="G15" s="467">
        <v>227</v>
      </c>
      <c r="H15" s="467">
        <v>57.502529999999979</v>
      </c>
      <c r="I15" s="468">
        <v>1.2533151101321585</v>
      </c>
      <c r="J15" s="469" t="s">
        <v>1</v>
      </c>
    </row>
    <row r="16" spans="1:10" ht="14.4" customHeight="1" x14ac:dyDescent="0.3">
      <c r="A16" s="465" t="s">
        <v>429</v>
      </c>
      <c r="B16" s="466" t="s">
        <v>431</v>
      </c>
      <c r="C16" s="467">
        <v>246.68199000000004</v>
      </c>
      <c r="D16" s="467">
        <v>236.27810000000002</v>
      </c>
      <c r="E16" s="467"/>
      <c r="F16" s="467">
        <v>284.50252999999998</v>
      </c>
      <c r="G16" s="467">
        <v>227</v>
      </c>
      <c r="H16" s="467">
        <v>57.502529999999979</v>
      </c>
      <c r="I16" s="468">
        <v>1.2533151101321585</v>
      </c>
      <c r="J16" s="469" t="s">
        <v>427</v>
      </c>
    </row>
    <row r="17" spans="1:10" ht="14.4" customHeight="1" x14ac:dyDescent="0.3">
      <c r="A17" s="465" t="s">
        <v>420</v>
      </c>
      <c r="B17" s="466" t="s">
        <v>420</v>
      </c>
      <c r="C17" s="467" t="s">
        <v>420</v>
      </c>
      <c r="D17" s="467" t="s">
        <v>420</v>
      </c>
      <c r="E17" s="467"/>
      <c r="F17" s="467" t="s">
        <v>420</v>
      </c>
      <c r="G17" s="467" t="s">
        <v>420</v>
      </c>
      <c r="H17" s="467" t="s">
        <v>420</v>
      </c>
      <c r="I17" s="468" t="s">
        <v>420</v>
      </c>
      <c r="J17" s="469" t="s">
        <v>428</v>
      </c>
    </row>
    <row r="18" spans="1:10" ht="14.4" customHeight="1" x14ac:dyDescent="0.3">
      <c r="A18" s="465" t="s">
        <v>418</v>
      </c>
      <c r="B18" s="466" t="s">
        <v>422</v>
      </c>
      <c r="C18" s="467">
        <v>315.96045000000004</v>
      </c>
      <c r="D18" s="467">
        <v>325.83298000000002</v>
      </c>
      <c r="E18" s="467"/>
      <c r="F18" s="467">
        <v>343.06998999999996</v>
      </c>
      <c r="G18" s="467">
        <v>309</v>
      </c>
      <c r="H18" s="467">
        <v>34.069989999999962</v>
      </c>
      <c r="I18" s="468">
        <v>1.1102588673139158</v>
      </c>
      <c r="J18" s="469" t="s">
        <v>423</v>
      </c>
    </row>
  </sheetData>
  <mergeCells count="3">
    <mergeCell ref="F3:I3"/>
    <mergeCell ref="C4:D4"/>
    <mergeCell ref="A1:I1"/>
  </mergeCells>
  <conditionalFormatting sqref="F8 F19:F65537">
    <cfRule type="cellIs" dxfId="60" priority="18" stopIfTrue="1" operator="greaterThan">
      <formula>1</formula>
    </cfRule>
  </conditionalFormatting>
  <conditionalFormatting sqref="H5:H7">
    <cfRule type="expression" dxfId="59" priority="14">
      <formula>$H5&gt;0</formula>
    </cfRule>
  </conditionalFormatting>
  <conditionalFormatting sqref="I5:I7">
    <cfRule type="expression" dxfId="58" priority="15">
      <formula>$I5&gt;1</formula>
    </cfRule>
  </conditionalFormatting>
  <conditionalFormatting sqref="B5:B7">
    <cfRule type="expression" dxfId="57" priority="11">
      <formula>OR($J5="NS",$J5="SumaNS",$J5="Účet")</formula>
    </cfRule>
  </conditionalFormatting>
  <conditionalFormatting sqref="B5:D7 F5:I7">
    <cfRule type="expression" dxfId="56" priority="17">
      <formula>AND($J5&lt;&gt;"",$J5&lt;&gt;"mezeraKL")</formula>
    </cfRule>
  </conditionalFormatting>
  <conditionalFormatting sqref="B5:D7 F5:I7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54" priority="13">
      <formula>OR($J5="SumaNS",$J5="NS")</formula>
    </cfRule>
  </conditionalFormatting>
  <conditionalFormatting sqref="A5:A7">
    <cfRule type="expression" dxfId="53" priority="9">
      <formula>AND($J5&lt;&gt;"mezeraKL",$J5&lt;&gt;"")</formula>
    </cfRule>
  </conditionalFormatting>
  <conditionalFormatting sqref="A5:A7">
    <cfRule type="expression" dxfId="52" priority="10">
      <formula>AND($J5&lt;&gt;"",$J5&lt;&gt;"mezeraKL")</formula>
    </cfRule>
  </conditionalFormatting>
  <conditionalFormatting sqref="H9:H18">
    <cfRule type="expression" dxfId="51" priority="5">
      <formula>$H9&gt;0</formula>
    </cfRule>
  </conditionalFormatting>
  <conditionalFormatting sqref="A9:A18">
    <cfRule type="expression" dxfId="50" priority="2">
      <formula>AND($J9&lt;&gt;"mezeraKL",$J9&lt;&gt;"")</formula>
    </cfRule>
  </conditionalFormatting>
  <conditionalFormatting sqref="I9:I18">
    <cfRule type="expression" dxfId="49" priority="6">
      <formula>$I9&gt;1</formula>
    </cfRule>
  </conditionalFormatting>
  <conditionalFormatting sqref="B9:B18">
    <cfRule type="expression" dxfId="48" priority="1">
      <formula>OR($J9="NS",$J9="SumaNS",$J9="Účet")</formula>
    </cfRule>
  </conditionalFormatting>
  <conditionalFormatting sqref="A9:D18 F9:I18">
    <cfRule type="expression" dxfId="47" priority="8">
      <formula>AND($J9&lt;&gt;"",$J9&lt;&gt;"mezeraKL")</formula>
    </cfRule>
  </conditionalFormatting>
  <conditionalFormatting sqref="B9:D18 F9:I18">
    <cfRule type="expression" dxfId="46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4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336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80" t="s">
        <v>164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35" t="s">
        <v>259</v>
      </c>
      <c r="B2" s="62"/>
      <c r="C2" s="211"/>
      <c r="D2" s="211"/>
      <c r="E2" s="335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76"/>
      <c r="D3" s="377"/>
      <c r="E3" s="377"/>
      <c r="F3" s="377"/>
      <c r="G3" s="377"/>
      <c r="H3" s="377"/>
      <c r="I3" s="377"/>
      <c r="J3" s="378" t="s">
        <v>128</v>
      </c>
      <c r="K3" s="379"/>
      <c r="L3" s="98">
        <f>IF(M3&lt;&gt;0,N3/M3,0)</f>
        <v>387.62921358334904</v>
      </c>
      <c r="M3" s="98">
        <f>SUBTOTAL(9,M5:M1048576)</f>
        <v>885</v>
      </c>
      <c r="N3" s="99">
        <f>SUBTOTAL(9,N5:N1048576)</f>
        <v>343051.85402126389</v>
      </c>
    </row>
    <row r="4" spans="1:14" s="208" customFormat="1" ht="14.4" customHeight="1" thickBot="1" x14ac:dyDescent="0.3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143</v>
      </c>
      <c r="M4" s="474" t="s">
        <v>13</v>
      </c>
      <c r="N4" s="475" t="s">
        <v>160</v>
      </c>
    </row>
    <row r="5" spans="1:14" ht="14.4" customHeight="1" x14ac:dyDescent="0.3">
      <c r="A5" s="478" t="s">
        <v>418</v>
      </c>
      <c r="B5" s="479" t="s">
        <v>419</v>
      </c>
      <c r="C5" s="480" t="s">
        <v>424</v>
      </c>
      <c r="D5" s="481" t="s">
        <v>425</v>
      </c>
      <c r="E5" s="482">
        <v>50113001</v>
      </c>
      <c r="F5" s="481" t="s">
        <v>432</v>
      </c>
      <c r="G5" s="480" t="s">
        <v>433</v>
      </c>
      <c r="H5" s="480">
        <v>100362</v>
      </c>
      <c r="I5" s="480">
        <v>362</v>
      </c>
      <c r="J5" s="480" t="s">
        <v>434</v>
      </c>
      <c r="K5" s="480" t="s">
        <v>435</v>
      </c>
      <c r="L5" s="483">
        <v>87.200000000000017</v>
      </c>
      <c r="M5" s="483">
        <v>1</v>
      </c>
      <c r="N5" s="484">
        <v>87.200000000000017</v>
      </c>
    </row>
    <row r="6" spans="1:14" ht="14.4" customHeight="1" x14ac:dyDescent="0.3">
      <c r="A6" s="485" t="s">
        <v>418</v>
      </c>
      <c r="B6" s="486" t="s">
        <v>419</v>
      </c>
      <c r="C6" s="487" t="s">
        <v>424</v>
      </c>
      <c r="D6" s="488" t="s">
        <v>425</v>
      </c>
      <c r="E6" s="489">
        <v>50113001</v>
      </c>
      <c r="F6" s="488" t="s">
        <v>432</v>
      </c>
      <c r="G6" s="487" t="s">
        <v>433</v>
      </c>
      <c r="H6" s="487">
        <v>169755</v>
      </c>
      <c r="I6" s="487">
        <v>69755</v>
      </c>
      <c r="J6" s="487" t="s">
        <v>436</v>
      </c>
      <c r="K6" s="487" t="s">
        <v>437</v>
      </c>
      <c r="L6" s="490">
        <v>36.93</v>
      </c>
      <c r="M6" s="490">
        <v>2</v>
      </c>
      <c r="N6" s="491">
        <v>73.86</v>
      </c>
    </row>
    <row r="7" spans="1:14" ht="14.4" customHeight="1" x14ac:dyDescent="0.3">
      <c r="A7" s="485" t="s">
        <v>418</v>
      </c>
      <c r="B7" s="486" t="s">
        <v>419</v>
      </c>
      <c r="C7" s="487" t="s">
        <v>424</v>
      </c>
      <c r="D7" s="488" t="s">
        <v>425</v>
      </c>
      <c r="E7" s="489">
        <v>50113001</v>
      </c>
      <c r="F7" s="488" t="s">
        <v>432</v>
      </c>
      <c r="G7" s="487" t="s">
        <v>433</v>
      </c>
      <c r="H7" s="487">
        <v>841498</v>
      </c>
      <c r="I7" s="487">
        <v>0</v>
      </c>
      <c r="J7" s="487" t="s">
        <v>438</v>
      </c>
      <c r="K7" s="487" t="s">
        <v>420</v>
      </c>
      <c r="L7" s="490">
        <v>44.210000000000015</v>
      </c>
      <c r="M7" s="490">
        <v>1</v>
      </c>
      <c r="N7" s="491">
        <v>44.210000000000015</v>
      </c>
    </row>
    <row r="8" spans="1:14" ht="14.4" customHeight="1" x14ac:dyDescent="0.3">
      <c r="A8" s="485" t="s">
        <v>418</v>
      </c>
      <c r="B8" s="486" t="s">
        <v>419</v>
      </c>
      <c r="C8" s="487" t="s">
        <v>424</v>
      </c>
      <c r="D8" s="488" t="s">
        <v>425</v>
      </c>
      <c r="E8" s="489">
        <v>50113001</v>
      </c>
      <c r="F8" s="488" t="s">
        <v>432</v>
      </c>
      <c r="G8" s="487" t="s">
        <v>433</v>
      </c>
      <c r="H8" s="487">
        <v>394926</v>
      </c>
      <c r="I8" s="487">
        <v>0</v>
      </c>
      <c r="J8" s="487" t="s">
        <v>439</v>
      </c>
      <c r="K8" s="487" t="s">
        <v>420</v>
      </c>
      <c r="L8" s="490">
        <v>72.599999999999994</v>
      </c>
      <c r="M8" s="490">
        <v>3</v>
      </c>
      <c r="N8" s="491">
        <v>217.79999999999998</v>
      </c>
    </row>
    <row r="9" spans="1:14" ht="14.4" customHeight="1" x14ac:dyDescent="0.3">
      <c r="A9" s="485" t="s">
        <v>418</v>
      </c>
      <c r="B9" s="486" t="s">
        <v>419</v>
      </c>
      <c r="C9" s="487" t="s">
        <v>424</v>
      </c>
      <c r="D9" s="488" t="s">
        <v>425</v>
      </c>
      <c r="E9" s="489">
        <v>50113001</v>
      </c>
      <c r="F9" s="488" t="s">
        <v>432</v>
      </c>
      <c r="G9" s="487" t="s">
        <v>433</v>
      </c>
      <c r="H9" s="487">
        <v>158249</v>
      </c>
      <c r="I9" s="487">
        <v>58249</v>
      </c>
      <c r="J9" s="487" t="s">
        <v>440</v>
      </c>
      <c r="K9" s="487" t="s">
        <v>420</v>
      </c>
      <c r="L9" s="490">
        <v>203.54714285714286</v>
      </c>
      <c r="M9" s="490">
        <v>7</v>
      </c>
      <c r="N9" s="491">
        <v>1424.83</v>
      </c>
    </row>
    <row r="10" spans="1:14" ht="14.4" customHeight="1" x14ac:dyDescent="0.3">
      <c r="A10" s="485" t="s">
        <v>418</v>
      </c>
      <c r="B10" s="486" t="s">
        <v>419</v>
      </c>
      <c r="C10" s="487" t="s">
        <v>424</v>
      </c>
      <c r="D10" s="488" t="s">
        <v>425</v>
      </c>
      <c r="E10" s="489">
        <v>50113001</v>
      </c>
      <c r="F10" s="488" t="s">
        <v>432</v>
      </c>
      <c r="G10" s="487" t="s">
        <v>433</v>
      </c>
      <c r="H10" s="487">
        <v>124067</v>
      </c>
      <c r="I10" s="487">
        <v>124067</v>
      </c>
      <c r="J10" s="487" t="s">
        <v>441</v>
      </c>
      <c r="K10" s="487" t="s">
        <v>442</v>
      </c>
      <c r="L10" s="490">
        <v>36.529999999999994</v>
      </c>
      <c r="M10" s="490">
        <v>2</v>
      </c>
      <c r="N10" s="491">
        <v>73.059999999999988</v>
      </c>
    </row>
    <row r="11" spans="1:14" ht="14.4" customHeight="1" x14ac:dyDescent="0.3">
      <c r="A11" s="485" t="s">
        <v>418</v>
      </c>
      <c r="B11" s="486" t="s">
        <v>419</v>
      </c>
      <c r="C11" s="487" t="s">
        <v>424</v>
      </c>
      <c r="D11" s="488" t="s">
        <v>425</v>
      </c>
      <c r="E11" s="489">
        <v>50113001</v>
      </c>
      <c r="F11" s="488" t="s">
        <v>432</v>
      </c>
      <c r="G11" s="487" t="s">
        <v>433</v>
      </c>
      <c r="H11" s="487">
        <v>51366</v>
      </c>
      <c r="I11" s="487">
        <v>51366</v>
      </c>
      <c r="J11" s="487" t="s">
        <v>443</v>
      </c>
      <c r="K11" s="487" t="s">
        <v>444</v>
      </c>
      <c r="L11" s="490">
        <v>171.59999903237883</v>
      </c>
      <c r="M11" s="490">
        <v>75</v>
      </c>
      <c r="N11" s="491">
        <v>12869.999927428413</v>
      </c>
    </row>
    <row r="12" spans="1:14" ht="14.4" customHeight="1" x14ac:dyDescent="0.3">
      <c r="A12" s="485" t="s">
        <v>418</v>
      </c>
      <c r="B12" s="486" t="s">
        <v>419</v>
      </c>
      <c r="C12" s="487" t="s">
        <v>424</v>
      </c>
      <c r="D12" s="488" t="s">
        <v>425</v>
      </c>
      <c r="E12" s="489">
        <v>50113001</v>
      </c>
      <c r="F12" s="488" t="s">
        <v>432</v>
      </c>
      <c r="G12" s="487" t="s">
        <v>433</v>
      </c>
      <c r="H12" s="487">
        <v>202362</v>
      </c>
      <c r="I12" s="487">
        <v>202362</v>
      </c>
      <c r="J12" s="487" t="s">
        <v>445</v>
      </c>
      <c r="K12" s="487" t="s">
        <v>446</v>
      </c>
      <c r="L12" s="490">
        <v>56.640000000000036</v>
      </c>
      <c r="M12" s="490">
        <v>1</v>
      </c>
      <c r="N12" s="491">
        <v>56.640000000000036</v>
      </c>
    </row>
    <row r="13" spans="1:14" ht="14.4" customHeight="1" x14ac:dyDescent="0.3">
      <c r="A13" s="485" t="s">
        <v>418</v>
      </c>
      <c r="B13" s="486" t="s">
        <v>419</v>
      </c>
      <c r="C13" s="487" t="s">
        <v>424</v>
      </c>
      <c r="D13" s="488" t="s">
        <v>425</v>
      </c>
      <c r="E13" s="489">
        <v>50113001</v>
      </c>
      <c r="F13" s="488" t="s">
        <v>432</v>
      </c>
      <c r="G13" s="487" t="s">
        <v>433</v>
      </c>
      <c r="H13" s="487">
        <v>208466</v>
      </c>
      <c r="I13" s="487">
        <v>208466</v>
      </c>
      <c r="J13" s="487" t="s">
        <v>447</v>
      </c>
      <c r="K13" s="487" t="s">
        <v>448</v>
      </c>
      <c r="L13" s="490">
        <v>792.77</v>
      </c>
      <c r="M13" s="490">
        <v>5</v>
      </c>
      <c r="N13" s="491">
        <v>3963.85</v>
      </c>
    </row>
    <row r="14" spans="1:14" ht="14.4" customHeight="1" x14ac:dyDescent="0.3">
      <c r="A14" s="485" t="s">
        <v>418</v>
      </c>
      <c r="B14" s="486" t="s">
        <v>419</v>
      </c>
      <c r="C14" s="487" t="s">
        <v>424</v>
      </c>
      <c r="D14" s="488" t="s">
        <v>425</v>
      </c>
      <c r="E14" s="489">
        <v>50113001</v>
      </c>
      <c r="F14" s="488" t="s">
        <v>432</v>
      </c>
      <c r="G14" s="487" t="s">
        <v>433</v>
      </c>
      <c r="H14" s="487">
        <v>189212</v>
      </c>
      <c r="I14" s="487">
        <v>89212</v>
      </c>
      <c r="J14" s="487" t="s">
        <v>449</v>
      </c>
      <c r="K14" s="487" t="s">
        <v>450</v>
      </c>
      <c r="L14" s="490">
        <v>79.28</v>
      </c>
      <c r="M14" s="490">
        <v>20</v>
      </c>
      <c r="N14" s="491">
        <v>1585.6</v>
      </c>
    </row>
    <row r="15" spans="1:14" ht="14.4" customHeight="1" x14ac:dyDescent="0.3">
      <c r="A15" s="485" t="s">
        <v>418</v>
      </c>
      <c r="B15" s="486" t="s">
        <v>419</v>
      </c>
      <c r="C15" s="487" t="s">
        <v>424</v>
      </c>
      <c r="D15" s="488" t="s">
        <v>425</v>
      </c>
      <c r="E15" s="489">
        <v>50113001</v>
      </c>
      <c r="F15" s="488" t="s">
        <v>432</v>
      </c>
      <c r="G15" s="487" t="s">
        <v>433</v>
      </c>
      <c r="H15" s="487">
        <v>920304</v>
      </c>
      <c r="I15" s="487">
        <v>0</v>
      </c>
      <c r="J15" s="487" t="s">
        <v>451</v>
      </c>
      <c r="K15" s="487" t="s">
        <v>420</v>
      </c>
      <c r="L15" s="490">
        <v>215.03338207898608</v>
      </c>
      <c r="M15" s="490">
        <v>3</v>
      </c>
      <c r="N15" s="491">
        <v>645.10014623695827</v>
      </c>
    </row>
    <row r="16" spans="1:14" ht="14.4" customHeight="1" x14ac:dyDescent="0.3">
      <c r="A16" s="485" t="s">
        <v>418</v>
      </c>
      <c r="B16" s="486" t="s">
        <v>419</v>
      </c>
      <c r="C16" s="487" t="s">
        <v>424</v>
      </c>
      <c r="D16" s="488" t="s">
        <v>425</v>
      </c>
      <c r="E16" s="489">
        <v>50113001</v>
      </c>
      <c r="F16" s="488" t="s">
        <v>432</v>
      </c>
      <c r="G16" s="487" t="s">
        <v>433</v>
      </c>
      <c r="H16" s="487">
        <v>930035</v>
      </c>
      <c r="I16" s="487">
        <v>0</v>
      </c>
      <c r="J16" s="487" t="s">
        <v>452</v>
      </c>
      <c r="K16" s="487" t="s">
        <v>420</v>
      </c>
      <c r="L16" s="490">
        <v>52.306976279707726</v>
      </c>
      <c r="M16" s="490">
        <v>8</v>
      </c>
      <c r="N16" s="491">
        <v>418.45581023766181</v>
      </c>
    </row>
    <row r="17" spans="1:14" ht="14.4" customHeight="1" x14ac:dyDescent="0.3">
      <c r="A17" s="485" t="s">
        <v>418</v>
      </c>
      <c r="B17" s="486" t="s">
        <v>419</v>
      </c>
      <c r="C17" s="487" t="s">
        <v>424</v>
      </c>
      <c r="D17" s="488" t="s">
        <v>425</v>
      </c>
      <c r="E17" s="489">
        <v>50113001</v>
      </c>
      <c r="F17" s="488" t="s">
        <v>432</v>
      </c>
      <c r="G17" s="487" t="s">
        <v>433</v>
      </c>
      <c r="H17" s="487">
        <v>900321</v>
      </c>
      <c r="I17" s="487">
        <v>0</v>
      </c>
      <c r="J17" s="487" t="s">
        <v>453</v>
      </c>
      <c r="K17" s="487" t="s">
        <v>420</v>
      </c>
      <c r="L17" s="490">
        <v>176.70254551771581</v>
      </c>
      <c r="M17" s="490">
        <v>8</v>
      </c>
      <c r="N17" s="491">
        <v>1413.6203641417264</v>
      </c>
    </row>
    <row r="18" spans="1:14" ht="14.4" customHeight="1" x14ac:dyDescent="0.3">
      <c r="A18" s="485" t="s">
        <v>418</v>
      </c>
      <c r="B18" s="486" t="s">
        <v>419</v>
      </c>
      <c r="C18" s="487" t="s">
        <v>424</v>
      </c>
      <c r="D18" s="488" t="s">
        <v>425</v>
      </c>
      <c r="E18" s="489">
        <v>50113001</v>
      </c>
      <c r="F18" s="488" t="s">
        <v>432</v>
      </c>
      <c r="G18" s="487" t="s">
        <v>433</v>
      </c>
      <c r="H18" s="487">
        <v>841560</v>
      </c>
      <c r="I18" s="487">
        <v>0</v>
      </c>
      <c r="J18" s="487" t="s">
        <v>454</v>
      </c>
      <c r="K18" s="487" t="s">
        <v>420</v>
      </c>
      <c r="L18" s="490">
        <v>174.42310727802297</v>
      </c>
      <c r="M18" s="490">
        <v>20</v>
      </c>
      <c r="N18" s="491">
        <v>3488.4621455604592</v>
      </c>
    </row>
    <row r="19" spans="1:14" ht="14.4" customHeight="1" x14ac:dyDescent="0.3">
      <c r="A19" s="485" t="s">
        <v>418</v>
      </c>
      <c r="B19" s="486" t="s">
        <v>419</v>
      </c>
      <c r="C19" s="487" t="s">
        <v>424</v>
      </c>
      <c r="D19" s="488" t="s">
        <v>425</v>
      </c>
      <c r="E19" s="489">
        <v>50113001</v>
      </c>
      <c r="F19" s="488" t="s">
        <v>432</v>
      </c>
      <c r="G19" s="487" t="s">
        <v>433</v>
      </c>
      <c r="H19" s="487">
        <v>100498</v>
      </c>
      <c r="I19" s="487">
        <v>498</v>
      </c>
      <c r="J19" s="487" t="s">
        <v>455</v>
      </c>
      <c r="K19" s="487" t="s">
        <v>456</v>
      </c>
      <c r="L19" s="490">
        <v>96.638739998815964</v>
      </c>
      <c r="M19" s="490">
        <v>320</v>
      </c>
      <c r="N19" s="491">
        <v>30924.396799621107</v>
      </c>
    </row>
    <row r="20" spans="1:14" ht="14.4" customHeight="1" x14ac:dyDescent="0.3">
      <c r="A20" s="485" t="s">
        <v>418</v>
      </c>
      <c r="B20" s="486" t="s">
        <v>419</v>
      </c>
      <c r="C20" s="487" t="s">
        <v>424</v>
      </c>
      <c r="D20" s="488" t="s">
        <v>425</v>
      </c>
      <c r="E20" s="489">
        <v>50113001</v>
      </c>
      <c r="F20" s="488" t="s">
        <v>432</v>
      </c>
      <c r="G20" s="487" t="s">
        <v>433</v>
      </c>
      <c r="H20" s="487">
        <v>100527</v>
      </c>
      <c r="I20" s="487">
        <v>527</v>
      </c>
      <c r="J20" s="487" t="s">
        <v>457</v>
      </c>
      <c r="K20" s="487" t="s">
        <v>458</v>
      </c>
      <c r="L20" s="490">
        <v>121.56000000000003</v>
      </c>
      <c r="M20" s="490">
        <v>2</v>
      </c>
      <c r="N20" s="491">
        <v>243.12000000000006</v>
      </c>
    </row>
    <row r="21" spans="1:14" ht="14.4" customHeight="1" x14ac:dyDescent="0.3">
      <c r="A21" s="485" t="s">
        <v>418</v>
      </c>
      <c r="B21" s="486" t="s">
        <v>419</v>
      </c>
      <c r="C21" s="487" t="s">
        <v>424</v>
      </c>
      <c r="D21" s="488" t="s">
        <v>425</v>
      </c>
      <c r="E21" s="489">
        <v>50113001</v>
      </c>
      <c r="F21" s="488" t="s">
        <v>432</v>
      </c>
      <c r="G21" s="487" t="s">
        <v>433</v>
      </c>
      <c r="H21" s="487">
        <v>100231</v>
      </c>
      <c r="I21" s="487">
        <v>231</v>
      </c>
      <c r="J21" s="487" t="s">
        <v>459</v>
      </c>
      <c r="K21" s="487" t="s">
        <v>460</v>
      </c>
      <c r="L21" s="490">
        <v>33.19</v>
      </c>
      <c r="M21" s="490">
        <v>1</v>
      </c>
      <c r="N21" s="491">
        <v>33.19</v>
      </c>
    </row>
    <row r="22" spans="1:14" ht="14.4" customHeight="1" x14ac:dyDescent="0.3">
      <c r="A22" s="485" t="s">
        <v>418</v>
      </c>
      <c r="B22" s="486" t="s">
        <v>419</v>
      </c>
      <c r="C22" s="487" t="s">
        <v>424</v>
      </c>
      <c r="D22" s="488" t="s">
        <v>425</v>
      </c>
      <c r="E22" s="489">
        <v>50113001</v>
      </c>
      <c r="F22" s="488" t="s">
        <v>432</v>
      </c>
      <c r="G22" s="487" t="s">
        <v>461</v>
      </c>
      <c r="H22" s="487">
        <v>107981</v>
      </c>
      <c r="I22" s="487">
        <v>7981</v>
      </c>
      <c r="J22" s="487" t="s">
        <v>462</v>
      </c>
      <c r="K22" s="487" t="s">
        <v>463</v>
      </c>
      <c r="L22" s="490">
        <v>55.044705882352943</v>
      </c>
      <c r="M22" s="490">
        <v>17</v>
      </c>
      <c r="N22" s="491">
        <v>935.76</v>
      </c>
    </row>
    <row r="23" spans="1:14" ht="14.4" customHeight="1" x14ac:dyDescent="0.3">
      <c r="A23" s="485" t="s">
        <v>418</v>
      </c>
      <c r="B23" s="486" t="s">
        <v>419</v>
      </c>
      <c r="C23" s="487" t="s">
        <v>424</v>
      </c>
      <c r="D23" s="488" t="s">
        <v>425</v>
      </c>
      <c r="E23" s="489">
        <v>50113001</v>
      </c>
      <c r="F23" s="488" t="s">
        <v>432</v>
      </c>
      <c r="G23" s="487" t="s">
        <v>461</v>
      </c>
      <c r="H23" s="487">
        <v>131934</v>
      </c>
      <c r="I23" s="487">
        <v>31934</v>
      </c>
      <c r="J23" s="487" t="s">
        <v>464</v>
      </c>
      <c r="K23" s="487" t="s">
        <v>465</v>
      </c>
      <c r="L23" s="490">
        <v>50.170000000000051</v>
      </c>
      <c r="M23" s="490">
        <v>1</v>
      </c>
      <c r="N23" s="491">
        <v>50.170000000000051</v>
      </c>
    </row>
    <row r="24" spans="1:14" ht="14.4" customHeight="1" x14ac:dyDescent="0.3">
      <c r="A24" s="485" t="s">
        <v>418</v>
      </c>
      <c r="B24" s="486" t="s">
        <v>419</v>
      </c>
      <c r="C24" s="487" t="s">
        <v>429</v>
      </c>
      <c r="D24" s="488" t="s">
        <v>430</v>
      </c>
      <c r="E24" s="489">
        <v>50113001</v>
      </c>
      <c r="F24" s="488" t="s">
        <v>432</v>
      </c>
      <c r="G24" s="487" t="s">
        <v>433</v>
      </c>
      <c r="H24" s="487">
        <v>845282</v>
      </c>
      <c r="I24" s="487">
        <v>107133</v>
      </c>
      <c r="J24" s="487" t="s">
        <v>466</v>
      </c>
      <c r="K24" s="487" t="s">
        <v>467</v>
      </c>
      <c r="L24" s="490">
        <v>886.22585668750708</v>
      </c>
      <c r="M24" s="490">
        <v>75</v>
      </c>
      <c r="N24" s="491">
        <v>66466.939251563032</v>
      </c>
    </row>
    <row r="25" spans="1:14" ht="14.4" customHeight="1" x14ac:dyDescent="0.3">
      <c r="A25" s="485" t="s">
        <v>418</v>
      </c>
      <c r="B25" s="486" t="s">
        <v>419</v>
      </c>
      <c r="C25" s="487" t="s">
        <v>429</v>
      </c>
      <c r="D25" s="488" t="s">
        <v>430</v>
      </c>
      <c r="E25" s="489">
        <v>50113001</v>
      </c>
      <c r="F25" s="488" t="s">
        <v>432</v>
      </c>
      <c r="G25" s="487" t="s">
        <v>433</v>
      </c>
      <c r="H25" s="487">
        <v>120102</v>
      </c>
      <c r="I25" s="487">
        <v>120102</v>
      </c>
      <c r="J25" s="487" t="s">
        <v>468</v>
      </c>
      <c r="K25" s="487" t="s">
        <v>469</v>
      </c>
      <c r="L25" s="490">
        <v>573.1</v>
      </c>
      <c r="M25" s="490">
        <v>1</v>
      </c>
      <c r="N25" s="491">
        <v>573.1</v>
      </c>
    </row>
    <row r="26" spans="1:14" ht="14.4" customHeight="1" x14ac:dyDescent="0.3">
      <c r="A26" s="485" t="s">
        <v>418</v>
      </c>
      <c r="B26" s="486" t="s">
        <v>419</v>
      </c>
      <c r="C26" s="487" t="s">
        <v>429</v>
      </c>
      <c r="D26" s="488" t="s">
        <v>430</v>
      </c>
      <c r="E26" s="489">
        <v>50113001</v>
      </c>
      <c r="F26" s="488" t="s">
        <v>432</v>
      </c>
      <c r="G26" s="487" t="s">
        <v>433</v>
      </c>
      <c r="H26" s="487">
        <v>132827</v>
      </c>
      <c r="I26" s="487">
        <v>32827</v>
      </c>
      <c r="J26" s="487" t="s">
        <v>470</v>
      </c>
      <c r="K26" s="487" t="s">
        <v>471</v>
      </c>
      <c r="L26" s="490">
        <v>660.87970517850636</v>
      </c>
      <c r="M26" s="490">
        <v>4</v>
      </c>
      <c r="N26" s="491">
        <v>2643.5188207140254</v>
      </c>
    </row>
    <row r="27" spans="1:14" ht="14.4" customHeight="1" x14ac:dyDescent="0.3">
      <c r="A27" s="485" t="s">
        <v>418</v>
      </c>
      <c r="B27" s="486" t="s">
        <v>419</v>
      </c>
      <c r="C27" s="487" t="s">
        <v>429</v>
      </c>
      <c r="D27" s="488" t="s">
        <v>430</v>
      </c>
      <c r="E27" s="489">
        <v>50113001</v>
      </c>
      <c r="F27" s="488" t="s">
        <v>432</v>
      </c>
      <c r="G27" s="487" t="s">
        <v>433</v>
      </c>
      <c r="H27" s="487">
        <v>103073</v>
      </c>
      <c r="I27" s="487">
        <v>103073</v>
      </c>
      <c r="J27" s="487" t="s">
        <v>472</v>
      </c>
      <c r="K27" s="487" t="s">
        <v>473</v>
      </c>
      <c r="L27" s="490">
        <v>639.87000031762182</v>
      </c>
      <c r="M27" s="490">
        <v>8</v>
      </c>
      <c r="N27" s="491">
        <v>5118.9600025409745</v>
      </c>
    </row>
    <row r="28" spans="1:14" ht="14.4" customHeight="1" x14ac:dyDescent="0.3">
      <c r="A28" s="485" t="s">
        <v>418</v>
      </c>
      <c r="B28" s="486" t="s">
        <v>419</v>
      </c>
      <c r="C28" s="487" t="s">
        <v>429</v>
      </c>
      <c r="D28" s="488" t="s">
        <v>430</v>
      </c>
      <c r="E28" s="489">
        <v>50113001</v>
      </c>
      <c r="F28" s="488" t="s">
        <v>432</v>
      </c>
      <c r="G28" s="487" t="s">
        <v>433</v>
      </c>
      <c r="H28" s="487">
        <v>215956</v>
      </c>
      <c r="I28" s="487">
        <v>215956</v>
      </c>
      <c r="J28" s="487" t="s">
        <v>474</v>
      </c>
      <c r="K28" s="487" t="s">
        <v>475</v>
      </c>
      <c r="L28" s="490">
        <v>631.64184432433308</v>
      </c>
      <c r="M28" s="490">
        <v>80</v>
      </c>
      <c r="N28" s="491">
        <v>50531.347545946643</v>
      </c>
    </row>
    <row r="29" spans="1:14" ht="14.4" customHeight="1" x14ac:dyDescent="0.3">
      <c r="A29" s="485" t="s">
        <v>418</v>
      </c>
      <c r="B29" s="486" t="s">
        <v>419</v>
      </c>
      <c r="C29" s="487" t="s">
        <v>429</v>
      </c>
      <c r="D29" s="488" t="s">
        <v>430</v>
      </c>
      <c r="E29" s="489">
        <v>50113001</v>
      </c>
      <c r="F29" s="488" t="s">
        <v>432</v>
      </c>
      <c r="G29" s="487" t="s">
        <v>433</v>
      </c>
      <c r="H29" s="487">
        <v>155111</v>
      </c>
      <c r="I29" s="487">
        <v>55111</v>
      </c>
      <c r="J29" s="487" t="s">
        <v>476</v>
      </c>
      <c r="K29" s="487" t="s">
        <v>477</v>
      </c>
      <c r="L29" s="490">
        <v>631.64081916161444</v>
      </c>
      <c r="M29" s="490">
        <v>4</v>
      </c>
      <c r="N29" s="491">
        <v>2526.5632766464578</v>
      </c>
    </row>
    <row r="30" spans="1:14" ht="14.4" customHeight="1" x14ac:dyDescent="0.3">
      <c r="A30" s="485" t="s">
        <v>418</v>
      </c>
      <c r="B30" s="486" t="s">
        <v>419</v>
      </c>
      <c r="C30" s="487" t="s">
        <v>429</v>
      </c>
      <c r="D30" s="488" t="s">
        <v>430</v>
      </c>
      <c r="E30" s="489">
        <v>50113001</v>
      </c>
      <c r="F30" s="488" t="s">
        <v>432</v>
      </c>
      <c r="G30" s="487" t="s">
        <v>433</v>
      </c>
      <c r="H30" s="487">
        <v>156573</v>
      </c>
      <c r="I30" s="487">
        <v>56573</v>
      </c>
      <c r="J30" s="487" t="s">
        <v>478</v>
      </c>
      <c r="K30" s="487" t="s">
        <v>479</v>
      </c>
      <c r="L30" s="490">
        <v>892.87</v>
      </c>
      <c r="M30" s="490">
        <v>16</v>
      </c>
      <c r="N30" s="491">
        <v>14285.92</v>
      </c>
    </row>
    <row r="31" spans="1:14" ht="14.4" customHeight="1" x14ac:dyDescent="0.3">
      <c r="A31" s="485" t="s">
        <v>418</v>
      </c>
      <c r="B31" s="486" t="s">
        <v>419</v>
      </c>
      <c r="C31" s="487" t="s">
        <v>429</v>
      </c>
      <c r="D31" s="488" t="s">
        <v>430</v>
      </c>
      <c r="E31" s="489">
        <v>50113001</v>
      </c>
      <c r="F31" s="488" t="s">
        <v>432</v>
      </c>
      <c r="G31" s="487" t="s">
        <v>433</v>
      </c>
      <c r="H31" s="487">
        <v>156571</v>
      </c>
      <c r="I31" s="487">
        <v>56571</v>
      </c>
      <c r="J31" s="487" t="s">
        <v>480</v>
      </c>
      <c r="K31" s="487" t="s">
        <v>481</v>
      </c>
      <c r="L31" s="490">
        <v>710.52297367838764</v>
      </c>
      <c r="M31" s="490">
        <v>1</v>
      </c>
      <c r="N31" s="491">
        <v>710.52297367838764</v>
      </c>
    </row>
    <row r="32" spans="1:14" ht="14.4" customHeight="1" x14ac:dyDescent="0.3">
      <c r="A32" s="485" t="s">
        <v>418</v>
      </c>
      <c r="B32" s="486" t="s">
        <v>419</v>
      </c>
      <c r="C32" s="487" t="s">
        <v>429</v>
      </c>
      <c r="D32" s="488" t="s">
        <v>430</v>
      </c>
      <c r="E32" s="489">
        <v>50113001</v>
      </c>
      <c r="F32" s="488" t="s">
        <v>432</v>
      </c>
      <c r="G32" s="487" t="s">
        <v>433</v>
      </c>
      <c r="H32" s="487">
        <v>149080</v>
      </c>
      <c r="I32" s="487">
        <v>149080</v>
      </c>
      <c r="J32" s="487" t="s">
        <v>482</v>
      </c>
      <c r="K32" s="487" t="s">
        <v>483</v>
      </c>
      <c r="L32" s="490">
        <v>2370.9936527887003</v>
      </c>
      <c r="M32" s="490">
        <v>2</v>
      </c>
      <c r="N32" s="491">
        <v>4741.9873055774005</v>
      </c>
    </row>
    <row r="33" spans="1:14" ht="14.4" customHeight="1" x14ac:dyDescent="0.3">
      <c r="A33" s="485" t="s">
        <v>418</v>
      </c>
      <c r="B33" s="486" t="s">
        <v>419</v>
      </c>
      <c r="C33" s="487" t="s">
        <v>429</v>
      </c>
      <c r="D33" s="488" t="s">
        <v>430</v>
      </c>
      <c r="E33" s="489">
        <v>50113001</v>
      </c>
      <c r="F33" s="488" t="s">
        <v>432</v>
      </c>
      <c r="G33" s="487" t="s">
        <v>433</v>
      </c>
      <c r="H33" s="487">
        <v>193236</v>
      </c>
      <c r="I33" s="487">
        <v>193236</v>
      </c>
      <c r="J33" s="487" t="s">
        <v>484</v>
      </c>
      <c r="K33" s="487" t="s">
        <v>485</v>
      </c>
      <c r="L33" s="490">
        <v>1117.8300000000002</v>
      </c>
      <c r="M33" s="490">
        <v>4</v>
      </c>
      <c r="N33" s="491">
        <v>4471.3200000000006</v>
      </c>
    </row>
    <row r="34" spans="1:14" ht="14.4" customHeight="1" x14ac:dyDescent="0.3">
      <c r="A34" s="485" t="s">
        <v>418</v>
      </c>
      <c r="B34" s="486" t="s">
        <v>419</v>
      </c>
      <c r="C34" s="487" t="s">
        <v>429</v>
      </c>
      <c r="D34" s="488" t="s">
        <v>430</v>
      </c>
      <c r="E34" s="489">
        <v>50113001</v>
      </c>
      <c r="F34" s="488" t="s">
        <v>432</v>
      </c>
      <c r="G34" s="487" t="s">
        <v>433</v>
      </c>
      <c r="H34" s="487">
        <v>147208</v>
      </c>
      <c r="I34" s="487">
        <v>103543</v>
      </c>
      <c r="J34" s="487" t="s">
        <v>486</v>
      </c>
      <c r="K34" s="487" t="s">
        <v>487</v>
      </c>
      <c r="L34" s="490">
        <v>826.89598316178763</v>
      </c>
      <c r="M34" s="490">
        <v>17</v>
      </c>
      <c r="N34" s="491">
        <v>14057.231713750391</v>
      </c>
    </row>
    <row r="35" spans="1:14" ht="14.4" customHeight="1" x14ac:dyDescent="0.3">
      <c r="A35" s="485" t="s">
        <v>418</v>
      </c>
      <c r="B35" s="486" t="s">
        <v>419</v>
      </c>
      <c r="C35" s="487" t="s">
        <v>429</v>
      </c>
      <c r="D35" s="488" t="s">
        <v>430</v>
      </c>
      <c r="E35" s="489">
        <v>50113001</v>
      </c>
      <c r="F35" s="488" t="s">
        <v>432</v>
      </c>
      <c r="G35" s="487" t="s">
        <v>433</v>
      </c>
      <c r="H35" s="487">
        <v>126816</v>
      </c>
      <c r="I35" s="487">
        <v>26816</v>
      </c>
      <c r="J35" s="487" t="s">
        <v>488</v>
      </c>
      <c r="K35" s="487" t="s">
        <v>489</v>
      </c>
      <c r="L35" s="490">
        <v>1305.2314319653137</v>
      </c>
      <c r="M35" s="490">
        <v>39</v>
      </c>
      <c r="N35" s="491">
        <v>50904.025846647237</v>
      </c>
    </row>
    <row r="36" spans="1:14" ht="14.4" customHeight="1" x14ac:dyDescent="0.3">
      <c r="A36" s="485" t="s">
        <v>418</v>
      </c>
      <c r="B36" s="486" t="s">
        <v>419</v>
      </c>
      <c r="C36" s="487" t="s">
        <v>429</v>
      </c>
      <c r="D36" s="488" t="s">
        <v>430</v>
      </c>
      <c r="E36" s="489">
        <v>50113001</v>
      </c>
      <c r="F36" s="488" t="s">
        <v>432</v>
      </c>
      <c r="G36" s="487" t="s">
        <v>433</v>
      </c>
      <c r="H36" s="487">
        <v>186403</v>
      </c>
      <c r="I36" s="487">
        <v>85170</v>
      </c>
      <c r="J36" s="487" t="s">
        <v>490</v>
      </c>
      <c r="K36" s="487" t="s">
        <v>491</v>
      </c>
      <c r="L36" s="490">
        <v>491.30709206836173</v>
      </c>
      <c r="M36" s="490">
        <v>101</v>
      </c>
      <c r="N36" s="491">
        <v>49622.016298904535</v>
      </c>
    </row>
    <row r="37" spans="1:14" ht="14.4" customHeight="1" x14ac:dyDescent="0.3">
      <c r="A37" s="485" t="s">
        <v>418</v>
      </c>
      <c r="B37" s="486" t="s">
        <v>419</v>
      </c>
      <c r="C37" s="487" t="s">
        <v>429</v>
      </c>
      <c r="D37" s="488" t="s">
        <v>430</v>
      </c>
      <c r="E37" s="489">
        <v>50113001</v>
      </c>
      <c r="F37" s="488" t="s">
        <v>432</v>
      </c>
      <c r="G37" s="487" t="s">
        <v>433</v>
      </c>
      <c r="H37" s="487">
        <v>10277</v>
      </c>
      <c r="I37" s="487">
        <v>10277</v>
      </c>
      <c r="J37" s="487" t="s">
        <v>492</v>
      </c>
      <c r="K37" s="487" t="s">
        <v>493</v>
      </c>
      <c r="L37" s="490">
        <v>1215.840260434954</v>
      </c>
      <c r="M37" s="490">
        <v>2</v>
      </c>
      <c r="N37" s="491">
        <v>2431.6805208699079</v>
      </c>
    </row>
    <row r="38" spans="1:14" ht="14.4" customHeight="1" thickBot="1" x14ac:dyDescent="0.35">
      <c r="A38" s="492" t="s">
        <v>418</v>
      </c>
      <c r="B38" s="493" t="s">
        <v>419</v>
      </c>
      <c r="C38" s="494" t="s">
        <v>429</v>
      </c>
      <c r="D38" s="495" t="s">
        <v>430</v>
      </c>
      <c r="E38" s="496">
        <v>50113001</v>
      </c>
      <c r="F38" s="495" t="s">
        <v>432</v>
      </c>
      <c r="G38" s="494" t="s">
        <v>433</v>
      </c>
      <c r="H38" s="494">
        <v>847178</v>
      </c>
      <c r="I38" s="494">
        <v>107496</v>
      </c>
      <c r="J38" s="494" t="s">
        <v>494</v>
      </c>
      <c r="K38" s="494" t="s">
        <v>495</v>
      </c>
      <c r="L38" s="497">
        <v>453.45280209407451</v>
      </c>
      <c r="M38" s="497">
        <v>34</v>
      </c>
      <c r="N38" s="498">
        <v>15417.395271198533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29"/>
  </cols>
  <sheetData>
    <row r="1" spans="1:6" ht="37.200000000000003" customHeight="1" thickBot="1" x14ac:dyDescent="0.4">
      <c r="A1" s="381" t="s">
        <v>165</v>
      </c>
      <c r="B1" s="382"/>
      <c r="C1" s="382"/>
      <c r="D1" s="382"/>
      <c r="E1" s="382"/>
      <c r="F1" s="382"/>
    </row>
    <row r="2" spans="1:6" ht="14.4" customHeight="1" thickBot="1" x14ac:dyDescent="0.35">
      <c r="A2" s="235" t="s">
        <v>259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83" t="s">
        <v>130</v>
      </c>
      <c r="C3" s="384"/>
      <c r="D3" s="385" t="s">
        <v>129</v>
      </c>
      <c r="E3" s="384"/>
      <c r="F3" s="80" t="s">
        <v>3</v>
      </c>
    </row>
    <row r="4" spans="1:6" ht="14.4" customHeight="1" thickBot="1" x14ac:dyDescent="0.35">
      <c r="A4" s="499" t="s">
        <v>144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" customHeight="1" thickBot="1" x14ac:dyDescent="0.35">
      <c r="A5" s="510" t="s">
        <v>496</v>
      </c>
      <c r="B5" s="476"/>
      <c r="C5" s="503">
        <v>0</v>
      </c>
      <c r="D5" s="476">
        <v>758.41000000000008</v>
      </c>
      <c r="E5" s="503">
        <v>1</v>
      </c>
      <c r="F5" s="477">
        <v>758.41000000000008</v>
      </c>
    </row>
    <row r="6" spans="1:6" ht="14.4" customHeight="1" thickBot="1" x14ac:dyDescent="0.35">
      <c r="A6" s="506" t="s">
        <v>3</v>
      </c>
      <c r="B6" s="507"/>
      <c r="C6" s="508">
        <v>0</v>
      </c>
      <c r="D6" s="507">
        <v>758.41000000000008</v>
      </c>
      <c r="E6" s="508">
        <v>1</v>
      </c>
      <c r="F6" s="509">
        <v>758.41000000000008</v>
      </c>
    </row>
    <row r="7" spans="1:6" ht="14.4" customHeight="1" thickBot="1" x14ac:dyDescent="0.35"/>
    <row r="8" spans="1:6" ht="14.4" customHeight="1" x14ac:dyDescent="0.3">
      <c r="A8" s="516" t="s">
        <v>497</v>
      </c>
      <c r="B8" s="483"/>
      <c r="C8" s="504">
        <v>0</v>
      </c>
      <c r="D8" s="483">
        <v>708.24</v>
      </c>
      <c r="E8" s="504">
        <v>1</v>
      </c>
      <c r="F8" s="484">
        <v>708.24</v>
      </c>
    </row>
    <row r="9" spans="1:6" ht="14.4" customHeight="1" thickBot="1" x14ac:dyDescent="0.35">
      <c r="A9" s="517" t="s">
        <v>498</v>
      </c>
      <c r="B9" s="513"/>
      <c r="C9" s="514">
        <v>0</v>
      </c>
      <c r="D9" s="513">
        <v>50.170000000000051</v>
      </c>
      <c r="E9" s="514">
        <v>1</v>
      </c>
      <c r="F9" s="515">
        <v>50.170000000000051</v>
      </c>
    </row>
    <row r="10" spans="1:6" ht="14.4" customHeight="1" thickBot="1" x14ac:dyDescent="0.35">
      <c r="A10" s="506" t="s">
        <v>3</v>
      </c>
      <c r="B10" s="507"/>
      <c r="C10" s="508">
        <v>0</v>
      </c>
      <c r="D10" s="507">
        <v>758.41000000000008</v>
      </c>
      <c r="E10" s="508">
        <v>1</v>
      </c>
      <c r="F10" s="509">
        <v>758.41000000000008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2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2017-09-07T09:20:36Z</dcterms:modified>
</cp:coreProperties>
</file>