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05B0F1DF-E506-4948-B42F-27FF95DCFD1D}" xr6:coauthVersionLast="41" xr6:coauthVersionMax="41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8" i="431" l="1"/>
  <c r="D17" i="431"/>
  <c r="J13" i="431"/>
  <c r="Q15" i="431"/>
  <c r="F14" i="431"/>
  <c r="L18" i="431"/>
  <c r="L11" i="431"/>
  <c r="D16" i="431"/>
  <c r="H9" i="431"/>
  <c r="L9" i="431"/>
  <c r="O11" i="431"/>
  <c r="E16" i="431"/>
  <c r="I16" i="431"/>
  <c r="N14" i="431"/>
  <c r="P18" i="431"/>
  <c r="M17" i="431"/>
  <c r="Q9" i="431"/>
  <c r="J14" i="431"/>
  <c r="C13" i="431"/>
  <c r="D11" i="431"/>
  <c r="E9" i="431"/>
  <c r="E17" i="431"/>
  <c r="F15" i="431"/>
  <c r="G13" i="431"/>
  <c r="H11" i="431"/>
  <c r="I9" i="431"/>
  <c r="I17" i="431"/>
  <c r="K13" i="431"/>
  <c r="P11" i="431"/>
  <c r="C14" i="431"/>
  <c r="D12" i="431"/>
  <c r="E10" i="431"/>
  <c r="E18" i="431"/>
  <c r="F16" i="431"/>
  <c r="G14" i="431"/>
  <c r="H12" i="431"/>
  <c r="I10" i="431"/>
  <c r="I18" i="431"/>
  <c r="J16" i="431"/>
  <c r="K14" i="431"/>
  <c r="L12" i="431"/>
  <c r="M10" i="431"/>
  <c r="M18" i="431"/>
  <c r="N16" i="431"/>
  <c r="O14" i="431"/>
  <c r="P12" i="431"/>
  <c r="Q10" i="431"/>
  <c r="Q18" i="431"/>
  <c r="C15" i="431"/>
  <c r="D13" i="431"/>
  <c r="E11" i="431"/>
  <c r="F9" i="431"/>
  <c r="F17" i="431"/>
  <c r="G15" i="431"/>
  <c r="H13" i="431"/>
  <c r="I11" i="431"/>
  <c r="J9" i="431"/>
  <c r="J17" i="431"/>
  <c r="K15" i="431"/>
  <c r="L13" i="431"/>
  <c r="M11" i="431"/>
  <c r="N9" i="431"/>
  <c r="N17" i="431"/>
  <c r="O15" i="431"/>
  <c r="P13" i="431"/>
  <c r="Q11" i="431"/>
  <c r="J11" i="431"/>
  <c r="K17" i="431"/>
  <c r="M13" i="431"/>
  <c r="O9" i="431"/>
  <c r="Q13" i="431"/>
  <c r="C10" i="431"/>
  <c r="E14" i="431"/>
  <c r="G10" i="431"/>
  <c r="H16" i="431"/>
  <c r="K10" i="431"/>
  <c r="N12" i="431"/>
  <c r="O10" i="431"/>
  <c r="P16" i="431"/>
  <c r="D9" i="431"/>
  <c r="E15" i="431"/>
  <c r="H17" i="431"/>
  <c r="L17" i="431"/>
  <c r="N13" i="431"/>
  <c r="D10" i="431"/>
  <c r="G12" i="431"/>
  <c r="L10" i="431"/>
  <c r="P10" i="431"/>
  <c r="M9" i="431"/>
  <c r="Q17" i="431"/>
  <c r="L16" i="431"/>
  <c r="G11" i="431"/>
  <c r="K11" i="431"/>
  <c r="P9" i="431"/>
  <c r="C12" i="431"/>
  <c r="H18" i="431"/>
  <c r="M16" i="431"/>
  <c r="Q16" i="431"/>
  <c r="N15" i="431"/>
  <c r="C16" i="431"/>
  <c r="D14" i="431"/>
  <c r="E12" i="431"/>
  <c r="F10" i="431"/>
  <c r="F18" i="431"/>
  <c r="G16" i="431"/>
  <c r="H14" i="431"/>
  <c r="I12" i="431"/>
  <c r="J10" i="431"/>
  <c r="J18" i="431"/>
  <c r="K16" i="431"/>
  <c r="L14" i="431"/>
  <c r="M12" i="431"/>
  <c r="N10" i="431"/>
  <c r="N18" i="431"/>
  <c r="O16" i="431"/>
  <c r="P14" i="431"/>
  <c r="Q12" i="431"/>
  <c r="C9" i="431"/>
  <c r="C17" i="431"/>
  <c r="D15" i="431"/>
  <c r="E13" i="431"/>
  <c r="F11" i="431"/>
  <c r="G9" i="431"/>
  <c r="G17" i="431"/>
  <c r="H15" i="431"/>
  <c r="I13" i="431"/>
  <c r="K9" i="431"/>
  <c r="L15" i="431"/>
  <c r="N11" i="431"/>
  <c r="O17" i="431"/>
  <c r="P15" i="431"/>
  <c r="C18" i="431"/>
  <c r="F12" i="431"/>
  <c r="G18" i="431"/>
  <c r="I14" i="431"/>
  <c r="J12" i="431"/>
  <c r="M14" i="431"/>
  <c r="O18" i="431"/>
  <c r="Q14" i="431"/>
  <c r="C11" i="431"/>
  <c r="F13" i="431"/>
  <c r="I15" i="431"/>
  <c r="M15" i="431"/>
  <c r="P17" i="431"/>
  <c r="D18" i="431"/>
  <c r="H10" i="431"/>
  <c r="K12" i="431"/>
  <c r="O12" i="431"/>
  <c r="J15" i="431"/>
  <c r="O13" i="431"/>
  <c r="O8" i="431"/>
  <c r="M8" i="431"/>
  <c r="G8" i="431"/>
  <c r="H8" i="431"/>
  <c r="J8" i="431"/>
  <c r="K8" i="431"/>
  <c r="P8" i="431"/>
  <c r="N8" i="431"/>
  <c r="C8" i="431"/>
  <c r="I8" i="431"/>
  <c r="Q8" i="431"/>
  <c r="E8" i="431"/>
  <c r="L8" i="431"/>
  <c r="F8" i="431"/>
  <c r="D8" i="431"/>
  <c r="R14" i="431" l="1"/>
  <c r="S14" i="431"/>
  <c r="R12" i="431"/>
  <c r="S12" i="431"/>
  <c r="R16" i="431"/>
  <c r="S16" i="431"/>
  <c r="R17" i="431"/>
  <c r="S17" i="431"/>
  <c r="S13" i="431"/>
  <c r="R13" i="431"/>
  <c r="S11" i="431"/>
  <c r="R11" i="431"/>
  <c r="S18" i="431"/>
  <c r="R18" i="431"/>
  <c r="S10" i="431"/>
  <c r="R10" i="431"/>
  <c r="R9" i="431"/>
  <c r="S9" i="431"/>
  <c r="S15" i="431"/>
  <c r="R15" i="431"/>
  <c r="C6" i="43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2" i="414" l="1"/>
  <c r="E22" i="414" s="1"/>
  <c r="D21" i="414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4" i="414" l="1"/>
  <c r="A19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3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G3" i="344"/>
  <c r="C3" i="344"/>
  <c r="B11" i="339"/>
  <c r="J11" i="339" s="1"/>
  <c r="R3" i="344" l="1"/>
  <c r="I11" i="339"/>
  <c r="F11" i="339"/>
  <c r="H11" i="339" l="1"/>
  <c r="G11" i="339"/>
  <c r="A23" i="414"/>
  <c r="A15" i="414"/>
  <c r="A16" i="414"/>
  <c r="A4" i="414"/>
  <c r="A6" i="339" l="1"/>
  <c r="A5" i="339"/>
  <c r="D4" i="414"/>
  <c r="D19" i="414"/>
  <c r="D16" i="414"/>
  <c r="C19" i="414"/>
  <c r="C16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H3" i="387"/>
  <c r="G3" i="387"/>
  <c r="F3" i="387"/>
  <c r="N3" i="220"/>
  <c r="L3" i="220" s="1"/>
  <c r="C24" i="414"/>
  <c r="D24" i="414"/>
  <c r="Q3" i="345" l="1"/>
  <c r="Q3" i="347"/>
  <c r="U3" i="347"/>
  <c r="S3" i="347"/>
  <c r="I12" i="339"/>
  <c r="I13" i="339" s="1"/>
  <c r="F13" i="339"/>
  <c r="E13" i="339"/>
  <c r="E15" i="339" s="1"/>
  <c r="H12" i="339"/>
  <c r="G12" i="339"/>
  <c r="K3" i="390"/>
  <c r="A4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8" i="414"/>
  <c r="J13" i="339" l="1"/>
  <c r="B15" i="339"/>
  <c r="H13" i="339"/>
  <c r="F15" i="339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<sst xmlns="http://schemas.openxmlformats.org/spreadsheetml/2006/main" count="4588" uniqueCount="1015">
  <si>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</si>
  <si>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</si>
  <si>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</si>
  <si>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</si>
  <si>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</si>
  <si>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</si>
  <si>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</si>
  <si>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</si>
  <si>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</si>
  <si>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</si>
  <si>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</si>
  <si>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</si>
  <si>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</si>
  <si>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</si>
  <si>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</si>
  <si>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</si>
  <si>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</si>
  <si>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</si>
  <si>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</si>
  <si>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</si>
  <si>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</si>
  <si>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</si>
  <si>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</si>
  <si>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</si>
  <si>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</si>
  <si>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</si>
  <si>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</si>
  <si>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</si>
  <si>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</si>
  <si>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</si>
  <si>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</si>
  <si>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</si>
  <si>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</si>
  <si>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</si>
  <si>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</si>
  <si>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</si>
  <si>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</si>
  <si>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</si>
  <si>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</si>
  <si>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</si>
  <si>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</si>
  <si>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</si>
  <si>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</si>
  <si>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</si>
  <si>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</si>
  <si>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</si>
  <si>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</si>
  <si>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</si>
  <si>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</si>
  <si>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</si>
  <si>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</si>
  <si>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</si>
  <si>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</si>
  <si>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</si>
  <si>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</si>
  <si>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</si>
  <si>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</si>
  <si>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</si>
  <si>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</si>
  <si>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</si>
  <si>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</si>
  <si>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</si>
  <si>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</si>
  <si>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</si>
  <si>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</si>
  <si>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</si>
  <si>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</si>
  <si>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</si>
  <si>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</si>
  <si>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</si>
  <si>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</si>
  <si>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</si>
  <si>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</si>
  <si>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</si>
  <si>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</si>
  <si>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</si>
  <si>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</si>
  <si>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</si>
  <si>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</si>
  <si>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</si>
  <si>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</si>
  <si>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</si>
  <si>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</si>
  <si>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</si>
  <si>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</si>
  <si>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</si>
  <si>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</si>
  <si>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</si>
  <si>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</si>
  <si>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</si>
  <si>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</si>
  <si>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</si>
  <si>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</si>
  <si>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</si>
  <si>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</si>
  <si>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</si>
  <si>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</si>
  <si>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</si>
  <si>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</si>
  <si>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</si>
  <si>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</si>
  <si>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</si>
  <si>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</si>
  <si>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</si>
  <si>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</si>
  <si>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</si>
  <si>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</si>
  <si>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</si>
  <si>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</si>
  <si>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</si>
  <si>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</si>
  <si>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</si>
  <si>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</si>
  <si>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</si>
  <si>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</si>
  <si>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</si>
  <si>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</si>
  <si>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</si>
  <si>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</si>
  <si>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</si>
  <si>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</si>
  <si>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</si>
  <si>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</si>
  <si>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</si>
  <si>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</si>
  <si>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</si>
  <si>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</si>
  <si>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</si>
  <si>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</si>
  <si>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</si>
  <si>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</si>
  <si>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</si>
  <si>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</si>
  <si>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</si>
  <si>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</si>
  <si>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</si>
  <si>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</si>
  <si>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</si>
  <si>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</si>
  <si>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</si>
  <si>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</si>
  <si>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</si>
  <si>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</si>
  <si>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</si>
  <si>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</si>
  <si>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</si>
  <si>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</si>
  <si>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</si>
  <si>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</si>
  <si>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</si>
  <si>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</si>
  <si>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</si>
  <si>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</si>
  <si>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</si>
  <si>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</si>
  <si>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</si>
  <si>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</si>
  <si>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</si>
  <si>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</si>
  <si>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</si>
  <si>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</si>
  <si>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</si>
  <si>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</si>
  <si>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</si>
  <si>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</si>
  <si>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</si>
  <si>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</si>
  <si>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</si>
  <si>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</si>
  <si>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</si>
  <si>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</si>
  <si>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</si>
  <si>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</si>
  <si>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</si>
  <si>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</si>
  <si>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</si>
  <si>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</si>
  <si>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</si>
  <si>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</si>
  <si>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</si>
  <si>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</si>
  <si>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</si>
  <si>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</si>
  <si>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</si>
  <si>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</si>
  <si>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</si>
  <si>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</si>
  <si>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</si>
  <si>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</si>
  <si>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</si>
  <si>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</si>
  <si>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</si>
  <si>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</si>
  <si>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</si>
  <si>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</si>
  <si>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</si>
  <si>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</si>
  <si>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</si>
  <si>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</si>
  <si>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</si>
  <si>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</si>
  <si>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</si>
  <si>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</si>
  <si>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</si>
  <si>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</si>
  <si>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</si>
  <si>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</si>
  <si>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</si>
  <si>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</si>
  <si>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</si>
  <si>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</si>
  <si>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</si>
  <si>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</si>
  <si>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</si>
  <si>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</si>
  <si>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</si>
  <si>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</si>
  <si>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</si>
  <si>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</si>
  <si>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</si>
  <si>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</si>
  <si>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</si>
  <si>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</si>
  <si>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</si>
  <si>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</si>
  <si>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</si>
  <si>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</si>
  <si>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</si>
  <si>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</si>
  <si>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</si>
  <si>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</si>
  <si>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</si>
  <si>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</si>
  <si>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</si>
  <si>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</si>
  <si>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</si>
  <si>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</si>
  <si>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</si>
  <si>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</si>
  <si>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</si>
  <si>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</si>
  <si>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</si>
  <si>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</si>
  <si>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</si>
  <si>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</si>
  <si>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</si>
  <si>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</si>
  <si>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</si>
  <si>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</si>
  <si>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</si>
  <si>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</si>
  <si>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</si>
  <si>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</si>
  <si>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</si>
  <si>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</si>
  <si>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</si>
  <si>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</si>
  <si>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</si>
  <si>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</si>
  <si>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</si>
  <si>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</si>
  <si>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</si>
  <si>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</si>
  <si>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</si>
  <si>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</si>
  <si>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</si>
  <si>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</si>
  <si>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</si>
  <si>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</si>
  <si>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</si>
  <si>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1.-9.měsíc | Klinika pracovního lékařství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</si>
  <si>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</si>
  <si>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</si>
  <si>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</si>
  <si>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</si>
  <si>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</si>
  <si>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</si>
  <si>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</si>
  <si>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</si>
  <si>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</si>
  <si>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50113190     léky - medicinální plyny (sklad SVM)</t>
  </si>
  <si>
    <t>--</t>
  </si>
  <si>
    <t>50115     Zdravotnické prostředky</t>
  </si>
  <si>
    <t>50115020     laboratorní diagnostika-LEK (Z501)</t>
  </si>
  <si>
    <t>50115050     obvazový materiál (Z502)</t>
  </si>
  <si>
    <t>50115060     ZPr - ostatní (Z503)</t>
  </si>
  <si>
    <t>50115063     ZPr - vaky, sety (Z528)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</si>
  <si>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</si>
  <si>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</si>
  <si>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</si>
  <si>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</si>
  <si>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</si>
  <si>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</si>
  <si>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</si>
  <si>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</si>
  <si>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50117008     spotřební materiál k PDS (potrubní pošta (sk.V22)</t>
  </si>
  <si>
    <t>50117015     IT - spotřební materiál (sk. P37, 38, 48)</t>
  </si>
  <si>
    <t>50117020     všeob.mat. - nábytek (V30) do 1tis.</t>
  </si>
  <si>
    <t>50117021     všeob.mat. - hosp.přístr.a nářadí (V32) od 1tis do 2999,99</t>
  </si>
  <si>
    <t>50117024     všeob.mat. - ostatní-vyjímky (V44) od 0,01 do 999,99</t>
  </si>
  <si>
    <t>50118     Náhradní díly</t>
  </si>
  <si>
    <t>50118003     ND - ostatní techn.(OSBTK, vč.metrologa)</t>
  </si>
  <si>
    <t>50118004     ND - zdravotní techn. (OSBTK, vč.metrologa)</t>
  </si>
  <si>
    <t>50118006     ND - ZVIT (sk.B63)</t>
  </si>
  <si>
    <t>50118009     ND - ostatní technika (UTZ)</t>
  </si>
  <si>
    <t>50119     DDHM a textil</t>
  </si>
  <si>
    <t>50119077     OOPP a prádlo pro zaměstnance (sk.T14)</t>
  </si>
  <si>
    <t>50119092     pokojový textil (sk. T15)</t>
  </si>
  <si>
    <t>50119100     jednorázové ochranné pomůcky (sk.T18A)</t>
  </si>
  <si>
    <t>50119102     jednorázové hygienické potřeby (sk.T18C)</t>
  </si>
  <si>
    <t>50160     Knihy a časopisy</t>
  </si>
  <si>
    <t>50160002     knihy a časopisy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</si>
  <si>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</si>
  <si>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</si>
  <si>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</si>
  <si>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</si>
  <si>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</si>
  <si>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</si>
  <si>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 - OSBTK, vč.metrologa</t>
  </si>
  <si>
    <t>51102023     opravy ostatní techniky - OSBTK, vč.metrologa</t>
  </si>
  <si>
    <t>51102024     opravy - správa budov</t>
  </si>
  <si>
    <t>51102025     opravy - hl.energetik</t>
  </si>
  <si>
    <t>51102032     opravy zdravotnické techniky - UTZ</t>
  </si>
  <si>
    <t>51102033     opravy ostatní techniky - UTZ</t>
  </si>
  <si>
    <t>51102034     opravy ostatní techniky - ELSYS</t>
  </si>
  <si>
    <t>51201     Cestovné zaměstnanců-tuzemské</t>
  </si>
  <si>
    <t>51201000     cestovné z mezd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</si>
  <si>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</si>
  <si>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</si>
  <si>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</si>
  <si>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</si>
  <si>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</si>
  <si>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</si>
  <si>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</si>
  <si>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</si>
  <si>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51806002     úklid. služby - více práce</t>
  </si>
  <si>
    <t>51806005     odpad (spalovna)</t>
  </si>
  <si>
    <t>51806007     praní prádla</t>
  </si>
  <si>
    <t>51808     Revize a smluvní servisy majetku</t>
  </si>
  <si>
    <t>51808008     revize, tech.kontroly, prev.prohl.- OSBTK</t>
  </si>
  <si>
    <t>51808009     revize, sml.servis PO - OBKR</t>
  </si>
  <si>
    <t>51808013     revize - kalibrace - metrolog</t>
  </si>
  <si>
    <t>51808018     smluvní servis - OSBTK</t>
  </si>
  <si>
    <t>51874     Ostatní služby</t>
  </si>
  <si>
    <t>51874010     ostatní služby - zdravotní</t>
  </si>
  <si>
    <t>51874018     propagace, reklama, tisk (TM)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</si>
  <si>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</si>
  <si>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</si>
  <si>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</si>
  <si>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</si>
  <si>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</si>
  <si>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</si>
  <si>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</si>
  <si>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</si>
  <si>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</si>
  <si>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</si>
  <si>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</si>
  <si>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</si>
  <si>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</si>
  <si>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</si>
  <si>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525     Jiné sociální pojištění</t>
  </si>
  <si>
    <t>52510     Jiné sociální pojištění</t>
  </si>
  <si>
    <t>52510000     pojištění zaměstnanců (čtvrtletně)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</si>
  <si>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</si>
  <si>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</si>
  <si>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</si>
  <si>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</si>
  <si>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</si>
  <si>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</si>
  <si>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</si>
  <si>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54972     Školení, kongres.popl.tuzemské - lékaři (pouze OPMČ)</t>
  </si>
  <si>
    <t>54972000     školení, kongres.popl.tuzemské - lékaři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</si>
  <si>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</si>
  <si>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</si>
  <si>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</si>
  <si>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</si>
  <si>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</si>
  <si>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</si>
  <si>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558     Náklady z drobného dlouhodobého majetku</t>
  </si>
  <si>
    <t>55801     DDHM zdravotnický a laboratorní</t>
  </si>
  <si>
    <t>55801001     DDHM - zdravotnické přístroje (sk.N_525)</t>
  </si>
  <si>
    <t>55805     DDHM - inventář</t>
  </si>
  <si>
    <t>55805002     DDHM - nábytek (sk.V_31)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</si>
  <si>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</si>
  <si>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</si>
  <si>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</si>
  <si>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</si>
  <si>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</si>
  <si>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</si>
  <si>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</si>
  <si>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</si>
  <si>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</si>
  <si>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</si>
  <si>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</si>
  <si>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</si>
  <si>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ZP sled.položky  OZPI</t>
  </si>
  <si>
    <t>60229202     výkony pojišť.EHS, výkony za cizinci (mimo EHS)</t>
  </si>
  <si>
    <t>60229290     výkony pojištěncům EHS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</si>
  <si>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</si>
  <si>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</si>
  <si>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</si>
  <si>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</si>
  <si>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ZP za zdrav.péči - paušál</t>
  </si>
  <si>
    <t>60246     Dorovnání péče ZP - min.let         OZPI</t>
  </si>
  <si>
    <t>60246400     tržby VZP za zdrav.péči - dorovnání min.let</t>
  </si>
  <si>
    <t>60246401     tržby 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</si>
  <si>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</si>
  <si>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</si>
  <si>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</si>
  <si>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</si>
  <si>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</si>
  <si>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</si>
  <si>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</si>
  <si>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</si>
  <si>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64924450     poštovné, balné za odeslání</t>
  </si>
  <si>
    <t>64924459     školení, stáže, odb. semináře, konference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</si>
  <si>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</si>
  <si>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</si>
  <si>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</si>
  <si>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</si>
  <si>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</si>
  <si>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</si>
  <si>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</si>
  <si>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</si>
  <si>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79903003     výkony dopravy - nákladní</t>
  </si>
  <si>
    <t>79905     Distribuce prádle (stř.9412)</t>
  </si>
  <si>
    <t>79905001     režie - distribuce prádla (stř.9412)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</si>
  <si>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</si>
  <si>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</si>
  <si>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</si>
  <si>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</si>
  <si>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</si>
  <si>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</si>
  <si>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</si>
  <si>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</si>
  <si>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</si>
  <si>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</si>
  <si>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</si>
  <si>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</si>
  <si>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</si>
  <si>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19</t>
  </si>
  <si>
    <t>PRAC: Klinika pracovního lékařství</t>
  </si>
  <si>
    <t/>
  </si>
  <si>
    <t>50113001 - léky - paušál (LEK)</t>
  </si>
  <si>
    <t>50113190 - léky - medicinální plyny (sklad SVM)</t>
  </si>
  <si>
    <t>PRAC: Klinika pracovního lékařství Celkem</t>
  </si>
  <si>
    <t>SumaKL</t>
  </si>
  <si>
    <t>1921</t>
  </si>
  <si>
    <t>PRAC: ambulance</t>
  </si>
  <si>
    <t>PRAC: ambulance Celkem</t>
  </si>
  <si>
    <t>SumaNS</t>
  </si>
  <si>
    <t>mezeraNS</t>
  </si>
  <si>
    <t>1923</t>
  </si>
  <si>
    <t>PRAC: ambulance - Centrum očkování</t>
  </si>
  <si>
    <t>PRAC: ambulance - Centrum očkování Celkem</t>
  </si>
  <si>
    <t>1922</t>
  </si>
  <si>
    <t>PRAC: ambulance - péče o zaměstnance FNO</t>
  </si>
  <si>
    <t>PRAC: ambulance - péče o zaměstnance FNO Celkem</t>
  </si>
  <si>
    <t>léky - paušál (LEK)</t>
  </si>
  <si>
    <t>O</t>
  </si>
  <si>
    <t>ADRENALIN LECIVA</t>
  </si>
  <si>
    <t>INJ 5X1ML/1MG</t>
  </si>
  <si>
    <t>APAURIN</t>
  </si>
  <si>
    <t>INJ 10X2ML/10MG</t>
  </si>
  <si>
    <t>ATROPIN BIOTIKA 1MG</t>
  </si>
  <si>
    <t>INJ 10X1ML/1MG</t>
  </si>
  <si>
    <t>BUPIVACAINE ACCORD</t>
  </si>
  <si>
    <t>5MG/ML INJ SOL 1X20ML</t>
  </si>
  <si>
    <t>GUAJACURAN « 5 % INJ</t>
  </si>
  <si>
    <t>HYDROCORTISON VALEANT 100 MG-výpadek</t>
  </si>
  <si>
    <t>INJ PLV SOL 10X100MG</t>
  </si>
  <si>
    <t>CHLORID SODNÝ 0,9% BRAUN</t>
  </si>
  <si>
    <t>INF SOL 20X100MLPELAH</t>
  </si>
  <si>
    <t>INJ PROCAINII CHLORATI 0,2% ARD 10x200ml</t>
  </si>
  <si>
    <t>2MG/ML INJ SOL 10X200ML</t>
  </si>
  <si>
    <t>KL EKG GEL 100G</t>
  </si>
  <si>
    <t>KL GLUCOSUM 75g</t>
  </si>
  <si>
    <t>KL PRIPRAVEK</t>
  </si>
  <si>
    <t>KL SOL.AC.ACETICI 2% 1000g</t>
  </si>
  <si>
    <t>MAGNESIUM SULFURICUM BBP 10%</t>
  </si>
  <si>
    <t>INJ 5X10ML 10%</t>
  </si>
  <si>
    <t>MESOCAIN</t>
  </si>
  <si>
    <t>GEL 1X20GM</t>
  </si>
  <si>
    <t>NATRIUM SALICYLICUM BIOTIKA</t>
  </si>
  <si>
    <t>INJ 10X10ML 10%</t>
  </si>
  <si>
    <t>NITROGLYCERIN-SLOVAKOFARMA</t>
  </si>
  <si>
    <t>0,5MG TBL SLG 20</t>
  </si>
  <si>
    <t>P</t>
  </si>
  <si>
    <t>NOVALGIN</t>
  </si>
  <si>
    <t>INJ 10X2ML/1000MG</t>
  </si>
  <si>
    <t>VITAMIN B12 LECIVA 1000RG</t>
  </si>
  <si>
    <t>INJ 5X1ML/1000RG</t>
  </si>
  <si>
    <t>M-M-RVAXPRO</t>
  </si>
  <si>
    <t>INJ PLQ SUS ISP 1+1X(0,5ML+2J)ISPIII</t>
  </si>
  <si>
    <t>PRIORIX</t>
  </si>
  <si>
    <t>INJ PSO LQF 1X1DÁV</t>
  </si>
  <si>
    <t>AVAXIM</t>
  </si>
  <si>
    <t>INJ SUS 1X0.5ML-STŘ</t>
  </si>
  <si>
    <t>BEXSERO</t>
  </si>
  <si>
    <t>INJ SUS 1X0.5ML+JEH</t>
  </si>
  <si>
    <t>BOOSTRIX INJ. STŘÍKAČKA</t>
  </si>
  <si>
    <t>INJ SUS 1X1DÁV</t>
  </si>
  <si>
    <t>ENCEPUR PRO DOSPĚLÉ</t>
  </si>
  <si>
    <t>ENGERIX-B 20 MCG</t>
  </si>
  <si>
    <t>INJ SUS 1X1ML/20RG</t>
  </si>
  <si>
    <t>FSME-IMMUN 0,5 ML</t>
  </si>
  <si>
    <t>INJ SUS ISP 1X0,5ML+JX0,5ML</t>
  </si>
  <si>
    <t>GARDASIL 9</t>
  </si>
  <si>
    <t>INJ SUS ISP 1X0,5ML+2J</t>
  </si>
  <si>
    <t>INFLUVAC TETRA</t>
  </si>
  <si>
    <t>INJ SUS ISP 1X0,5ML+J</t>
  </si>
  <si>
    <t>NIMENRIX 5 MCG</t>
  </si>
  <si>
    <t>INJ PSO LQF 1+1X1.25ML</t>
  </si>
  <si>
    <t>STAMARIL</t>
  </si>
  <si>
    <t>INJ PLQ SUS ISP 1+0,5ML ISP+PJ</t>
  </si>
  <si>
    <t>STAMARIL PASTEUR</t>
  </si>
  <si>
    <t>INJ PSULQF1X1DÁV+ST</t>
  </si>
  <si>
    <t>TWINRIX ADULT</t>
  </si>
  <si>
    <t>INJSUS 1X1ML+STŘ+SJ</t>
  </si>
  <si>
    <t>TYPHIM VI(TYPHOIDE POLYS.VACC.)</t>
  </si>
  <si>
    <t>INJ 1X0.5ML/DAV+STR</t>
  </si>
  <si>
    <t>VARILRIX</t>
  </si>
  <si>
    <t>INJ PSO LQF 1DÁV+ST2J</t>
  </si>
  <si>
    <t>VERORAB</t>
  </si>
  <si>
    <t>INJ PSU LQF 1DAV.+0.5ML ST</t>
  </si>
  <si>
    <t>1921 - PRAC: ambulance</t>
  </si>
  <si>
    <t>N02BB02 - SODNÁ SŮL METAMIZOLU</t>
  </si>
  <si>
    <t>N02BB02</t>
  </si>
  <si>
    <t>7981</t>
  </si>
  <si>
    <t>500MG/ML INJ SOL 10X2ML</t>
  </si>
  <si>
    <t>Přehled plnění pozitivního listu - spotřeba léčivých přípravků - orientační přehled</t>
  </si>
  <si>
    <t>19 - PRAC: Klinika pracovního lékařství</t>
  </si>
  <si>
    <t>1922 - PRAC: ambulance - péče o zaměstnance FNO</t>
  </si>
  <si>
    <t>1923 - PRAC: ambulance - Centrum očkování</t>
  </si>
  <si>
    <t>Klinika pracovního lékařství</t>
  </si>
  <si>
    <t>HVLP</t>
  </si>
  <si>
    <t>89301192</t>
  </si>
  <si>
    <t>Všeobecná ambulance Celkem</t>
  </si>
  <si>
    <t>Klinika pracovního lékařství Celkem</t>
  </si>
  <si>
    <t>* Legenda</t>
  </si>
  <si>
    <t>DIAPZT = Pomůcky pro diabetiky, jejichž název začíná slovem "Pumpa"</t>
  </si>
  <si>
    <t>Boriková Alena</t>
  </si>
  <si>
    <t>Holá Jaroslava</t>
  </si>
  <si>
    <t>Nakládalová Marie</t>
  </si>
  <si>
    <t>Vildová Helena</t>
  </si>
  <si>
    <t>AZITHROMYCIN</t>
  </si>
  <si>
    <t>45010</t>
  </si>
  <si>
    <t>AZITROMYCIN SANDOZ</t>
  </si>
  <si>
    <t>500MG TBL FLM 3</t>
  </si>
  <si>
    <t>DEXAMETHASON A ANTIINFEKTIVA</t>
  </si>
  <si>
    <t>2546</t>
  </si>
  <si>
    <t>MAXITROL</t>
  </si>
  <si>
    <t>OPH GTT SUS 1X5ML</t>
  </si>
  <si>
    <t>ERDOSTEIN</t>
  </si>
  <si>
    <t>87076</t>
  </si>
  <si>
    <t>ERDOMED</t>
  </si>
  <si>
    <t>300MG CPS DUR 20</t>
  </si>
  <si>
    <t>JINÁ ANTIBIOTIKA PRO LOKÁLNÍ APLIKACI</t>
  </si>
  <si>
    <t>201970</t>
  </si>
  <si>
    <t>PAMYCON NA PŘÍPRAVU KAPEK</t>
  </si>
  <si>
    <t>33000IU/2500IU DRM PLV SOL 1</t>
  </si>
  <si>
    <t>KYANOKOBALAMIN</t>
  </si>
  <si>
    <t>643</t>
  </si>
  <si>
    <t>VITAMIN B12 LÉČIVA</t>
  </si>
  <si>
    <t>1000MCG INJ SOL 5X1ML</t>
  </si>
  <si>
    <t>KYSELINA URSODEOXYCHOLOVÁ</t>
  </si>
  <si>
    <t>13808</t>
  </si>
  <si>
    <t>URSOSAN</t>
  </si>
  <si>
    <t>250MG CPS DUR 100 I</t>
  </si>
  <si>
    <t>LÉČIVA K TERAPII ONEMOCNĚNÍ JATER</t>
  </si>
  <si>
    <t>181293</t>
  </si>
  <si>
    <t>ESSENTIALE FORTE</t>
  </si>
  <si>
    <t>600MG CPS DUR 30</t>
  </si>
  <si>
    <t>PENTOXIFYLIN</t>
  </si>
  <si>
    <t>53200</t>
  </si>
  <si>
    <t>AGAPURIN</t>
  </si>
  <si>
    <t>20MG/ML INJ SOL 5X5ML</t>
  </si>
  <si>
    <t>PROGVANIL, KOMBINACE</t>
  </si>
  <si>
    <t>30690</t>
  </si>
  <si>
    <t>MALARONE</t>
  </si>
  <si>
    <t>250MG/100MG TBL FLM 12</t>
  </si>
  <si>
    <t>SILYMARIN</t>
  </si>
  <si>
    <t>19571</t>
  </si>
  <si>
    <t>LAGOSA</t>
  </si>
  <si>
    <t>TBL OBD 100</t>
  </si>
  <si>
    <t>CHOLERA, INAKTIVOVANÁ CELOBUNĚČNÁ VAKCÍNA</t>
  </si>
  <si>
    <t>28144</t>
  </si>
  <si>
    <t>DUKORAL</t>
  </si>
  <si>
    <t>POR SGE SUS 2X3ML+2X5,6G</t>
  </si>
  <si>
    <t>AMOXICILIN A  INHIBITOR BETA-LAKTAMASY</t>
  </si>
  <si>
    <t>5951</t>
  </si>
  <si>
    <t>AMOKSIKLAV 1 G</t>
  </si>
  <si>
    <t>875MG/125MG TBL FLM 14</t>
  </si>
  <si>
    <t>ACEKLOFENAK</t>
  </si>
  <si>
    <t>191729</t>
  </si>
  <si>
    <t>BIOFENAC</t>
  </si>
  <si>
    <t>100MG TBL FLM 20</t>
  </si>
  <si>
    <t>AMLODIPIN</t>
  </si>
  <si>
    <t>15378</t>
  </si>
  <si>
    <t>AGEN</t>
  </si>
  <si>
    <t>5MG TBL NOB 90</t>
  </si>
  <si>
    <t>221076</t>
  </si>
  <si>
    <t>CETIRIZIN</t>
  </si>
  <si>
    <t>66029</t>
  </si>
  <si>
    <t>ZODAC</t>
  </si>
  <si>
    <t>10MG TBL FLM 10</t>
  </si>
  <si>
    <t>DIKLOFENAK</t>
  </si>
  <si>
    <t>46621</t>
  </si>
  <si>
    <t>UNO</t>
  </si>
  <si>
    <t>150MG TBL PRO 20</t>
  </si>
  <si>
    <t>DIOSMIN, KOMBINACE</t>
  </si>
  <si>
    <t>201992</t>
  </si>
  <si>
    <t>DETRALEX</t>
  </si>
  <si>
    <t>500MG TBL FLM 120</t>
  </si>
  <si>
    <t>HYDROKORTISON-BUTYRÁT</t>
  </si>
  <si>
    <t>62047</t>
  </si>
  <si>
    <t>LOCOID LIPOCREAM 0,1%</t>
  </si>
  <si>
    <t>1MG/G CRM 30G</t>
  </si>
  <si>
    <t>1066</t>
  </si>
  <si>
    <t>FRAMYKOIN</t>
  </si>
  <si>
    <t>250IU/G+5,2MG/G UNG 10G</t>
  </si>
  <si>
    <t>KYSELINA ACETYLSALICYLOVÁ</t>
  </si>
  <si>
    <t>155782</t>
  </si>
  <si>
    <t>GODASAL</t>
  </si>
  <si>
    <t>100MG/50MG TBL NOB 100 II</t>
  </si>
  <si>
    <t>NIFUROXAZID</t>
  </si>
  <si>
    <t>214593</t>
  </si>
  <si>
    <t>ERCEFURYL 200 MG CPS.</t>
  </si>
  <si>
    <t>200MG CPS DUR 14</t>
  </si>
  <si>
    <t>NITROFURANTOIN</t>
  </si>
  <si>
    <t>207280</t>
  </si>
  <si>
    <t>FUROLIN</t>
  </si>
  <si>
    <t>100MG TBL NOB 30</t>
  </si>
  <si>
    <t>OMEPRAZOL</t>
  </si>
  <si>
    <t>157254</t>
  </si>
  <si>
    <t>OMEPRAZOL ACTAVIS</t>
  </si>
  <si>
    <t>20MG CPS ETD 30</t>
  </si>
  <si>
    <t>PITOFENON A ANALGETIKA</t>
  </si>
  <si>
    <t>176954</t>
  </si>
  <si>
    <t>ALGIFEN NEO</t>
  </si>
  <si>
    <t>500MG/ML+5MG/ML POR GTT SOL 1X50ML</t>
  </si>
  <si>
    <t>SULFAMETHOXAZOL A TRIMETHOPRIM</t>
  </si>
  <si>
    <t>3377</t>
  </si>
  <si>
    <t>BISEPTOL</t>
  </si>
  <si>
    <t>400MG/80MG TBL NOB 20</t>
  </si>
  <si>
    <t>ZOLPIDEM</t>
  </si>
  <si>
    <t>146899</t>
  </si>
  <si>
    <t>ZOLPIDEM MYLAN</t>
  </si>
  <si>
    <t>10MG TBL FLM 50</t>
  </si>
  <si>
    <t>233366</t>
  </si>
  <si>
    <t>ANTIBIOTIKA V KOMBINACI S OSTATNÍMI LÉČIVY</t>
  </si>
  <si>
    <t>1077</t>
  </si>
  <si>
    <t>OPHTHALMO-FRAMYKOIN COMP.</t>
  </si>
  <si>
    <t>OPH UNG 5G</t>
  </si>
  <si>
    <t>ATORVASTATIN</t>
  </si>
  <si>
    <t>225112</t>
  </si>
  <si>
    <t>ATORVASTATIN ACTAVIS</t>
  </si>
  <si>
    <t>20MG TBL FLM 100</t>
  </si>
  <si>
    <t>208615</t>
  </si>
  <si>
    <t>ATORVASTATIN KRKA</t>
  </si>
  <si>
    <t>20MG TBL FLM 90</t>
  </si>
  <si>
    <t>BETAXOLOL</t>
  </si>
  <si>
    <t>49909</t>
  </si>
  <si>
    <t>LOKREN</t>
  </si>
  <si>
    <t>20MG TBL FLM 28</t>
  </si>
  <si>
    <t>99600</t>
  </si>
  <si>
    <t>10MG TBL FLM 90</t>
  </si>
  <si>
    <t>225549</t>
  </si>
  <si>
    <t>500MG TBL FLM 180(2X90)</t>
  </si>
  <si>
    <t>230583</t>
  </si>
  <si>
    <t>500MG TBL FLM 180</t>
  </si>
  <si>
    <t>DOXYCYKLIN</t>
  </si>
  <si>
    <t>12738</t>
  </si>
  <si>
    <t>DOXYHEXAL</t>
  </si>
  <si>
    <t>200MG TBL NOB 20</t>
  </si>
  <si>
    <t>KLOPIDOGREL</t>
  </si>
  <si>
    <t>149480</t>
  </si>
  <si>
    <t>ZYLLT</t>
  </si>
  <si>
    <t>75MG TBL FLM 28</t>
  </si>
  <si>
    <t>149483</t>
  </si>
  <si>
    <t>75MG TBL FLM 56</t>
  </si>
  <si>
    <t>MUPIROCIN</t>
  </si>
  <si>
    <t>90778</t>
  </si>
  <si>
    <t>BACTROBAN</t>
  </si>
  <si>
    <t>20MG/G UNG 15G</t>
  </si>
  <si>
    <t>RAMIPRIL A DIURETIKA</t>
  </si>
  <si>
    <t>224816</t>
  </si>
  <si>
    <t>RAMIPRIL H ACTAVIS</t>
  </si>
  <si>
    <t>2,5MG/12,5MG TBL NOB 30</t>
  </si>
  <si>
    <t>ROSUVASTATIN</t>
  </si>
  <si>
    <t>145551</t>
  </si>
  <si>
    <t>ROSUMOP</t>
  </si>
  <si>
    <t>10MG TBL FLM 30</t>
  </si>
  <si>
    <t>145558</t>
  </si>
  <si>
    <t>10MG TBL FLM 100</t>
  </si>
  <si>
    <t>TOBRAMYCIN</t>
  </si>
  <si>
    <t>86264</t>
  </si>
  <si>
    <t>TOBREX</t>
  </si>
  <si>
    <t>3MG/ML OPH GTT SOL 1X5ML</t>
  </si>
  <si>
    <t>KYSELINA THIOKTOVÁ</t>
  </si>
  <si>
    <t>55391</t>
  </si>
  <si>
    <t>THIOGAMMA 600 ORAL</t>
  </si>
  <si>
    <t>600MG TBL FLM 30</t>
  </si>
  <si>
    <t>MULTIENZYMOVÉ PŘÍPRAVKY (LIPASA, PROTEASA APOD.)</t>
  </si>
  <si>
    <t>215172</t>
  </si>
  <si>
    <t>KREON 25 000</t>
  </si>
  <si>
    <t>25000U CPS ETD 50</t>
  </si>
  <si>
    <t>SODNÁ SŮL LEVOTHYROXINU</t>
  </si>
  <si>
    <t>187425</t>
  </si>
  <si>
    <t>LETROX</t>
  </si>
  <si>
    <t>50MCG TBL NOB 100</t>
  </si>
  <si>
    <t>ACIKLOVIR</t>
  </si>
  <si>
    <t>13704</t>
  </si>
  <si>
    <t>ZOVIRAX</t>
  </si>
  <si>
    <t>400MG TBL NOB 70</t>
  </si>
  <si>
    <t>BŘIŠNÍ TYFUS, PURIFIKOVANÝ POLYSACHARIDOVÝ ANTIGEN</t>
  </si>
  <si>
    <t>85170</t>
  </si>
  <si>
    <t>TYPHIM VI</t>
  </si>
  <si>
    <t>INJ SOL ISP 1X0,5ML</t>
  </si>
  <si>
    <t>2547</t>
  </si>
  <si>
    <t>OPH UNG 3,5G</t>
  </si>
  <si>
    <t>HEPATITIDA A, INAKTIVOVANÝ CELÝ VIRUS</t>
  </si>
  <si>
    <t>107133</t>
  </si>
  <si>
    <t>160U INJ SUS ISP 1X0,5ML</t>
  </si>
  <si>
    <t>HYDROKORTISON</t>
  </si>
  <si>
    <t>2668</t>
  </si>
  <si>
    <t>OPHTHALMO-HYDROCORTISON LÉČIVA</t>
  </si>
  <si>
    <t>5MG/G OPH UNG 5G</t>
  </si>
  <si>
    <t>JINÁ ANTIHISTAMINIKA PRO SYSTÉMOVOU APLIKACI</t>
  </si>
  <si>
    <t>2479</t>
  </si>
  <si>
    <t>DITHIADEN</t>
  </si>
  <si>
    <t>2MG TBL NOB 20</t>
  </si>
  <si>
    <t>LEVOCETIRIZIN</t>
  </si>
  <si>
    <t>124343</t>
  </si>
  <si>
    <t>CEZERA</t>
  </si>
  <si>
    <t>5MG TBL FLM 30 I</t>
  </si>
  <si>
    <t>MAKROGOL</t>
  </si>
  <si>
    <t>58827</t>
  </si>
  <si>
    <t>FORTRANS</t>
  </si>
  <si>
    <t>POR PLV SOL 4</t>
  </si>
  <si>
    <t>NIMESULID</t>
  </si>
  <si>
    <t>12891</t>
  </si>
  <si>
    <t>AULIN</t>
  </si>
  <si>
    <t>100MG TBL NOB 15</t>
  </si>
  <si>
    <t>12892</t>
  </si>
  <si>
    <t>16285</t>
  </si>
  <si>
    <t>STILNOX</t>
  </si>
  <si>
    <t>MENINGOCOCCUS A,C,Y,W-135, TETRAVAKCÍNA, PURIFIKOVANÉ POLYSA</t>
  </si>
  <si>
    <t>193236</t>
  </si>
  <si>
    <t>NIMENRIX</t>
  </si>
  <si>
    <t>INJ PSO LQF 1+1X1,25ML ISP+2J</t>
  </si>
  <si>
    <t>ŽLUTÁ ZIMNICE, ŽIVÝ ATENUOVANÝ VIRUS</t>
  </si>
  <si>
    <t>103543</t>
  </si>
  <si>
    <t>PERINDOPRIL A BISOPROLOL</t>
  </si>
  <si>
    <t>213255</t>
  </si>
  <si>
    <t>COSYREL</t>
  </si>
  <si>
    <t>5MG/5MG TBL FLM 30</t>
  </si>
  <si>
    <t>Všeobecná ambulance</t>
  </si>
  <si>
    <t>Preskripce a záchyt receptů a poukazů - orientační přehled</t>
  </si>
  <si>
    <t>Přehled plnění pozitivního listu (PL) - 
   preskripce léčivých přípravků dle objemu Kč mimo PL</t>
  </si>
  <si>
    <t>C10AA05 - ATORVASTATIN</t>
  </si>
  <si>
    <t>C08CA01 - AMLODIPIN</t>
  </si>
  <si>
    <t>N05CF02 - ZOLPIDEM</t>
  </si>
  <si>
    <t>C07AB05 - BETAXOLOL</t>
  </si>
  <si>
    <t>R06AE07 - CETIRIZIN</t>
  </si>
  <si>
    <t>J01CR02 - AMOXICILIN A  INHIBITOR BETA-LAKTAMASY</t>
  </si>
  <si>
    <t>H03AA01 - SODNÁ SŮL LEVOTHYROXINU</t>
  </si>
  <si>
    <t>B01AC04 - KLOPIDOGREL</t>
  </si>
  <si>
    <t>J01FA10 - AZITHROMYCIN</t>
  </si>
  <si>
    <t>J01CR02</t>
  </si>
  <si>
    <t>J01FA10</t>
  </si>
  <si>
    <t>C08CA01</t>
  </si>
  <si>
    <t>N05CF02</t>
  </si>
  <si>
    <t>R06AE07</t>
  </si>
  <si>
    <t>B01AC04</t>
  </si>
  <si>
    <t>C07AB05</t>
  </si>
  <si>
    <t>C10AA05</t>
  </si>
  <si>
    <t>H03AA01</t>
  </si>
  <si>
    <t>Přehled plnění PL - Preskripce léčivých přípravků - orientační přehled</t>
  </si>
  <si>
    <t>50115020 - laboratorní diagnostika-LEK (Z501)</t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</si>
  <si>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</si>
  <si>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</si>
  <si>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</si>
  <si>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</si>
  <si>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</si>
  <si>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50115020</t>
  </si>
  <si>
    <t>laboratorní diagnostika-LEK (Z501)</t>
  </si>
  <si>
    <t>DG211</t>
  </si>
  <si>
    <t>HEPTAPHAN, DIAG.PROUZKY 50 ks</t>
  </si>
  <si>
    <t>50115050</t>
  </si>
  <si>
    <t>obvazový materiál (Z502)</t>
  </si>
  <si>
    <t>ZB404</t>
  </si>
  <si>
    <t>NĂˇplast cosmos 8 cm x 1 m 5403353</t>
  </si>
  <si>
    <t>ZI558</t>
  </si>
  <si>
    <t>NĂˇplast curapor   7 x   5 cm 32912  (22120,  nĂˇhrada za cosmopor )</t>
  </si>
  <si>
    <t>ZI599</t>
  </si>
  <si>
    <t>NĂˇplast curapor 10 x   8 cm 32913 ( 22121,  nĂˇhrada za cosmopor )</t>
  </si>
  <si>
    <t>ZI600</t>
  </si>
  <si>
    <t>NĂˇplast curapor 10 x 15 cm 32914 ( nĂˇhrada za cosmopor )</t>
  </si>
  <si>
    <t>ZA318</t>
  </si>
  <si>
    <t>NĂˇplast transpore 1,25 cm x 9,14 m 1527-0</t>
  </si>
  <si>
    <t>Náplast cosmos 8 cm x 1 m 5403353</t>
  </si>
  <si>
    <t>Náplast curapor   7 x   5 cm 32912  (22120,  náhrada za cosmopor )</t>
  </si>
  <si>
    <t>Náplast curapor 10 x   8 cm 32913 ( 22121,  náhrada za cosmopor )</t>
  </si>
  <si>
    <t>Náplast transpore 1,25 cm x 9,14 m 1527-0</t>
  </si>
  <si>
    <t>ZA446</t>
  </si>
  <si>
    <t>Vata buniÄŤitĂˇ pĹ™Ă­Ĺ™ezy 20 x 30 cm 1230200129</t>
  </si>
  <si>
    <t>ZQ569</t>
  </si>
  <si>
    <t>Vata buničitá dělená cellin 2 role / 500 ks 40 x 50 mm 1230206310</t>
  </si>
  <si>
    <t>Vata buničitá přířezy 20 x 30 cm 1230200129</t>
  </si>
  <si>
    <t>50115060</t>
  </si>
  <si>
    <t>ZPr - ostatní (Z503)</t>
  </si>
  <si>
    <t>ZB771</t>
  </si>
  <si>
    <t>DrĹľĂˇk jehly zĂˇkladnĂ­ 450201</t>
  </si>
  <si>
    <t>Držák jehly základní 450201</t>
  </si>
  <si>
    <t>ZB724</t>
  </si>
  <si>
    <t>KapilĂˇra sedimentaÄŤnĂ­ kalibrovanĂˇ 727111</t>
  </si>
  <si>
    <t>Kapilára sedimentační kalibrovaná 727111</t>
  </si>
  <si>
    <t>ZG466</t>
  </si>
  <si>
    <t>NĂˇĂşstek papĂ­rovĂ˝ pro spirometr 26/24 flowscreen bal. Ăˇ 100 ks 400847690</t>
  </si>
  <si>
    <t>ZE159</t>
  </si>
  <si>
    <t>NĂˇdoba na kontaminovanĂ˝ odpad 2 l 15-0003</t>
  </si>
  <si>
    <t>ZF159</t>
  </si>
  <si>
    <t>Nádoba na kontaminovaný odpad 1 l 15-0002</t>
  </si>
  <si>
    <t>Nádoba na kontaminovaný odpad 2 l 15-0003</t>
  </si>
  <si>
    <t>ZL105</t>
  </si>
  <si>
    <t>Nástavec pro odběr moče ke zkumavce vacuete 450251</t>
  </si>
  <si>
    <t>Náústek papírový pro spirometr 26/24 flowscreen bal. á 100 ks 400847690</t>
  </si>
  <si>
    <t>ZA788</t>
  </si>
  <si>
    <t>Stříkačka injekční 2-dílná 20 ml L Inject Solo 4606205V</t>
  </si>
  <si>
    <t>ZB756</t>
  </si>
  <si>
    <t>Zkumavka 3 ml K3 edta fialová 454086</t>
  </si>
  <si>
    <t>Zkumavka 3 ml K3 edta fialovĂˇ 454086</t>
  </si>
  <si>
    <t>ZB754</t>
  </si>
  <si>
    <t>Zkumavka ÄŤernĂˇ 2 ml 454073</t>
  </si>
  <si>
    <t>ZB777</t>
  </si>
  <si>
    <t>Zkumavka ÄŤervenĂˇ 3,5 ml gel 454071</t>
  </si>
  <si>
    <t>ZB761</t>
  </si>
  <si>
    <t>Zkumavka ÄŤervenĂˇ 4 ml 454092</t>
  </si>
  <si>
    <t>Zkumavka černá 2 ml 454073</t>
  </si>
  <si>
    <t>Zkumavka červená 3,5 ml gel 454071</t>
  </si>
  <si>
    <t>Zkumavka červená 4 ml 454092</t>
  </si>
  <si>
    <t>ZB774</t>
  </si>
  <si>
    <t>Zkumavka červená 5 ml gel 456071</t>
  </si>
  <si>
    <t>ZB762</t>
  </si>
  <si>
    <t>Zkumavka červená 6 ml 456092</t>
  </si>
  <si>
    <t>ZB775</t>
  </si>
  <si>
    <t>Zkumavka koagulace modrá Quick 4 ml modrá 454329</t>
  </si>
  <si>
    <t>Zkumavka koagulace modrĂˇ Quick 4 ml modrĂˇ 454329</t>
  </si>
  <si>
    <t>ZG515</t>
  </si>
  <si>
    <t>Zkumavka moÄŤovĂˇ vacuette 10,5 ml bal. Ăˇ 50 ks 455007</t>
  </si>
  <si>
    <t>ZI182</t>
  </si>
  <si>
    <t>Zkumavka močová + aplikátor s chem.stabilizátorem UriSwab žlutá 802CE.A</t>
  </si>
  <si>
    <t>Zkumavka močová vacuette 10,5 ml bal. á 50 ks 455007</t>
  </si>
  <si>
    <t>ZB533</t>
  </si>
  <si>
    <t>Zkumavka na kovy 6 ml 456080</t>
  </si>
  <si>
    <t>ZI179</t>
  </si>
  <si>
    <t>Zkumavka s mediem+ flovakovaný tampon eSwab růžový nos,krk,vagina,konečník,rány,fekální vzo) 490CE.A</t>
  </si>
  <si>
    <t>ZB773</t>
  </si>
  <si>
    <t>Zkumavka šedá-glykemie 454085</t>
  </si>
  <si>
    <t>ZB776</t>
  </si>
  <si>
    <t>Zkumavka zelená 3 ml 454082</t>
  </si>
  <si>
    <t>ZB764</t>
  </si>
  <si>
    <t>Zkumavka zelená 4 ml 454051</t>
  </si>
  <si>
    <t>50115063</t>
  </si>
  <si>
    <t>ZPr - vaky, sety (Z528)</t>
  </si>
  <si>
    <t>ZA715</t>
  </si>
  <si>
    <t>Set infuznĂ­ intrafix primeline classic 150 cm 4062957</t>
  </si>
  <si>
    <t>Set infuzní intrafix primeline classic 150 cm 4062957</t>
  </si>
  <si>
    <t>50115065</t>
  </si>
  <si>
    <t>ZPr - vpichovací materiál (Z530)</t>
  </si>
  <si>
    <t>ZB556</t>
  </si>
  <si>
    <t>Jehla injekÄŤnĂ­ 1,2 x 40 mm rĹŻĹľovĂˇ 4665120</t>
  </si>
  <si>
    <t>Jehla injekční 1,2 x 40 mm růžová 4665120</t>
  </si>
  <si>
    <t>ZA360</t>
  </si>
  <si>
    <t>Jehla sterican 0,5 x 25 mm oranĹľovĂˇ 9186158</t>
  </si>
  <si>
    <t>Jehla sterican 0,5 x 25 mm oranžová 9186158</t>
  </si>
  <si>
    <t>ZB768</t>
  </si>
  <si>
    <t>Jehla vakuová 216/38 mm zelená 450076</t>
  </si>
  <si>
    <t>Jehla vakuovĂˇ 216/38 mm zelenĂˇ 450076</t>
  </si>
  <si>
    <t>50115067</t>
  </si>
  <si>
    <t>ZPr - rukavice (Z532)</t>
  </si>
  <si>
    <t>ZP948</t>
  </si>
  <si>
    <t>Rukavice vyšetřovací nitril basic bez pudru modré L bal. á 200 ks 44752</t>
  </si>
  <si>
    <t>ZP947</t>
  </si>
  <si>
    <t>Rukavice vyšetřovací nitril basic bez pudru modré M bal. á 200 ks 44751</t>
  </si>
  <si>
    <t>ZA547</t>
  </si>
  <si>
    <t>KrytĂ­ inadine nepĹ™ilnavĂ© 9,5 x 9,5 cm 1/10 SYS01512EE</t>
  </si>
  <si>
    <t>ZH011</t>
  </si>
  <si>
    <t>NĂˇplast micropore 1,25 cm x 9,14 m bal. Ăˇ 24 ks 1530-0</t>
  </si>
  <si>
    <t>Vata buniÄŤitĂˇ dÄ›lenĂˇ cellin 2 role / 500 ks 40 x 50 mm 1230206310</t>
  </si>
  <si>
    <t>ZD903</t>
  </si>
  <si>
    <t>Kontejner+ lopatka 30 ml nesterilní FLME25133</t>
  </si>
  <si>
    <t>ZA728</t>
  </si>
  <si>
    <t>Lopatka ústní dřevěná lékařská nesterilní bal. á 100 ks 1320100655</t>
  </si>
  <si>
    <t>NĂˇdoba na kontaminovanĂ˝ odpad 1 l 15-0002</t>
  </si>
  <si>
    <t>NĂˇstavec pro odbÄ›r moÄŤe ke zkumavce vacuete 450251</t>
  </si>
  <si>
    <t>ZR397</t>
  </si>
  <si>
    <t>StĹ™Ă­kaÄŤka injekÄŤnĂ­ 2-dĂ­lnĂˇ 10 ml L DISCARDIT LE 309110</t>
  </si>
  <si>
    <t>ZR398</t>
  </si>
  <si>
    <t>StĹ™Ă­kaÄŤka injekÄŤnĂ­ 2-dĂ­lnĂˇ 20 ml L DISCARDIT LE bal. Ăˇ 80 ks 300296</t>
  </si>
  <si>
    <t>StĹ™Ă­kaÄŤka injekÄŤnĂ­ 2-dĂ­lnĂˇ 20 ml L Inject Solo 4606205V - nahrazuje ZR398</t>
  </si>
  <si>
    <t>ZR396</t>
  </si>
  <si>
    <t>StĹ™Ă­kaÄŤka injekÄŤnĂ­ 2-dĂ­lnĂˇ 5 ml L DISCARDIT LE 309050</t>
  </si>
  <si>
    <t>ZP300</t>
  </si>
  <si>
    <t>Škrtidlo se sponou pro dospělé bez latexu modré délka 400 mm 09820-B</t>
  </si>
  <si>
    <t>ZR260</t>
  </si>
  <si>
    <t>Vzduchovod nosnĂ­ 7,0 mm 43.008.03.070</t>
  </si>
  <si>
    <t>ZB759</t>
  </si>
  <si>
    <t>Zkumavka červená 8 ml gel 455071</t>
  </si>
  <si>
    <t>Rukavice vyĹˇetĹ™ovacĂ­ nitril basic bez pudru modrĂ© L bal. Ăˇ 200 ks 44752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</si>
  <si>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</si>
  <si>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</si>
  <si>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</si>
  <si>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</si>
  <si>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</si>
  <si>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</si>
  <si>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</si>
  <si>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</si>
  <si>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</si>
  <si>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</si>
  <si>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</si>
  <si>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</si>
  <si>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ON Data</t>
  </si>
  <si>
    <t>lékaři pod odborným dozorem</t>
  </si>
  <si>
    <t>lékaři pod odborným dohledem</t>
  </si>
  <si>
    <t>lékaři specialisté</t>
  </si>
  <si>
    <t>všeobecné sestry bez dohl.</t>
  </si>
  <si>
    <t>všeobecné sestry bez dohl., spec.</t>
  </si>
  <si>
    <t>všeobecné sestry VŠ</t>
  </si>
  <si>
    <t>praktické sestry</t>
  </si>
  <si>
    <t>THP</t>
  </si>
  <si>
    <t>Specializovaná ambulantní péče</t>
  </si>
  <si>
    <t>401 - Pracoviště pracovního lékařství</t>
  </si>
  <si>
    <t>902 - Samostatné pracoviště fyzioterapeutů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</si>
  <si>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</si>
  <si>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</si>
  <si>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</si>
  <si>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</si>
  <si>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</si>
  <si>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Křibská Michaela</t>
  </si>
  <si>
    <t>Radiměřská Dagmar</t>
  </si>
  <si>
    <t>Štěpánek Ladislav</t>
  </si>
  <si>
    <t>Zdravotní výkony vykázané na pracovišti v rámci ambulantní péče dle lékařů *</t>
  </si>
  <si>
    <t>06</t>
  </si>
  <si>
    <t>401</t>
  </si>
  <si>
    <t>1</t>
  </si>
  <si>
    <t>0000498</t>
  </si>
  <si>
    <t>MAGNESIUM SULFURICUM BIOTIKA</t>
  </si>
  <si>
    <t>0000527</t>
  </si>
  <si>
    <t>0007981</t>
  </si>
  <si>
    <t>0058249</t>
  </si>
  <si>
    <t>GUAJACURAN</t>
  </si>
  <si>
    <t>0107298</t>
  </si>
  <si>
    <t>0,9% SODIUM CHLORIDE IN WATER FOR INJECTION FRESEN</t>
  </si>
  <si>
    <t>0096886</t>
  </si>
  <si>
    <t>0207313</t>
  </si>
  <si>
    <t>INJECTIO PROCAINII CHLORATI ARDEAPHARMA</t>
  </si>
  <si>
    <t>0208466</t>
  </si>
  <si>
    <t>V</t>
  </si>
  <si>
    <t>02130</t>
  </si>
  <si>
    <t>OČKOVÁNÍ V PŘÍPADECH, KDY OČKOVACÍ LÁTKA JE HRAZEN</t>
  </si>
  <si>
    <t>09127</t>
  </si>
  <si>
    <t>EKG VYŠETŘENÍ</t>
  </si>
  <si>
    <t>09511</t>
  </si>
  <si>
    <t>MINIMÁLNÍ KONTAKT LÉKAŘE S PACIENTEM</t>
  </si>
  <si>
    <t>09532</t>
  </si>
  <si>
    <t>SIGNÁLNÍ VÝKON PROHLÍDKY DISPENZARIZOVANÉ OSOBY</t>
  </si>
  <si>
    <t>09550</t>
  </si>
  <si>
    <t>SIGNÁLNÍ VÝKON - INFORMACE O VYDÁNÍ ROZHODNUTÍ O D</t>
  </si>
  <si>
    <t>09551</t>
  </si>
  <si>
    <t>SIGNÁLNÍ VÝKON - INFORMACE O VYDÁNÍ ROZHODNUTÍ O U</t>
  </si>
  <si>
    <t>12110</t>
  </si>
  <si>
    <t>FUNKČNÍ TEPENNÉ TESTY</t>
  </si>
  <si>
    <t>41023</t>
  </si>
  <si>
    <t>KONTROLNÍ VYŠETŘENÍ PRACOVNÍM LÉKAŘEM</t>
  </si>
  <si>
    <t>25213</t>
  </si>
  <si>
    <t>SPIROMETRIE (OBVYKLE METODOU PRŮTOK - OBJEM)</t>
  </si>
  <si>
    <t>09543</t>
  </si>
  <si>
    <t>Signalni kod</t>
  </si>
  <si>
    <t>09119</t>
  </si>
  <si>
    <t xml:space="preserve">ODBĚR KRVE ZE ŽÍLY U DOSPĚLÉHO NEBO DÍTĚTE NAD 10 </t>
  </si>
  <si>
    <t>09223</t>
  </si>
  <si>
    <t>INTRAVENÓZNÍ INFÚZE U DOSPĚLÉHO NEBO DÍTĚTE NAD 10</t>
  </si>
  <si>
    <t>09513</t>
  </si>
  <si>
    <t>TELEFONICKÁ KONZULTACE OŠETŘUJÍCÍHO LÉKAŘE PACIENT</t>
  </si>
  <si>
    <t>41022</t>
  </si>
  <si>
    <t>CÍLENÉ VYŠETŘENÍ PRACOVNÍM LÉKAŘEM</t>
  </si>
  <si>
    <t>09523</t>
  </si>
  <si>
    <t>EDUKAČNÍ POHOVOR LÉKAŘE S NEMOCNÝM ČI RODINOU</t>
  </si>
  <si>
    <t>09125</t>
  </si>
  <si>
    <t>PULZNÍ OXYMETRIE</t>
  </si>
  <si>
    <t>09133</t>
  </si>
  <si>
    <t>SEDIMENTACE ERYTROCYTŮ</t>
  </si>
  <si>
    <t>09115</t>
  </si>
  <si>
    <t>ODBĚR BIOLOGICKÉHO MATERIÁLU JINÉHO NEŽ KREV NA KV</t>
  </si>
  <si>
    <t>41021</t>
  </si>
  <si>
    <t>KOMPLEXNÍ VYŠETŘENÍ PRACOVNÍM LÉKAŘEM</t>
  </si>
  <si>
    <t>41040</t>
  </si>
  <si>
    <t>POSOUZENÍ ZDRAVOTNÍHO STAVU Z HLEDISKA PROFESIONÁL</t>
  </si>
  <si>
    <t>41050</t>
  </si>
  <si>
    <t>PRSTOVÁ PLETYSMOGRAFIE ZÁTĚŽOVÁ</t>
  </si>
  <si>
    <t>11</t>
  </si>
  <si>
    <t>902</t>
  </si>
  <si>
    <t>21115</t>
  </si>
  <si>
    <t>FYZIKÁLNÍ TERAPIE III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</si>
  <si>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</si>
  <si>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</si>
  <si>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03 - 3IK: III. Interní klinika-nefrol.revm.a endokrin.</t>
  </si>
  <si>
    <t>10 - DK: Dětská klinika</t>
  </si>
  <si>
    <t>16 - PLIC: Klinika plicních nemocí a tuber.</t>
  </si>
  <si>
    <t>03</t>
  </si>
  <si>
    <t>10</t>
  </si>
  <si>
    <t>16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</si>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</sst>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3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71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51" fillId="4" borderId="60" xfId="1" applyFont="1" applyFill="1" applyBorder="1" applyAlignment="1">
      <alignment horizontal="left"/>
    </xf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6" xfId="0" applyNumberFormat="1" applyFont="1" applyBorder="1" applyAlignment="1">
      <alignment horizontal="right" vertical="center"/>
    </xf>
    <xf numFmtId="173" fontId="40" fillId="0" borderId="106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8" xfId="0" applyNumberFormat="1" applyFont="1" applyBorder="1" applyAlignment="1">
      <alignment vertical="center"/>
    </xf>
    <xf numFmtId="174" fontId="40" fillId="0" borderId="109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100" xfId="0" applyNumberFormat="1" applyFont="1" applyBorder="1" applyAlignment="1">
      <alignment vertical="center"/>
    </xf>
    <xf numFmtId="0" fontId="33" fillId="0" borderId="107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5" xfId="0" applyNumberFormat="1" applyFont="1" applyFill="1" applyBorder="1"/>
    <xf numFmtId="3" fontId="0" fillId="7" borderId="75" xfId="0" applyNumberFormat="1" applyFont="1" applyFill="1" applyBorder="1"/>
    <xf numFmtId="0" fontId="0" fillId="0" borderId="116" xfId="0" applyNumberFormat="1" applyFont="1" applyBorder="1"/>
    <xf numFmtId="3" fontId="0" fillId="0" borderId="117" xfId="0" applyNumberFormat="1" applyFont="1" applyBorder="1"/>
    <xf numFmtId="0" fontId="0" fillId="7" borderId="116" xfId="0" applyNumberFormat="1" applyFont="1" applyFill="1" applyBorder="1"/>
    <xf numFmtId="3" fontId="0" fillId="7" borderId="117" xfId="0" applyNumberFormat="1" applyFont="1" applyFill="1" applyBorder="1"/>
    <xf numFmtId="0" fontId="54" fillId="8" borderId="116" xfId="0" applyNumberFormat="1" applyFont="1" applyFill="1" applyBorder="1"/>
    <xf numFmtId="3" fontId="54" fillId="8" borderId="117" xfId="0" applyNumberFormat="1" applyFont="1" applyFill="1" applyBorder="1"/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7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10" xfId="0" applyFont="1" applyBorder="1" applyAlignment="1">
      <alignment horizontal="center" vertical="center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111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5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3" xfId="0" applyNumberFormat="1" applyFont="1" applyFill="1" applyBorder="1" applyAlignment="1">
      <alignment horizontal="center" vertical="center" wrapText="1"/>
    </xf>
    <xf numFmtId="168" fontId="56" fillId="2" borderId="111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5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4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4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5" xfId="0" applyNumberFormat="1" applyFont="1" applyFill="1" applyBorder="1" applyAlignment="1">
      <alignment horizontal="center" vertical="center" wrapText="1"/>
    </xf>
    <xf numFmtId="0" fontId="40" fillId="2" borderId="112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4" xfId="0" applyFont="1" applyFill="1" applyBorder="1" applyAlignment="1">
      <alignment horizontal="center"/>
    </xf>
    <xf numFmtId="0" fontId="56" fillId="9" borderId="113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40" fillId="4" borderId="100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7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00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3" fontId="34" fillId="10" borderId="119" xfId="0" applyNumberFormat="1" applyFont="1" applyFill="1" applyBorder="1" applyAlignment="1">
      <alignment horizontal="right" vertical="top"/>
    </xf>
    <xf numFmtId="3" fontId="34" fillId="10" borderId="120" xfId="0" applyNumberFormat="1" applyFont="1" applyFill="1" applyBorder="1" applyAlignment="1">
      <alignment horizontal="right" vertical="top"/>
    </xf>
    <xf numFmtId="177" fontId="34" fillId="10" borderId="121" xfId="0" applyNumberFormat="1" applyFont="1" applyFill="1" applyBorder="1" applyAlignment="1">
      <alignment horizontal="right" vertical="top"/>
    </xf>
    <xf numFmtId="3" fontId="34" fillId="0" borderId="119" xfId="0" applyNumberFormat="1" applyFont="1" applyBorder="1" applyAlignment="1">
      <alignment horizontal="right" vertical="top"/>
    </xf>
    <xf numFmtId="177" fontId="34" fillId="10" borderId="122" xfId="0" applyNumberFormat="1" applyFont="1" applyFill="1" applyBorder="1" applyAlignment="1">
      <alignment horizontal="right" vertical="top"/>
    </xf>
    <xf numFmtId="3" fontId="36" fillId="10" borderId="124" xfId="0" applyNumberFormat="1" applyFont="1" applyFill="1" applyBorder="1" applyAlignment="1">
      <alignment horizontal="right" vertical="top"/>
    </xf>
    <xf numFmtId="3" fontId="36" fillId="10" borderId="125" xfId="0" applyNumberFormat="1" applyFont="1" applyFill="1" applyBorder="1" applyAlignment="1">
      <alignment horizontal="right" vertical="top"/>
    </xf>
    <xf numFmtId="0" fontId="36" fillId="10" borderId="126" xfId="0" applyFont="1" applyFill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0" fontId="36" fillId="10" borderId="127" xfId="0" applyFont="1" applyFill="1" applyBorder="1" applyAlignment="1">
      <alignment horizontal="right" vertical="top"/>
    </xf>
    <xf numFmtId="0" fontId="34" fillId="10" borderId="121" xfId="0" applyFont="1" applyFill="1" applyBorder="1" applyAlignment="1">
      <alignment horizontal="right" vertical="top"/>
    </xf>
    <xf numFmtId="0" fontId="34" fillId="10" borderId="122" xfId="0" applyFont="1" applyFill="1" applyBorder="1" applyAlignment="1">
      <alignment horizontal="right" vertical="top"/>
    </xf>
    <xf numFmtId="177" fontId="36" fillId="10" borderId="126" xfId="0" applyNumberFormat="1" applyFont="1" applyFill="1" applyBorder="1" applyAlignment="1">
      <alignment horizontal="right" vertical="top"/>
    </xf>
    <xf numFmtId="177" fontId="36" fillId="10" borderId="127" xfId="0" applyNumberFormat="1" applyFont="1" applyFill="1" applyBorder="1" applyAlignment="1">
      <alignment horizontal="right" vertical="top"/>
    </xf>
    <xf numFmtId="3" fontId="36" fillId="0" borderId="128" xfId="0" applyNumberFormat="1" applyFont="1" applyBorder="1" applyAlignment="1">
      <alignment horizontal="right" vertical="top"/>
    </xf>
    <xf numFmtId="3" fontId="36" fillId="0" borderId="129" xfId="0" applyNumberFormat="1" applyFont="1" applyBorder="1" applyAlignment="1">
      <alignment horizontal="right" vertical="top"/>
    </xf>
    <xf numFmtId="0" fontId="36" fillId="0" borderId="130" xfId="0" applyFont="1" applyBorder="1" applyAlignment="1">
      <alignment horizontal="right" vertical="top"/>
    </xf>
    <xf numFmtId="177" fontId="36" fillId="10" borderId="131" xfId="0" applyNumberFormat="1" applyFont="1" applyFill="1" applyBorder="1" applyAlignment="1">
      <alignment horizontal="right" vertical="top"/>
    </xf>
    <xf numFmtId="0" fontId="38" fillId="11" borderId="118" xfId="0" applyFont="1" applyFill="1" applyBorder="1" applyAlignment="1">
      <alignment vertical="top"/>
    </xf>
    <xf numFmtId="0" fontId="38" fillId="11" borderId="118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4"/>
    </xf>
    <xf numFmtId="0" fontId="39" fillId="11" borderId="123" xfId="0" applyFont="1" applyFill="1" applyBorder="1" applyAlignment="1">
      <alignment vertical="top" indent="6"/>
    </xf>
    <xf numFmtId="0" fontId="38" fillId="11" borderId="118" xfId="0" applyFont="1" applyFill="1" applyBorder="1" applyAlignment="1">
      <alignment vertical="top" indent="8"/>
    </xf>
    <xf numFmtId="0" fontId="39" fillId="11" borderId="123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6"/>
    </xf>
    <xf numFmtId="0" fontId="39" fillId="11" borderId="123" xfId="0" applyFont="1" applyFill="1" applyBorder="1" applyAlignment="1">
      <alignment vertical="top" indent="4"/>
    </xf>
    <xf numFmtId="0" fontId="33" fillId="11" borderId="118" xfId="0" applyFont="1" applyFill="1" applyBorder="1"/>
    <xf numFmtId="0" fontId="39" fillId="11" borderId="19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08" xfId="53" applyNumberFormat="1" applyFont="1" applyFill="1" applyBorder="1" applyAlignment="1">
      <alignment horizontal="left"/>
    </xf>
    <xf numFmtId="164" fontId="32" fillId="2" borderId="132" xfId="53" applyNumberFormat="1" applyFont="1" applyFill="1" applyBorder="1" applyAlignment="1">
      <alignment horizontal="left"/>
    </xf>
    <xf numFmtId="0" fontId="32" fillId="2" borderId="132" xfId="53" applyNumberFormat="1" applyFont="1" applyFill="1" applyBorder="1" applyAlignment="1">
      <alignment horizontal="left"/>
    </xf>
    <xf numFmtId="164" fontId="32" fillId="2" borderId="106" xfId="53" applyNumberFormat="1" applyFont="1" applyFill="1" applyBorder="1" applyAlignment="1">
      <alignment horizontal="left"/>
    </xf>
    <xf numFmtId="3" fontId="32" fillId="2" borderId="106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3" fontId="33" fillId="0" borderId="132" xfId="0" applyNumberFormat="1" applyFont="1" applyFill="1" applyBorder="1"/>
    <xf numFmtId="3" fontId="33" fillId="0" borderId="107" xfId="0" applyNumberFormat="1" applyFont="1" applyFill="1" applyBorder="1"/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08" xfId="0" applyFont="1" applyFill="1" applyBorder="1"/>
    <xf numFmtId="3" fontId="40" fillId="2" borderId="109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9" fontId="33" fillId="0" borderId="132" xfId="0" applyNumberFormat="1" applyFont="1" applyFill="1" applyBorder="1"/>
    <xf numFmtId="9" fontId="33" fillId="0" borderId="79" xfId="0" applyNumberFormat="1" applyFont="1" applyFill="1" applyBorder="1"/>
    <xf numFmtId="9" fontId="33" fillId="0" borderId="82" xfId="0" applyNumberFormat="1" applyFont="1" applyFill="1" applyBorder="1"/>
    <xf numFmtId="0" fontId="33" fillId="0" borderId="20" xfId="0" applyFont="1" applyFill="1" applyBorder="1"/>
    <xf numFmtId="3" fontId="33" fillId="0" borderId="28" xfId="0" applyNumberFormat="1" applyFont="1" applyFill="1" applyBorder="1"/>
    <xf numFmtId="3" fontId="33" fillId="0" borderId="21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108" xfId="0" applyFont="1" applyFill="1" applyBorder="1"/>
    <xf numFmtId="0" fontId="33" fillId="5" borderId="11" xfId="0" applyFont="1" applyFill="1" applyBorder="1" applyAlignment="1">
      <alignment wrapText="1"/>
    </xf>
    <xf numFmtId="0" fontId="40" fillId="2" borderId="132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0" fontId="33" fillId="0" borderId="99" xfId="0" applyFont="1" applyFill="1" applyBorder="1"/>
    <xf numFmtId="0" fontId="33" fillId="0" borderId="28" xfId="0" applyFont="1" applyFill="1" applyBorder="1"/>
    <xf numFmtId="0" fontId="3" fillId="2" borderId="108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33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80" xfId="0" applyNumberFormat="1" applyFont="1" applyFill="1" applyBorder="1"/>
    <xf numFmtId="9" fontId="33" fillId="0" borderId="87" xfId="0" applyNumberFormat="1" applyFont="1" applyFill="1" applyBorder="1"/>
    <xf numFmtId="9" fontId="33" fillId="0" borderId="88" xfId="0" applyNumberFormat="1" applyFont="1" applyFill="1" applyBorder="1"/>
    <xf numFmtId="9" fontId="33" fillId="0" borderId="83" xfId="0" applyNumberFormat="1" applyFont="1" applyFill="1" applyBorder="1"/>
    <xf numFmtId="0" fontId="40" fillId="0" borderId="99" xfId="0" applyFont="1" applyFill="1" applyBorder="1"/>
    <xf numFmtId="0" fontId="40" fillId="0" borderId="114" xfId="0" applyFont="1" applyFill="1" applyBorder="1" applyAlignment="1">
      <alignment horizontal="left" indent="1"/>
    </xf>
    <xf numFmtId="0" fontId="40" fillId="0" borderId="98" xfId="0" applyFont="1" applyFill="1" applyBorder="1" applyAlignment="1">
      <alignment horizontal="left" indent="1"/>
    </xf>
    <xf numFmtId="9" fontId="33" fillId="0" borderId="134" xfId="0" applyNumberFormat="1" applyFont="1" applyFill="1" applyBorder="1"/>
    <xf numFmtId="9" fontId="33" fillId="0" borderId="89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6" xfId="0" applyNumberFormat="1" applyFont="1" applyFill="1" applyBorder="1"/>
    <xf numFmtId="3" fontId="33" fillId="0" borderId="81" xfId="0" applyNumberFormat="1" applyFont="1" applyFill="1" applyBorder="1"/>
    <xf numFmtId="9" fontId="33" fillId="0" borderId="135" xfId="0" applyNumberFormat="1" applyFont="1" applyFill="1" applyBorder="1"/>
    <xf numFmtId="9" fontId="33" fillId="0" borderId="96" xfId="0" applyNumberFormat="1" applyFont="1" applyFill="1" applyBorder="1"/>
    <xf numFmtId="9" fontId="33" fillId="0" borderId="110" xfId="0" applyNumberFormat="1" applyFont="1" applyFill="1" applyBorder="1"/>
    <xf numFmtId="9" fontId="30" fillId="0" borderId="0" xfId="0" applyNumberFormat="1" applyFont="1" applyFill="1" applyBorder="1"/>
    <xf numFmtId="0" fontId="61" fillId="0" borderId="0" xfId="0" applyFont="1" applyFill="1"/>
    <xf numFmtId="0" fontId="62" fillId="0" borderId="0" xfId="0" applyFont="1" applyFill="1"/>
    <xf numFmtId="0" fontId="40" fillId="11" borderId="99" xfId="0" applyFont="1" applyFill="1" applyBorder="1"/>
    <xf numFmtId="0" fontId="40" fillId="11" borderId="114" xfId="0" applyFont="1" applyFill="1" applyBorder="1"/>
    <xf numFmtId="0" fontId="40" fillId="11" borderId="98" xfId="0" applyFont="1" applyFill="1" applyBorder="1"/>
    <xf numFmtId="0" fontId="3" fillId="2" borderId="90" xfId="80" applyFont="1" applyFill="1" applyBorder="1"/>
    <xf numFmtId="3" fontId="33" fillId="0" borderId="135" xfId="0" applyNumberFormat="1" applyFont="1" applyFill="1" applyBorder="1"/>
    <xf numFmtId="3" fontId="33" fillId="0" borderId="96" xfId="0" applyNumberFormat="1" applyFont="1" applyFill="1" applyBorder="1"/>
    <xf numFmtId="3" fontId="33" fillId="0" borderId="110" xfId="0" applyNumberFormat="1" applyFont="1" applyFill="1" applyBorder="1"/>
    <xf numFmtId="0" fontId="33" fillId="0" borderId="114" xfId="0" applyFont="1" applyFill="1" applyBorder="1"/>
    <xf numFmtId="0" fontId="33" fillId="0" borderId="98" xfId="0" applyFont="1" applyFill="1" applyBorder="1"/>
    <xf numFmtId="3" fontId="33" fillId="0" borderId="134" xfId="0" applyNumberFormat="1" applyFont="1" applyFill="1" applyBorder="1"/>
    <xf numFmtId="3" fontId="33" fillId="0" borderId="89" xfId="0" applyNumberFormat="1" applyFont="1" applyFill="1" applyBorder="1"/>
    <xf numFmtId="3" fontId="33" fillId="0" borderId="93" xfId="0" applyNumberFormat="1" applyFont="1" applyFill="1" applyBorder="1"/>
    <xf numFmtId="0" fontId="3" fillId="2" borderId="136" xfId="79" applyFont="1" applyFill="1" applyBorder="1" applyAlignment="1">
      <alignment horizontal="left"/>
    </xf>
    <xf numFmtId="0" fontId="3" fillId="2" borderId="137" xfId="79" applyFont="1" applyFill="1" applyBorder="1" applyAlignment="1">
      <alignment horizontal="left"/>
    </xf>
    <xf numFmtId="0" fontId="3" fillId="2" borderId="138" xfId="80" applyFont="1" applyFill="1" applyBorder="1" applyAlignment="1">
      <alignment horizontal="left"/>
    </xf>
    <xf numFmtId="0" fontId="3" fillId="2" borderId="138" xfId="79" applyFont="1" applyFill="1" applyBorder="1" applyAlignment="1">
      <alignment horizontal="left"/>
    </xf>
    <xf numFmtId="0" fontId="3" fillId="2" borderId="139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140" xfId="0" applyFont="1" applyFill="1" applyBorder="1"/>
    <xf numFmtId="0" fontId="33" fillId="0" borderId="141" xfId="0" applyFont="1" applyFill="1" applyBorder="1"/>
    <xf numFmtId="0" fontId="33" fillId="0" borderId="141" xfId="0" applyFont="1" applyFill="1" applyBorder="1" applyAlignment="1">
      <alignment horizontal="right"/>
    </xf>
    <xf numFmtId="0" fontId="33" fillId="0" borderId="141" xfId="0" applyFont="1" applyFill="1" applyBorder="1" applyAlignment="1">
      <alignment horizontal="left"/>
    </xf>
    <xf numFmtId="164" fontId="33" fillId="0" borderId="141" xfId="0" applyNumberFormat="1" applyFont="1" applyFill="1" applyBorder="1"/>
    <xf numFmtId="165" fontId="33" fillId="0" borderId="141" xfId="0" applyNumberFormat="1" applyFont="1" applyFill="1" applyBorder="1"/>
    <xf numFmtId="9" fontId="33" fillId="0" borderId="141" xfId="0" applyNumberFormat="1" applyFont="1" applyFill="1" applyBorder="1"/>
    <xf numFmtId="9" fontId="33" fillId="0" borderId="142" xfId="0" applyNumberFormat="1" applyFont="1" applyFill="1" applyBorder="1"/>
    <xf numFmtId="0" fontId="33" fillId="0" borderId="143" xfId="0" applyFont="1" applyFill="1" applyBorder="1"/>
    <xf numFmtId="0" fontId="33" fillId="0" borderId="144" xfId="0" applyFont="1" applyFill="1" applyBorder="1"/>
    <xf numFmtId="0" fontId="33" fillId="0" borderId="144" xfId="0" applyFont="1" applyFill="1" applyBorder="1" applyAlignment="1">
      <alignment horizontal="right"/>
    </xf>
    <xf numFmtId="0" fontId="33" fillId="0" borderId="144" xfId="0" applyFont="1" applyFill="1" applyBorder="1" applyAlignment="1">
      <alignment horizontal="left"/>
    </xf>
    <xf numFmtId="164" fontId="33" fillId="0" borderId="144" xfId="0" applyNumberFormat="1" applyFont="1" applyFill="1" applyBorder="1"/>
    <xf numFmtId="165" fontId="33" fillId="0" borderId="144" xfId="0" applyNumberFormat="1" applyFont="1" applyFill="1" applyBorder="1"/>
    <xf numFmtId="9" fontId="33" fillId="0" borderId="144" xfId="0" applyNumberFormat="1" applyFont="1" applyFill="1" applyBorder="1"/>
    <xf numFmtId="9" fontId="33" fillId="0" borderId="145" xfId="0" applyNumberFormat="1" applyFont="1" applyFill="1" applyBorder="1"/>
    <xf numFmtId="0" fontId="40" fillId="2" borderId="55" xfId="0" applyFont="1" applyFill="1" applyBorder="1"/>
    <xf numFmtId="3" fontId="33" fillId="0" borderId="26" xfId="0" applyNumberFormat="1" applyFont="1" applyFill="1" applyBorder="1"/>
    <xf numFmtId="3" fontId="33" fillId="0" borderId="141" xfId="0" applyNumberFormat="1" applyFont="1" applyFill="1" applyBorder="1"/>
    <xf numFmtId="3" fontId="33" fillId="0" borderId="142" xfId="0" applyNumberFormat="1" applyFont="1" applyFill="1" applyBorder="1"/>
    <xf numFmtId="3" fontId="33" fillId="0" borderId="144" xfId="0" applyNumberFormat="1" applyFont="1" applyFill="1" applyBorder="1"/>
    <xf numFmtId="3" fontId="33" fillId="0" borderId="145" xfId="0" applyNumberFormat="1" applyFont="1" applyFill="1" applyBorder="1"/>
    <xf numFmtId="3" fontId="33" fillId="0" borderId="147" xfId="0" applyNumberFormat="1" applyFont="1" applyFill="1" applyBorder="1"/>
    <xf numFmtId="9" fontId="33" fillId="0" borderId="147" xfId="0" applyNumberFormat="1" applyFont="1" applyFill="1" applyBorder="1"/>
    <xf numFmtId="3" fontId="33" fillId="0" borderId="148" xfId="0" applyNumberFormat="1" applyFont="1" applyFill="1" applyBorder="1"/>
    <xf numFmtId="0" fontId="40" fillId="0" borderId="25" xfId="0" applyFont="1" applyFill="1" applyBorder="1"/>
    <xf numFmtId="0" fontId="40" fillId="0" borderId="140" xfId="0" applyFont="1" applyFill="1" applyBorder="1"/>
    <xf numFmtId="0" fontId="40" fillId="0" borderId="146" xfId="0" applyFont="1" applyFill="1" applyBorder="1"/>
    <xf numFmtId="0" fontId="40" fillId="2" borderId="57" xfId="0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164" fontId="33" fillId="0" borderId="141" xfId="0" applyNumberFormat="1" applyFont="1" applyFill="1" applyBorder="1" applyAlignment="1">
      <alignment horizontal="right"/>
    </xf>
    <xf numFmtId="164" fontId="33" fillId="0" borderId="144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141" xfId="0" applyNumberFormat="1" applyBorder="1"/>
    <xf numFmtId="9" fontId="0" fillId="0" borderId="141" xfId="0" applyNumberFormat="1" applyBorder="1"/>
    <xf numFmtId="9" fontId="0" fillId="0" borderId="142" xfId="0" applyNumberFormat="1" applyBorder="1"/>
    <xf numFmtId="169" fontId="0" fillId="0" borderId="144" xfId="0" applyNumberFormat="1" applyBorder="1"/>
    <xf numFmtId="9" fontId="0" fillId="0" borderId="144" xfId="0" applyNumberFormat="1" applyBorder="1"/>
    <xf numFmtId="9" fontId="0" fillId="0" borderId="145" xfId="0" applyNumberFormat="1" applyBorder="1"/>
    <xf numFmtId="0" fontId="60" fillId="0" borderId="140" xfId="0" applyFont="1" applyBorder="1" applyAlignment="1">
      <alignment horizontal="left" indent="1"/>
    </xf>
    <xf numFmtId="0" fontId="60" fillId="0" borderId="143" xfId="0" applyFont="1" applyBorder="1" applyAlignment="1">
      <alignment horizontal="left" indent="1"/>
    </xf>
    <xf numFmtId="0" fontId="60" fillId="4" borderId="140" xfId="0" applyFont="1" applyFill="1" applyBorder="1" applyAlignment="1">
      <alignment horizontal="left"/>
    </xf>
    <xf numFmtId="169" fontId="60" fillId="4" borderId="141" xfId="0" applyNumberFormat="1" applyFont="1" applyFill="1" applyBorder="1"/>
    <xf numFmtId="9" fontId="60" fillId="4" borderId="141" xfId="0" applyNumberFormat="1" applyFont="1" applyFill="1" applyBorder="1"/>
    <xf numFmtId="9" fontId="60" fillId="4" borderId="142" xfId="0" applyNumberFormat="1" applyFont="1" applyFill="1" applyBorder="1"/>
    <xf numFmtId="0" fontId="32" fillId="2" borderId="17" xfId="26" applyNumberFormat="1" applyFont="1" applyFill="1" applyBorder="1"/>
    <xf numFmtId="169" fontId="33" fillId="0" borderId="30" xfId="0" applyNumberFormat="1" applyFont="1" applyFill="1" applyBorder="1"/>
    <xf numFmtId="169" fontId="33" fillId="0" borderId="26" xfId="0" applyNumberFormat="1" applyFont="1" applyFill="1" applyBorder="1"/>
    <xf numFmtId="169" fontId="33" fillId="0" borderId="141" xfId="0" applyNumberFormat="1" applyFont="1" applyFill="1" applyBorder="1"/>
    <xf numFmtId="169" fontId="33" fillId="0" borderId="142" xfId="0" applyNumberFormat="1" applyFont="1" applyFill="1" applyBorder="1"/>
    <xf numFmtId="169" fontId="33" fillId="0" borderId="144" xfId="0" applyNumberFormat="1" applyFont="1" applyFill="1" applyBorder="1"/>
    <xf numFmtId="169" fontId="33" fillId="0" borderId="145" xfId="0" applyNumberFormat="1" applyFont="1" applyFill="1" applyBorder="1"/>
    <xf numFmtId="0" fontId="40" fillId="0" borderId="143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7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 10" xfId="83" xr:uid="{00000000-0005-0000-0000-000055000000}"/>
    <cellStyle name="Procenta 11" xfId="84" xr:uid="{00000000-0005-0000-0000-000056000000}"/>
    <cellStyle name="Procenta 2" xfId="85" xr:uid="{00000000-0005-0000-0000-000057000000}"/>
    <cellStyle name="Procenta 2 2" xfId="86" xr:uid="{00000000-0005-0000-0000-000058000000}"/>
    <cellStyle name="Procenta 2 2 2" xfId="87" xr:uid="{00000000-0005-0000-0000-000059000000}"/>
    <cellStyle name="Procenta 2 3" xfId="88" xr:uid="{00000000-0005-0000-0000-00005A000000}"/>
    <cellStyle name="Procenta 3" xfId="89" xr:uid="{00000000-0005-0000-0000-00005B000000}"/>
    <cellStyle name="Procenta 3 2" xfId="90" xr:uid="{00000000-0005-0000-0000-00005C000000}"/>
    <cellStyle name="Procenta 4" xfId="91" xr:uid="{00000000-0005-0000-0000-00005D000000}"/>
    <cellStyle name="Procenta 5" xfId="92" xr:uid="{00000000-0005-0000-0000-00005E000000}"/>
    <cellStyle name="Procenta 6" xfId="93" xr:uid="{00000000-0005-0000-0000-00005F000000}"/>
    <cellStyle name="Procenta 7" xfId="94" xr:uid="{00000000-0005-0000-0000-000060000000}"/>
    <cellStyle name="Procenta 8" xfId="95" xr:uid="{00000000-0005-0000-0000-000061000000}"/>
    <cellStyle name="Procenta 9" xfId="96" xr:uid="{00000000-0005-0000-0000-000062000000}"/>
  </cellStyles>
  <dxfs count="105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04"/>
      <tableStyleElement type="headerRow" dxfId="103"/>
      <tableStyleElement type="totalRow" dxfId="102"/>
      <tableStyleElement type="firstColumn" dxfId="101"/>
      <tableStyleElement type="lastColumn" dxfId="100"/>
      <tableStyleElement type="firstRowStripe" dxfId="99"/>
      <tableStyleElement type="firstColumnStripe" dxfId="98"/>
    </tableStyle>
    <tableStyle name="TableStyleMedium2 2" pivot="0" count="7" xr9:uid="{00000000-0011-0000-FFFF-FFFF01000000}">
      <tableStyleElement type="wholeTable" dxfId="97"/>
      <tableStyleElement type="headerRow" dxfId="96"/>
      <tableStyleElement type="totalRow" dxfId="95"/>
      <tableStyleElement type="firstColumn" dxfId="94"/>
      <tableStyleElement type="lastColumn" dxfId="93"/>
      <tableStyleElement type="firstRowStripe" dxfId="92"/>
      <tableStyleElement type="firstColumnStripe" dxfId="91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Graf'!$B$4:$J$4</c:f>
              <c:numCache>
                <c:formatCode>General</c:formatCode>
                <c:ptCount val="9"/>
                <c:pt idx="0">
                  <c:v>0.26162768499311145</c:v>
                </c:pt>
                <c:pt idx="1">
                  <c:v>0.28833448857067084</c:v>
                </c:pt>
                <c:pt idx="2">
                  <c:v>0.23606785499414809</c:v>
                </c:pt>
                <c:pt idx="3">
                  <c:v>0.23150651902164837</c:v>
                </c:pt>
                <c:pt idx="4">
                  <c:v>0.21958953068689593</c:v>
                </c:pt>
                <c:pt idx="5">
                  <c:v>0.21501124880994144</c:v>
                </c:pt>
                <c:pt idx="6">
                  <c:v>0.20230375066915959</c:v>
                </c:pt>
                <c:pt idx="7">
                  <c:v>0.201922534285259</c:v>
                </c:pt>
                <c:pt idx="8">
                  <c:v>0.20499511741418372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0.20397171193166885</c:v>
                </c:pt>
                <c:pt idx="1">
                  <c:v>0.20397171193166885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8" totalsRowShown="0" headerRowDxfId="90" tableBorderDxfId="89">
  <autoFilter ref="A7:S18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88"/>
    <tableColumn id="2" xr3:uid="{00000000-0010-0000-0000-000002000000}" name="popis" dataDxfId="87"/>
    <tableColumn id="3" xr3:uid="{00000000-0010-0000-0000-000003000000}" name="01 uv_sk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71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70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106" totalsRowShown="0">
  <autoFilter ref="C3:S106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31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29" bestFit="1" customWidth="1"/>
    <col min="2" max="2" width="102.28515625" style="129" bestFit="1" customWidth="1"/>
    <col min="3" max="3" width="16.140625" style="47" hidden="1" customWidth="1"/>
    <col min="4" max="16384" width="8.85546875" style="129"/>
  </cols>
  <sheetData>
    <row r="1" spans="1:3" ht="18.600000000000001" customHeight="1" thickBot="1" x14ac:dyDescent="0.35">
      <c r="A1" s="329" t="s">
        <v>107</v>
      </c>
      <c r="B1" s="329"/>
    </row>
    <row r="2" spans="1:3" ht="14.45" customHeight="1" thickBot="1" x14ac:dyDescent="0.25">
      <c r="A2" s="232" t="s">
        <v>270</v>
      </c>
      <c r="B2" s="46"/>
    </row>
    <row r="3" spans="1:3" ht="14.45" customHeight="1" thickBot="1" x14ac:dyDescent="0.25">
      <c r="A3" s="325" t="s">
        <v>140</v>
      </c>
      <c r="B3" s="326"/>
    </row>
    <row r="4" spans="1:3" ht="14.45" customHeight="1" x14ac:dyDescent="0.2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5" customHeight="1" x14ac:dyDescent="0.2">
      <c r="A5" s="145" t="str">
        <f t="shared" si="0"/>
        <v>HI</v>
      </c>
      <c r="B5" s="89" t="s">
        <v>136</v>
      </c>
      <c r="C5" s="47" t="s">
        <v>110</v>
      </c>
    </row>
    <row r="6" spans="1:3" ht="14.45" customHeight="1" x14ac:dyDescent="0.2">
      <c r="A6" s="146" t="str">
        <f t="shared" si="0"/>
        <v>HI Graf</v>
      </c>
      <c r="B6" s="90" t="s">
        <v>103</v>
      </c>
      <c r="C6" s="47" t="s">
        <v>111</v>
      </c>
    </row>
    <row r="7" spans="1:3" ht="14.45" customHeight="1" x14ac:dyDescent="0.2">
      <c r="A7" s="146" t="str">
        <f t="shared" si="0"/>
        <v>Man Tab</v>
      </c>
      <c r="B7" s="90" t="s">
        <v>272</v>
      </c>
      <c r="C7" s="47" t="s">
        <v>112</v>
      </c>
    </row>
    <row r="8" spans="1:3" ht="14.45" customHeight="1" thickBot="1" x14ac:dyDescent="0.25">
      <c r="A8" s="147" t="str">
        <f t="shared" si="0"/>
        <v>HV</v>
      </c>
      <c r="B8" s="91" t="s">
        <v>61</v>
      </c>
      <c r="C8" s="47" t="s">
        <v>66</v>
      </c>
    </row>
    <row r="9" spans="1:3" ht="14.45" customHeight="1" thickBot="1" x14ac:dyDescent="0.25">
      <c r="A9" s="92"/>
      <c r="B9" s="92"/>
    </row>
    <row r="10" spans="1:3" ht="14.45" customHeight="1" thickBot="1" x14ac:dyDescent="0.25">
      <c r="A10" s="327" t="s">
        <v>108</v>
      </c>
      <c r="B10" s="326"/>
    </row>
    <row r="11" spans="1:3" ht="14.45" customHeight="1" x14ac:dyDescent="0.2">
      <c r="A11" s="148" t="str">
        <f t="shared" ref="A11" si="1">HYPERLINK("#'"&amp;C11&amp;"'!A1",C11)</f>
        <v>Léky Žádanky</v>
      </c>
      <c r="B11" s="89" t="s">
        <v>137</v>
      </c>
      <c r="C11" s="47" t="s">
        <v>113</v>
      </c>
    </row>
    <row r="12" spans="1:3" ht="14.45" customHeight="1" x14ac:dyDescent="0.2">
      <c r="A12" s="146" t="str">
        <f t="shared" ref="A12:A23" si="2">HYPERLINK("#'"&amp;C12&amp;"'!A1",C12)</f>
        <v>LŽ Detail</v>
      </c>
      <c r="B12" s="90" t="s">
        <v>163</v>
      </c>
      <c r="C12" s="47" t="s">
        <v>114</v>
      </c>
    </row>
    <row r="13" spans="1:3" ht="28.9" customHeight="1" x14ac:dyDescent="0.2">
      <c r="A13" s="146" t="str">
        <f t="shared" si="2"/>
        <v>LŽ PL</v>
      </c>
      <c r="B13" s="536" t="s">
        <v>164</v>
      </c>
      <c r="C13" s="47" t="s">
        <v>144</v>
      </c>
    </row>
    <row r="14" spans="1:3" ht="14.45" customHeight="1" x14ac:dyDescent="0.2">
      <c r="A14" s="146" t="str">
        <f t="shared" si="2"/>
        <v>LŽ PL Detail</v>
      </c>
      <c r="B14" s="90" t="s">
        <v>530</v>
      </c>
      <c r="C14" s="47" t="s">
        <v>146</v>
      </c>
    </row>
    <row r="15" spans="1:3" ht="14.45" customHeight="1" x14ac:dyDescent="0.2">
      <c r="A15" s="146" t="str">
        <f t="shared" si="2"/>
        <v>LŽ Statim</v>
      </c>
      <c r="B15" s="254" t="s">
        <v>196</v>
      </c>
      <c r="C15" s="47" t="s">
        <v>206</v>
      </c>
    </row>
    <row r="16" spans="1:3" ht="14.45" customHeight="1" x14ac:dyDescent="0.2">
      <c r="A16" s="146" t="str">
        <f t="shared" si="2"/>
        <v>Léky Recepty</v>
      </c>
      <c r="B16" s="90" t="s">
        <v>138</v>
      </c>
      <c r="C16" s="47" t="s">
        <v>115</v>
      </c>
    </row>
    <row r="17" spans="1:3" ht="14.45" customHeight="1" x14ac:dyDescent="0.2">
      <c r="A17" s="146" t="str">
        <f t="shared" si="2"/>
        <v>LRp Lékaři</v>
      </c>
      <c r="B17" s="90" t="s">
        <v>149</v>
      </c>
      <c r="C17" s="47" t="s">
        <v>150</v>
      </c>
    </row>
    <row r="18" spans="1:3" ht="14.45" customHeight="1" x14ac:dyDescent="0.2">
      <c r="A18" s="146" t="str">
        <f t="shared" si="2"/>
        <v>LRp Detail</v>
      </c>
      <c r="B18" s="90" t="s">
        <v>758</v>
      </c>
      <c r="C18" s="47" t="s">
        <v>116</v>
      </c>
    </row>
    <row r="19" spans="1:3" ht="28.9" customHeight="1" x14ac:dyDescent="0.2">
      <c r="A19" s="146" t="str">
        <f t="shared" si="2"/>
        <v>LRp PL</v>
      </c>
      <c r="B19" s="536" t="s">
        <v>759</v>
      </c>
      <c r="C19" s="47" t="s">
        <v>145</v>
      </c>
    </row>
    <row r="20" spans="1:3" ht="14.45" customHeight="1" x14ac:dyDescent="0.2">
      <c r="A20" s="146" t="str">
        <f>HYPERLINK("#'"&amp;C20&amp;"'!A1",C20)</f>
        <v>LRp PL Detail</v>
      </c>
      <c r="B20" s="90" t="s">
        <v>778</v>
      </c>
      <c r="C20" s="47" t="s">
        <v>147</v>
      </c>
    </row>
    <row r="21" spans="1:3" ht="14.45" customHeight="1" x14ac:dyDescent="0.2">
      <c r="A21" s="148" t="str">
        <f t="shared" ref="A21" si="3">HYPERLINK("#'"&amp;C21&amp;"'!A1",C21)</f>
        <v>Materiál Žádanky</v>
      </c>
      <c r="B21" s="90" t="s">
        <v>139</v>
      </c>
      <c r="C21" s="47" t="s">
        <v>117</v>
      </c>
    </row>
    <row r="22" spans="1:3" ht="14.45" customHeight="1" x14ac:dyDescent="0.2">
      <c r="A22" s="146" t="str">
        <f t="shared" si="2"/>
        <v>MŽ Detail</v>
      </c>
      <c r="B22" s="90" t="s">
        <v>911</v>
      </c>
      <c r="C22" s="47" t="s">
        <v>118</v>
      </c>
    </row>
    <row r="23" spans="1:3" ht="14.45" customHeight="1" thickBot="1" x14ac:dyDescent="0.25">
      <c r="A23" s="148" t="str">
        <f t="shared" si="2"/>
        <v>Osobní náklady</v>
      </c>
      <c r="B23" s="90" t="s">
        <v>105</v>
      </c>
      <c r="C23" s="47" t="s">
        <v>119</v>
      </c>
    </row>
    <row r="24" spans="1:3" ht="14.45" customHeight="1" thickBot="1" x14ac:dyDescent="0.25">
      <c r="A24" s="93"/>
      <c r="B24" s="93"/>
    </row>
    <row r="25" spans="1:3" ht="14.45" customHeight="1" thickBot="1" x14ac:dyDescent="0.25">
      <c r="A25" s="328" t="s">
        <v>109</v>
      </c>
      <c r="B25" s="326"/>
    </row>
    <row r="26" spans="1:3" ht="14.45" customHeight="1" x14ac:dyDescent="0.2">
      <c r="A26" s="149" t="str">
        <f t="shared" ref="A26:A31" si="4">HYPERLINK("#'"&amp;C26&amp;"'!A1",C26)</f>
        <v>ZV Vykáz.-A</v>
      </c>
      <c r="B26" s="89" t="s">
        <v>935</v>
      </c>
      <c r="C26" s="47" t="s">
        <v>122</v>
      </c>
    </row>
    <row r="27" spans="1:3" ht="14.45" customHeight="1" x14ac:dyDescent="0.2">
      <c r="A27" s="146" t="str">
        <f t="shared" ref="A27" si="5">HYPERLINK("#'"&amp;C27&amp;"'!A1",C27)</f>
        <v>ZV Vykáz.-A Lékaři</v>
      </c>
      <c r="B27" s="90" t="s">
        <v>943</v>
      </c>
      <c r="C27" s="47" t="s">
        <v>209</v>
      </c>
    </row>
    <row r="28" spans="1:3" ht="14.45" customHeight="1" x14ac:dyDescent="0.2">
      <c r="A28" s="146" t="str">
        <f t="shared" si="4"/>
        <v>ZV Vykáz.-A Detail</v>
      </c>
      <c r="B28" s="90" t="s">
        <v>1006</v>
      </c>
      <c r="C28" s="47" t="s">
        <v>123</v>
      </c>
    </row>
    <row r="29" spans="1:3" ht="14.45" customHeight="1" x14ac:dyDescent="0.25">
      <c r="A29" s="267" t="str">
        <f>HYPERLINK("#'"&amp;C29&amp;"'!A1",C29)</f>
        <v>ZV Vykáz.-A Det.Lék.</v>
      </c>
      <c r="B29" s="90" t="s">
        <v>1007</v>
      </c>
      <c r="C29" s="47" t="s">
        <v>213</v>
      </c>
    </row>
    <row r="30" spans="1:3" ht="14.45" customHeight="1" x14ac:dyDescent="0.2">
      <c r="A30" s="146" t="str">
        <f t="shared" si="4"/>
        <v>ZV Vykáz.-H</v>
      </c>
      <c r="B30" s="90" t="s">
        <v>126</v>
      </c>
      <c r="C30" s="47" t="s">
        <v>124</v>
      </c>
    </row>
    <row r="31" spans="1:3" ht="14.45" customHeight="1" x14ac:dyDescent="0.2">
      <c r="A31" s="146" t="str">
        <f t="shared" si="4"/>
        <v>ZV Vykáz.-H Detail</v>
      </c>
      <c r="B31" s="90" t="s">
        <v>1014</v>
      </c>
      <c r="C31" s="47" t="s">
        <v>125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 xr:uid="{F70CCC08-A44E-48A1-B8B7-9ED57A46B89E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129" bestFit="1" customWidth="1"/>
    <col min="2" max="2" width="8.85546875" style="129" bestFit="1" customWidth="1"/>
    <col min="3" max="3" width="7" style="129" bestFit="1" customWidth="1"/>
    <col min="4" max="4" width="53.42578125" style="129" bestFit="1" customWidth="1"/>
    <col min="5" max="5" width="28.42578125" style="129" bestFit="1" customWidth="1"/>
    <col min="6" max="6" width="6.7109375" style="207" customWidth="1"/>
    <col min="7" max="7" width="10" style="207" customWidth="1"/>
    <col min="8" max="8" width="6.7109375" style="210" bestFit="1" customWidth="1"/>
    <col min="9" max="9" width="6.7109375" style="207" customWidth="1"/>
    <col min="10" max="10" width="10.85546875" style="207" customWidth="1"/>
    <col min="11" max="11" width="6.7109375" style="210" bestFit="1" customWidth="1"/>
    <col min="12" max="12" width="6.7109375" style="207" customWidth="1"/>
    <col min="13" max="13" width="10.85546875" style="207" customWidth="1"/>
    <col min="14" max="16384" width="8.85546875" style="129"/>
  </cols>
  <sheetData>
    <row r="1" spans="1:13" ht="18.600000000000001" customHeight="1" thickBot="1" x14ac:dyDescent="0.35">
      <c r="A1" s="368" t="s">
        <v>530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232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5" customHeight="1" thickBot="1" x14ac:dyDescent="0.25">
      <c r="E3" s="79" t="s">
        <v>127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33</v>
      </c>
      <c r="J3" s="43">
        <f>SUBTOTAL(9,J6:J1048576)</f>
        <v>1671.7200000000003</v>
      </c>
      <c r="K3" s="44">
        <f>IF(M3=0,0,J3/M3)</f>
        <v>1</v>
      </c>
      <c r="L3" s="43">
        <f>SUBTOTAL(9,L6:L1048576)</f>
        <v>33</v>
      </c>
      <c r="M3" s="45">
        <f>SUBTOTAL(9,M6:M1048576)</f>
        <v>1671.7200000000003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521" t="s">
        <v>130</v>
      </c>
      <c r="B5" s="537" t="s">
        <v>131</v>
      </c>
      <c r="C5" s="537" t="s">
        <v>70</v>
      </c>
      <c r="D5" s="537" t="s">
        <v>132</v>
      </c>
      <c r="E5" s="537" t="s">
        <v>133</v>
      </c>
      <c r="F5" s="538" t="s">
        <v>28</v>
      </c>
      <c r="G5" s="538" t="s">
        <v>14</v>
      </c>
      <c r="H5" s="523" t="s">
        <v>134</v>
      </c>
      <c r="I5" s="522" t="s">
        <v>28</v>
      </c>
      <c r="J5" s="538" t="s">
        <v>14</v>
      </c>
      <c r="K5" s="523" t="s">
        <v>134</v>
      </c>
      <c r="L5" s="522" t="s">
        <v>28</v>
      </c>
      <c r="M5" s="539" t="s">
        <v>14</v>
      </c>
    </row>
    <row r="6" spans="1:13" ht="14.45" customHeight="1" thickBot="1" x14ac:dyDescent="0.25">
      <c r="A6" s="528" t="s">
        <v>447</v>
      </c>
      <c r="B6" s="541" t="s">
        <v>527</v>
      </c>
      <c r="C6" s="541" t="s">
        <v>528</v>
      </c>
      <c r="D6" s="541" t="s">
        <v>488</v>
      </c>
      <c r="E6" s="541" t="s">
        <v>529</v>
      </c>
      <c r="F6" s="529"/>
      <c r="G6" s="529"/>
      <c r="H6" s="248">
        <v>0</v>
      </c>
      <c r="I6" s="529">
        <v>33</v>
      </c>
      <c r="J6" s="529">
        <v>1671.7200000000003</v>
      </c>
      <c r="K6" s="248">
        <v>1</v>
      </c>
      <c r="L6" s="529">
        <v>33</v>
      </c>
      <c r="M6" s="530">
        <v>1671.7200000000003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37" priority="4" operator="greaterThan">
      <formula>0.1</formula>
    </cfRule>
  </conditionalFormatting>
  <hyperlinks>
    <hyperlink ref="A2" location="Obsah!A1" display="Zpět na Obsah  KL 01  1.-4.měsíc" xr:uid="{FA11C38D-B5E4-40F4-8B01-49BC64B063C9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9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58" customWidth="1"/>
    <col min="2" max="2" width="5.42578125" style="207" bestFit="1" customWidth="1"/>
    <col min="3" max="3" width="6.140625" style="207" bestFit="1" customWidth="1"/>
    <col min="4" max="4" width="7.42578125" style="207" bestFit="1" customWidth="1"/>
    <col min="5" max="5" width="6.28515625" style="207" bestFit="1" customWidth="1"/>
    <col min="6" max="6" width="6.28515625" style="210" bestFit="1" customWidth="1"/>
    <col min="7" max="7" width="6.140625" style="210" bestFit="1" customWidth="1"/>
    <col min="8" max="8" width="7.42578125" style="210" bestFit="1" customWidth="1"/>
    <col min="9" max="9" width="6.28515625" style="210" bestFit="1" customWidth="1"/>
    <col min="10" max="10" width="5.42578125" style="207" bestFit="1" customWidth="1"/>
    <col min="11" max="11" width="6.140625" style="207" bestFit="1" customWidth="1"/>
    <col min="12" max="12" width="7.42578125" style="207" bestFit="1" customWidth="1"/>
    <col min="13" max="13" width="6.28515625" style="207" bestFit="1" customWidth="1"/>
    <col min="14" max="14" width="5.28515625" style="210" bestFit="1" customWidth="1"/>
    <col min="15" max="15" width="6.140625" style="210" bestFit="1" customWidth="1"/>
    <col min="16" max="16" width="7.42578125" style="210" bestFit="1" customWidth="1"/>
    <col min="17" max="17" width="6.28515625" style="210" bestFit="1" customWidth="1"/>
    <col min="18" max="16384" width="8.85546875" style="129"/>
  </cols>
  <sheetData>
    <row r="1" spans="1:17" ht="18.600000000000001" customHeight="1" thickBot="1" x14ac:dyDescent="0.35">
      <c r="A1" s="368" t="s">
        <v>196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5" customHeight="1" thickBot="1" x14ac:dyDescent="0.25">
      <c r="A2" s="232" t="s">
        <v>270</v>
      </c>
      <c r="B2" s="214"/>
      <c r="C2" s="214"/>
      <c r="D2" s="214"/>
      <c r="E2" s="214"/>
    </row>
    <row r="3" spans="1:17" ht="14.45" customHeight="1" thickBot="1" x14ac:dyDescent="0.25">
      <c r="A3" s="247" t="s">
        <v>3</v>
      </c>
      <c r="B3" s="251">
        <f>SUM(B6:B1048576)</f>
        <v>345</v>
      </c>
      <c r="C3" s="252">
        <f>SUM(C6:C1048576)</f>
        <v>0</v>
      </c>
      <c r="D3" s="252">
        <f>SUM(D6:D1048576)</f>
        <v>0</v>
      </c>
      <c r="E3" s="253">
        <f>SUM(E6:E1048576)</f>
        <v>0</v>
      </c>
      <c r="F3" s="250">
        <f>IF(SUM($B3:$E3)=0,"",B3/SUM($B3:$E3))</f>
        <v>1</v>
      </c>
      <c r="G3" s="248">
        <f t="shared" ref="G3:I3" si="0">IF(SUM($B3:$E3)=0,"",C3/SUM($B3:$E3))</f>
        <v>0</v>
      </c>
      <c r="H3" s="248">
        <f t="shared" si="0"/>
        <v>0</v>
      </c>
      <c r="I3" s="249">
        <f t="shared" si="0"/>
        <v>0</v>
      </c>
      <c r="J3" s="252">
        <f>SUM(J6:J1048576)</f>
        <v>151</v>
      </c>
      <c r="K3" s="252">
        <f>SUM(K6:K1048576)</f>
        <v>0</v>
      </c>
      <c r="L3" s="252">
        <f>SUM(L6:L1048576)</f>
        <v>0</v>
      </c>
      <c r="M3" s="253">
        <f>SUM(M6:M1048576)</f>
        <v>0</v>
      </c>
      <c r="N3" s="250">
        <f>IF(SUM($J3:$M3)=0,"",J3/SUM($J3:$M3))</f>
        <v>1</v>
      </c>
      <c r="O3" s="248">
        <f t="shared" ref="O3:Q3" si="1">IF(SUM($J3:$M3)=0,"",K3/SUM($J3:$M3))</f>
        <v>0</v>
      </c>
      <c r="P3" s="248">
        <f t="shared" si="1"/>
        <v>0</v>
      </c>
      <c r="Q3" s="249">
        <f t="shared" si="1"/>
        <v>0</v>
      </c>
    </row>
    <row r="4" spans="1:17" ht="14.45" customHeight="1" thickBot="1" x14ac:dyDescent="0.25">
      <c r="A4" s="246"/>
      <c r="B4" s="381" t="s">
        <v>198</v>
      </c>
      <c r="C4" s="382"/>
      <c r="D4" s="382"/>
      <c r="E4" s="383"/>
      <c r="F4" s="378" t="s">
        <v>203</v>
      </c>
      <c r="G4" s="379"/>
      <c r="H4" s="379"/>
      <c r="I4" s="380"/>
      <c r="J4" s="381" t="s">
        <v>204</v>
      </c>
      <c r="K4" s="382"/>
      <c r="L4" s="382"/>
      <c r="M4" s="383"/>
      <c r="N4" s="378" t="s">
        <v>205</v>
      </c>
      <c r="O4" s="379"/>
      <c r="P4" s="379"/>
      <c r="Q4" s="380"/>
    </row>
    <row r="5" spans="1:17" ht="14.45" customHeight="1" thickBot="1" x14ac:dyDescent="0.25">
      <c r="A5" s="542" t="s">
        <v>197</v>
      </c>
      <c r="B5" s="543" t="s">
        <v>199</v>
      </c>
      <c r="C5" s="543" t="s">
        <v>200</v>
      </c>
      <c r="D5" s="543" t="s">
        <v>201</v>
      </c>
      <c r="E5" s="544" t="s">
        <v>202</v>
      </c>
      <c r="F5" s="545" t="s">
        <v>199</v>
      </c>
      <c r="G5" s="546" t="s">
        <v>200</v>
      </c>
      <c r="H5" s="546" t="s">
        <v>201</v>
      </c>
      <c r="I5" s="547" t="s">
        <v>202</v>
      </c>
      <c r="J5" s="543" t="s">
        <v>199</v>
      </c>
      <c r="K5" s="543" t="s">
        <v>200</v>
      </c>
      <c r="L5" s="543" t="s">
        <v>201</v>
      </c>
      <c r="M5" s="544" t="s">
        <v>202</v>
      </c>
      <c r="N5" s="545" t="s">
        <v>199</v>
      </c>
      <c r="O5" s="546" t="s">
        <v>200</v>
      </c>
      <c r="P5" s="546" t="s">
        <v>201</v>
      </c>
      <c r="Q5" s="547" t="s">
        <v>202</v>
      </c>
    </row>
    <row r="6" spans="1:17" ht="14.45" customHeight="1" x14ac:dyDescent="0.2">
      <c r="A6" s="552" t="s">
        <v>531</v>
      </c>
      <c r="B6" s="558"/>
      <c r="C6" s="505"/>
      <c r="D6" s="505"/>
      <c r="E6" s="506"/>
      <c r="F6" s="555"/>
      <c r="G6" s="526"/>
      <c r="H6" s="526"/>
      <c r="I6" s="561"/>
      <c r="J6" s="558"/>
      <c r="K6" s="505"/>
      <c r="L6" s="505"/>
      <c r="M6" s="506"/>
      <c r="N6" s="555"/>
      <c r="O6" s="526"/>
      <c r="P6" s="526"/>
      <c r="Q6" s="548"/>
    </row>
    <row r="7" spans="1:17" ht="14.45" customHeight="1" x14ac:dyDescent="0.2">
      <c r="A7" s="553" t="s">
        <v>525</v>
      </c>
      <c r="B7" s="559">
        <v>198</v>
      </c>
      <c r="C7" s="512"/>
      <c r="D7" s="512"/>
      <c r="E7" s="513"/>
      <c r="F7" s="556">
        <v>1</v>
      </c>
      <c r="G7" s="549">
        <v>0</v>
      </c>
      <c r="H7" s="549">
        <v>0</v>
      </c>
      <c r="I7" s="562">
        <v>0</v>
      </c>
      <c r="J7" s="559">
        <v>99</v>
      </c>
      <c r="K7" s="512"/>
      <c r="L7" s="512"/>
      <c r="M7" s="513"/>
      <c r="N7" s="556">
        <v>1</v>
      </c>
      <c r="O7" s="549">
        <v>0</v>
      </c>
      <c r="P7" s="549">
        <v>0</v>
      </c>
      <c r="Q7" s="550">
        <v>0</v>
      </c>
    </row>
    <row r="8" spans="1:17" ht="14.45" customHeight="1" x14ac:dyDescent="0.2">
      <c r="A8" s="553" t="s">
        <v>532</v>
      </c>
      <c r="B8" s="559">
        <v>13</v>
      </c>
      <c r="C8" s="512"/>
      <c r="D8" s="512"/>
      <c r="E8" s="513"/>
      <c r="F8" s="556">
        <v>1</v>
      </c>
      <c r="G8" s="549">
        <v>0</v>
      </c>
      <c r="H8" s="549">
        <v>0</v>
      </c>
      <c r="I8" s="562">
        <v>0</v>
      </c>
      <c r="J8" s="559">
        <v>13</v>
      </c>
      <c r="K8" s="512"/>
      <c r="L8" s="512"/>
      <c r="M8" s="513"/>
      <c r="N8" s="556">
        <v>1</v>
      </c>
      <c r="O8" s="549">
        <v>0</v>
      </c>
      <c r="P8" s="549">
        <v>0</v>
      </c>
      <c r="Q8" s="550">
        <v>0</v>
      </c>
    </row>
    <row r="9" spans="1:17" ht="14.45" customHeight="1" thickBot="1" x14ac:dyDescent="0.25">
      <c r="A9" s="554" t="s">
        <v>533</v>
      </c>
      <c r="B9" s="560">
        <v>134</v>
      </c>
      <c r="C9" s="519"/>
      <c r="D9" s="519"/>
      <c r="E9" s="520"/>
      <c r="F9" s="557">
        <v>1</v>
      </c>
      <c r="G9" s="527">
        <v>0</v>
      </c>
      <c r="H9" s="527">
        <v>0</v>
      </c>
      <c r="I9" s="563">
        <v>0</v>
      </c>
      <c r="J9" s="560">
        <v>39</v>
      </c>
      <c r="K9" s="519"/>
      <c r="L9" s="519"/>
      <c r="M9" s="520"/>
      <c r="N9" s="557">
        <v>1</v>
      </c>
      <c r="O9" s="527">
        <v>0</v>
      </c>
      <c r="P9" s="527">
        <v>0</v>
      </c>
      <c r="Q9" s="551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 xr:uid="{471D731C-AA59-4DDC-978D-BE921A4A5051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129" customWidth="1"/>
    <col min="2" max="2" width="34.28515625" style="129" customWidth="1"/>
    <col min="3" max="3" width="11.140625" style="129" bestFit="1" customWidth="1"/>
    <col min="4" max="4" width="7.28515625" style="129" bestFit="1" customWidth="1"/>
    <col min="5" max="5" width="11.140625" style="129" bestFit="1" customWidth="1"/>
    <col min="6" max="6" width="5.28515625" style="129" customWidth="1"/>
    <col min="7" max="7" width="7.28515625" style="129" bestFit="1" customWidth="1"/>
    <col min="8" max="8" width="5.28515625" style="129" customWidth="1"/>
    <col min="9" max="9" width="11.140625" style="129" customWidth="1"/>
    <col min="10" max="10" width="5.28515625" style="129" customWidth="1"/>
    <col min="11" max="11" width="7.28515625" style="129" customWidth="1"/>
    <col min="12" max="12" width="5.28515625" style="129" customWidth="1"/>
    <col min="13" max="13" width="0" style="129" hidden="1" customWidth="1"/>
    <col min="14" max="16384" width="8.85546875" style="129"/>
  </cols>
  <sheetData>
    <row r="1" spans="1:14" ht="18.600000000000001" customHeight="1" thickBot="1" x14ac:dyDescent="0.35">
      <c r="A1" s="368" t="s">
        <v>138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5" customHeight="1" thickBot="1" x14ac:dyDescent="0.25">
      <c r="A2" s="232" t="s">
        <v>270</v>
      </c>
      <c r="B2" s="206"/>
      <c r="C2" s="206"/>
      <c r="D2" s="206"/>
      <c r="E2" s="206"/>
      <c r="F2" s="206"/>
      <c r="G2" s="206"/>
      <c r="H2" s="206"/>
    </row>
    <row r="3" spans="1:14" ht="14.45" customHeight="1" thickBot="1" x14ac:dyDescent="0.2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148</v>
      </c>
      <c r="J3" s="384"/>
      <c r="K3" s="384"/>
      <c r="L3" s="386"/>
    </row>
    <row r="4" spans="1:14" ht="14.45" customHeight="1" thickBot="1" x14ac:dyDescent="0.2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5" customHeight="1" x14ac:dyDescent="0.2">
      <c r="A5" s="487">
        <v>19</v>
      </c>
      <c r="B5" s="488" t="s">
        <v>534</v>
      </c>
      <c r="C5" s="491">
        <v>27699.069999999978</v>
      </c>
      <c r="D5" s="491">
        <v>249</v>
      </c>
      <c r="E5" s="491">
        <v>23781.419999999976</v>
      </c>
      <c r="F5" s="564">
        <v>0.85856384347922132</v>
      </c>
      <c r="G5" s="491">
        <v>212</v>
      </c>
      <c r="H5" s="564">
        <v>0.85140562248995988</v>
      </c>
      <c r="I5" s="491">
        <v>3917.6500000000005</v>
      </c>
      <c r="J5" s="564">
        <v>0.14143615652077862</v>
      </c>
      <c r="K5" s="491">
        <v>37</v>
      </c>
      <c r="L5" s="564">
        <v>0.14859437751004015</v>
      </c>
      <c r="M5" s="491" t="s">
        <v>68</v>
      </c>
      <c r="N5" s="150"/>
    </row>
    <row r="6" spans="1:14" ht="14.45" customHeight="1" x14ac:dyDescent="0.2">
      <c r="A6" s="487">
        <v>19</v>
      </c>
      <c r="B6" s="488" t="s">
        <v>535</v>
      </c>
      <c r="C6" s="491">
        <v>27699.069999999978</v>
      </c>
      <c r="D6" s="491">
        <v>249</v>
      </c>
      <c r="E6" s="491">
        <v>23781.419999999976</v>
      </c>
      <c r="F6" s="564">
        <v>0.85856384347922132</v>
      </c>
      <c r="G6" s="491">
        <v>212</v>
      </c>
      <c r="H6" s="564">
        <v>0.85140562248995988</v>
      </c>
      <c r="I6" s="491">
        <v>3917.6500000000005</v>
      </c>
      <c r="J6" s="564">
        <v>0.14143615652077862</v>
      </c>
      <c r="K6" s="491">
        <v>37</v>
      </c>
      <c r="L6" s="564">
        <v>0.14859437751004015</v>
      </c>
      <c r="M6" s="491" t="s">
        <v>1</v>
      </c>
      <c r="N6" s="150"/>
    </row>
    <row r="7" spans="1:14" ht="14.45" customHeight="1" x14ac:dyDescent="0.2">
      <c r="A7" s="487" t="s">
        <v>440</v>
      </c>
      <c r="B7" s="488" t="s">
        <v>3</v>
      </c>
      <c r="C7" s="491">
        <v>27699.069999999978</v>
      </c>
      <c r="D7" s="491">
        <v>249</v>
      </c>
      <c r="E7" s="491">
        <v>23781.419999999976</v>
      </c>
      <c r="F7" s="564">
        <v>0.85856384347922132</v>
      </c>
      <c r="G7" s="491">
        <v>212</v>
      </c>
      <c r="H7" s="564">
        <v>0.85140562248995988</v>
      </c>
      <c r="I7" s="491">
        <v>3917.6500000000005</v>
      </c>
      <c r="J7" s="564">
        <v>0.14143615652077862</v>
      </c>
      <c r="K7" s="491">
        <v>37</v>
      </c>
      <c r="L7" s="564">
        <v>0.14859437751004015</v>
      </c>
      <c r="M7" s="491" t="s">
        <v>446</v>
      </c>
      <c r="N7" s="150"/>
    </row>
    <row r="9" spans="1:14" ht="14.45" customHeight="1" x14ac:dyDescent="0.2">
      <c r="A9" s="487">
        <v>19</v>
      </c>
      <c r="B9" s="488" t="s">
        <v>534</v>
      </c>
      <c r="C9" s="491" t="s">
        <v>442</v>
      </c>
      <c r="D9" s="491" t="s">
        <v>442</v>
      </c>
      <c r="E9" s="491" t="s">
        <v>442</v>
      </c>
      <c r="F9" s="564" t="s">
        <v>442</v>
      </c>
      <c r="G9" s="491" t="s">
        <v>442</v>
      </c>
      <c r="H9" s="564" t="s">
        <v>442</v>
      </c>
      <c r="I9" s="491" t="s">
        <v>442</v>
      </c>
      <c r="J9" s="564" t="s">
        <v>442</v>
      </c>
      <c r="K9" s="491" t="s">
        <v>442</v>
      </c>
      <c r="L9" s="564" t="s">
        <v>442</v>
      </c>
      <c r="M9" s="491" t="s">
        <v>68</v>
      </c>
      <c r="N9" s="150"/>
    </row>
    <row r="10" spans="1:14" ht="14.45" customHeight="1" x14ac:dyDescent="0.2">
      <c r="A10" s="487" t="s">
        <v>536</v>
      </c>
      <c r="B10" s="488" t="s">
        <v>535</v>
      </c>
      <c r="C10" s="491">
        <v>27699.069999999978</v>
      </c>
      <c r="D10" s="491">
        <v>249</v>
      </c>
      <c r="E10" s="491">
        <v>23781.419999999976</v>
      </c>
      <c r="F10" s="564">
        <v>0.85856384347922132</v>
      </c>
      <c r="G10" s="491">
        <v>212</v>
      </c>
      <c r="H10" s="564">
        <v>0.85140562248995988</v>
      </c>
      <c r="I10" s="491">
        <v>3917.6500000000005</v>
      </c>
      <c r="J10" s="564">
        <v>0.14143615652077862</v>
      </c>
      <c r="K10" s="491">
        <v>37</v>
      </c>
      <c r="L10" s="564">
        <v>0.14859437751004015</v>
      </c>
      <c r="M10" s="491" t="s">
        <v>1</v>
      </c>
      <c r="N10" s="150"/>
    </row>
    <row r="11" spans="1:14" ht="14.45" customHeight="1" x14ac:dyDescent="0.2">
      <c r="A11" s="487" t="s">
        <v>536</v>
      </c>
      <c r="B11" s="488" t="s">
        <v>537</v>
      </c>
      <c r="C11" s="491">
        <v>27699.069999999978</v>
      </c>
      <c r="D11" s="491">
        <v>249</v>
      </c>
      <c r="E11" s="491">
        <v>23781.419999999976</v>
      </c>
      <c r="F11" s="564">
        <v>0.85856384347922132</v>
      </c>
      <c r="G11" s="491">
        <v>212</v>
      </c>
      <c r="H11" s="564">
        <v>0.85140562248995988</v>
      </c>
      <c r="I11" s="491">
        <v>3917.6500000000005</v>
      </c>
      <c r="J11" s="564">
        <v>0.14143615652077862</v>
      </c>
      <c r="K11" s="491">
        <v>37</v>
      </c>
      <c r="L11" s="564">
        <v>0.14859437751004015</v>
      </c>
      <c r="M11" s="491" t="s">
        <v>450</v>
      </c>
      <c r="N11" s="150"/>
    </row>
    <row r="12" spans="1:14" ht="14.45" customHeight="1" x14ac:dyDescent="0.2">
      <c r="A12" s="487" t="s">
        <v>442</v>
      </c>
      <c r="B12" s="488" t="s">
        <v>442</v>
      </c>
      <c r="C12" s="491" t="s">
        <v>442</v>
      </c>
      <c r="D12" s="491" t="s">
        <v>442</v>
      </c>
      <c r="E12" s="491" t="s">
        <v>442</v>
      </c>
      <c r="F12" s="564" t="s">
        <v>442</v>
      </c>
      <c r="G12" s="491" t="s">
        <v>442</v>
      </c>
      <c r="H12" s="564" t="s">
        <v>442</v>
      </c>
      <c r="I12" s="491" t="s">
        <v>442</v>
      </c>
      <c r="J12" s="564" t="s">
        <v>442</v>
      </c>
      <c r="K12" s="491" t="s">
        <v>442</v>
      </c>
      <c r="L12" s="564" t="s">
        <v>442</v>
      </c>
      <c r="M12" s="491" t="s">
        <v>451</v>
      </c>
      <c r="N12" s="150"/>
    </row>
    <row r="13" spans="1:14" ht="14.45" customHeight="1" x14ac:dyDescent="0.2">
      <c r="A13" s="487" t="s">
        <v>440</v>
      </c>
      <c r="B13" s="488" t="s">
        <v>538</v>
      </c>
      <c r="C13" s="491">
        <v>27699.069999999978</v>
      </c>
      <c r="D13" s="491">
        <v>249</v>
      </c>
      <c r="E13" s="491">
        <v>23781.419999999976</v>
      </c>
      <c r="F13" s="564">
        <v>0.85856384347922132</v>
      </c>
      <c r="G13" s="491">
        <v>212</v>
      </c>
      <c r="H13" s="564">
        <v>0.85140562248995988</v>
      </c>
      <c r="I13" s="491">
        <v>3917.6500000000005</v>
      </c>
      <c r="J13" s="564">
        <v>0.14143615652077862</v>
      </c>
      <c r="K13" s="491">
        <v>37</v>
      </c>
      <c r="L13" s="564">
        <v>0.14859437751004015</v>
      </c>
      <c r="M13" s="491" t="s">
        <v>446</v>
      </c>
      <c r="N13" s="150"/>
    </row>
    <row r="14" spans="1:14" ht="14.45" customHeight="1" x14ac:dyDescent="0.2">
      <c r="A14" s="565" t="s">
        <v>247</v>
      </c>
    </row>
    <row r="15" spans="1:14" ht="14.45" customHeight="1" x14ac:dyDescent="0.2">
      <c r="A15" s="566" t="s">
        <v>539</v>
      </c>
    </row>
    <row r="16" spans="1:14" ht="14.45" customHeight="1" x14ac:dyDescent="0.2">
      <c r="A16" s="565" t="s">
        <v>540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8 F14:F1048576">
    <cfRule type="cellIs" dxfId="35" priority="15" stopIfTrue="1" operator="lessThan">
      <formula>0.6</formula>
    </cfRule>
  </conditionalFormatting>
  <conditionalFormatting sqref="B5:B7">
    <cfRule type="expression" dxfId="34" priority="10">
      <formula>AND(LEFT(M5,6)&lt;&gt;"mezera",M5&lt;&gt;"")</formula>
    </cfRule>
  </conditionalFormatting>
  <conditionalFormatting sqref="A5:A7">
    <cfRule type="expression" dxfId="33" priority="8">
      <formula>AND(M5&lt;&gt;"",M5&lt;&gt;"mezeraKL")</formula>
    </cfRule>
  </conditionalFormatting>
  <conditionalFormatting sqref="F5:F7">
    <cfRule type="cellIs" dxfId="32" priority="7" operator="lessThan">
      <formula>0.6</formula>
    </cfRule>
  </conditionalFormatting>
  <conditionalFormatting sqref="B5:L7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7">
    <cfRule type="expression" dxfId="29" priority="12">
      <formula>$M5&lt;&gt;""</formula>
    </cfRule>
  </conditionalFormatting>
  <conditionalFormatting sqref="B9:B13">
    <cfRule type="expression" dxfId="28" priority="4">
      <formula>AND(LEFT(M9,6)&lt;&gt;"mezera",M9&lt;&gt;"")</formula>
    </cfRule>
  </conditionalFormatting>
  <conditionalFormatting sqref="A9:A13">
    <cfRule type="expression" dxfId="27" priority="2">
      <formula>AND(M9&lt;&gt;"",M9&lt;&gt;"mezeraKL")</formula>
    </cfRule>
  </conditionalFormatting>
  <conditionalFormatting sqref="F9:F13">
    <cfRule type="cellIs" dxfId="26" priority="1" operator="lessThan">
      <formula>0.6</formula>
    </cfRule>
  </conditionalFormatting>
  <conditionalFormatting sqref="B9:L13">
    <cfRule type="expression" dxfId="25" priority="3">
      <formula>OR($M9="KL",$M9="SumaKL")</formula>
    </cfRule>
    <cfRule type="expression" dxfId="24" priority="5">
      <formula>$M9="SumaNS"</formula>
    </cfRule>
  </conditionalFormatting>
  <conditionalFormatting sqref="A9:L13">
    <cfRule type="expression" dxfId="23" priority="6">
      <formula>$M9&lt;&gt;""</formula>
    </cfRule>
  </conditionalFormatting>
  <hyperlinks>
    <hyperlink ref="A2" location="Obsah!A1" display="Zpět na Obsah  KL 01  1.-4.měsíc" xr:uid="{D8E956D1-2E34-44E9-B5EF-ECC9D86CBE30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8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129" customWidth="1"/>
    <col min="2" max="2" width="11.140625" style="207" bestFit="1" customWidth="1"/>
    <col min="3" max="3" width="11.140625" style="129" hidden="1" customWidth="1"/>
    <col min="4" max="4" width="7.28515625" style="207" bestFit="1" customWidth="1"/>
    <col min="5" max="5" width="7.28515625" style="129" hidden="1" customWidth="1"/>
    <col min="6" max="6" width="11.140625" style="207" bestFit="1" customWidth="1"/>
    <col min="7" max="7" width="5.28515625" style="210" customWidth="1"/>
    <col min="8" max="8" width="7.28515625" style="207" bestFit="1" customWidth="1"/>
    <col min="9" max="9" width="5.28515625" style="210" customWidth="1"/>
    <col min="10" max="10" width="11.140625" style="207" customWidth="1"/>
    <col min="11" max="11" width="5.28515625" style="210" customWidth="1"/>
    <col min="12" max="12" width="7.28515625" style="207" customWidth="1"/>
    <col min="13" max="13" width="5.28515625" style="210" customWidth="1"/>
    <col min="14" max="14" width="0" style="129" hidden="1" customWidth="1"/>
    <col min="15" max="16384" width="8.85546875" style="129"/>
  </cols>
  <sheetData>
    <row r="1" spans="1:13" ht="18.600000000000001" customHeight="1" thickBot="1" x14ac:dyDescent="0.35">
      <c r="A1" s="368" t="s">
        <v>149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5" customHeight="1" thickBot="1" x14ac:dyDescent="0.25">
      <c r="A2" s="232" t="s">
        <v>270</v>
      </c>
      <c r="B2" s="214"/>
      <c r="C2" s="206"/>
      <c r="D2" s="214"/>
      <c r="E2" s="206"/>
      <c r="F2" s="214"/>
      <c r="G2" s="215"/>
      <c r="H2" s="214"/>
      <c r="I2" s="215"/>
    </row>
    <row r="3" spans="1:13" ht="14.45" customHeight="1" thickBot="1" x14ac:dyDescent="0.2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148</v>
      </c>
      <c r="K3" s="384"/>
      <c r="L3" s="384"/>
      <c r="M3" s="386"/>
    </row>
    <row r="4" spans="1:13" ht="14.45" customHeight="1" thickBot="1" x14ac:dyDescent="0.25">
      <c r="A4" s="542" t="s">
        <v>135</v>
      </c>
      <c r="B4" s="543" t="s">
        <v>19</v>
      </c>
      <c r="C4" s="570"/>
      <c r="D4" s="543" t="s">
        <v>20</v>
      </c>
      <c r="E4" s="570"/>
      <c r="F4" s="543" t="s">
        <v>19</v>
      </c>
      <c r="G4" s="546" t="s">
        <v>2</v>
      </c>
      <c r="H4" s="543" t="s">
        <v>20</v>
      </c>
      <c r="I4" s="546" t="s">
        <v>2</v>
      </c>
      <c r="J4" s="543" t="s">
        <v>19</v>
      </c>
      <c r="K4" s="546" t="s">
        <v>2</v>
      </c>
      <c r="L4" s="543" t="s">
        <v>20</v>
      </c>
      <c r="M4" s="547" t="s">
        <v>2</v>
      </c>
    </row>
    <row r="5" spans="1:13" ht="14.45" customHeight="1" x14ac:dyDescent="0.2">
      <c r="A5" s="567" t="s">
        <v>541</v>
      </c>
      <c r="B5" s="558">
        <v>14357.939999999981</v>
      </c>
      <c r="C5" s="501">
        <v>1</v>
      </c>
      <c r="D5" s="571">
        <v>141</v>
      </c>
      <c r="E5" s="540" t="s">
        <v>541</v>
      </c>
      <c r="F5" s="558">
        <v>11638.65999999998</v>
      </c>
      <c r="G5" s="526">
        <v>0.81060792843541596</v>
      </c>
      <c r="H5" s="505">
        <v>123</v>
      </c>
      <c r="I5" s="548">
        <v>0.87234042553191493</v>
      </c>
      <c r="J5" s="576">
        <v>2719.2800000000007</v>
      </c>
      <c r="K5" s="526">
        <v>0.18939207156458407</v>
      </c>
      <c r="L5" s="505">
        <v>18</v>
      </c>
      <c r="M5" s="548">
        <v>0.1276595744680851</v>
      </c>
    </row>
    <row r="6" spans="1:13" ht="14.45" customHeight="1" x14ac:dyDescent="0.2">
      <c r="A6" s="568" t="s">
        <v>542</v>
      </c>
      <c r="B6" s="559">
        <v>2502.1400000000003</v>
      </c>
      <c r="C6" s="508">
        <v>1</v>
      </c>
      <c r="D6" s="572">
        <v>32</v>
      </c>
      <c r="E6" s="574" t="s">
        <v>542</v>
      </c>
      <c r="F6" s="559">
        <v>1878.5700000000002</v>
      </c>
      <c r="G6" s="549">
        <v>0.75078532775943785</v>
      </c>
      <c r="H6" s="512">
        <v>24</v>
      </c>
      <c r="I6" s="550">
        <v>0.75</v>
      </c>
      <c r="J6" s="577">
        <v>623.56999999999994</v>
      </c>
      <c r="K6" s="549">
        <v>0.24921467224056201</v>
      </c>
      <c r="L6" s="512">
        <v>8</v>
      </c>
      <c r="M6" s="550">
        <v>0.25</v>
      </c>
    </row>
    <row r="7" spans="1:13" ht="14.45" customHeight="1" x14ac:dyDescent="0.2">
      <c r="A7" s="568" t="s">
        <v>543</v>
      </c>
      <c r="B7" s="559">
        <v>4288.4799999999996</v>
      </c>
      <c r="C7" s="508">
        <v>1</v>
      </c>
      <c r="D7" s="572">
        <v>16</v>
      </c>
      <c r="E7" s="574" t="s">
        <v>543</v>
      </c>
      <c r="F7" s="559">
        <v>4288.4799999999996</v>
      </c>
      <c r="G7" s="549">
        <v>1</v>
      </c>
      <c r="H7" s="512">
        <v>16</v>
      </c>
      <c r="I7" s="550">
        <v>1</v>
      </c>
      <c r="J7" s="577"/>
      <c r="K7" s="549">
        <v>0</v>
      </c>
      <c r="L7" s="512"/>
      <c r="M7" s="550">
        <v>0</v>
      </c>
    </row>
    <row r="8" spans="1:13" ht="14.45" customHeight="1" thickBot="1" x14ac:dyDescent="0.25">
      <c r="A8" s="569" t="s">
        <v>544</v>
      </c>
      <c r="B8" s="560">
        <v>6550.5100000000011</v>
      </c>
      <c r="C8" s="515">
        <v>1</v>
      </c>
      <c r="D8" s="573">
        <v>60</v>
      </c>
      <c r="E8" s="575" t="s">
        <v>544</v>
      </c>
      <c r="F8" s="560">
        <v>5975.7100000000009</v>
      </c>
      <c r="G8" s="527">
        <v>0.91225110716570157</v>
      </c>
      <c r="H8" s="519">
        <v>49</v>
      </c>
      <c r="I8" s="551">
        <v>0.81666666666666665</v>
      </c>
      <c r="J8" s="578">
        <v>574.79999999999995</v>
      </c>
      <c r="K8" s="527">
        <v>8.7748892834298375E-2</v>
      </c>
      <c r="L8" s="519">
        <v>11</v>
      </c>
      <c r="M8" s="551">
        <v>0.18333333333333332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8FDD27F4-58BB-4038-9299-9C8C1B65FDB6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75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129" hidden="1" customWidth="1" outlineLevel="1"/>
    <col min="2" max="2" width="28.28515625" style="129" hidden="1" customWidth="1" outlineLevel="1"/>
    <col min="3" max="3" width="9" style="129" customWidth="1" collapsed="1"/>
    <col min="4" max="4" width="18.7109375" style="218" customWidth="1"/>
    <col min="5" max="5" width="13.5703125" style="208" customWidth="1"/>
    <col min="6" max="6" width="6" style="129" bestFit="1" customWidth="1"/>
    <col min="7" max="7" width="8.7109375" style="129" customWidth="1"/>
    <col min="8" max="8" width="5" style="129" bestFit="1" customWidth="1"/>
    <col min="9" max="9" width="8.5703125" style="129" hidden="1" customWidth="1" outlineLevel="1"/>
    <col min="10" max="10" width="25.7109375" style="129" customWidth="1" collapsed="1"/>
    <col min="11" max="11" width="8.7109375" style="129" customWidth="1"/>
    <col min="12" max="12" width="7.7109375" style="209" customWidth="1"/>
    <col min="13" max="13" width="11.140625" style="209" customWidth="1"/>
    <col min="14" max="14" width="7.7109375" style="129" customWidth="1"/>
    <col min="15" max="15" width="7.7109375" style="219" customWidth="1"/>
    <col min="16" max="16" width="11.140625" style="209" customWidth="1"/>
    <col min="17" max="17" width="5.42578125" style="210" bestFit="1" customWidth="1"/>
    <col min="18" max="18" width="7.7109375" style="129" customWidth="1"/>
    <col min="19" max="19" width="5.42578125" style="210" bestFit="1" customWidth="1"/>
    <col min="20" max="20" width="7.7109375" style="219" customWidth="1"/>
    <col min="21" max="21" width="5.42578125" style="210" bestFit="1" customWidth="1"/>
    <col min="22" max="16384" width="8.85546875" style="129"/>
  </cols>
  <sheetData>
    <row r="1" spans="1:21" ht="18.600000000000001" customHeight="1" thickBot="1" x14ac:dyDescent="0.35">
      <c r="A1" s="359" t="s">
        <v>758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5" customHeight="1" thickBot="1" x14ac:dyDescent="0.25">
      <c r="A2" s="232" t="s">
        <v>270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5" customHeight="1" thickBot="1" x14ac:dyDescent="0.2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27699.069999999982</v>
      </c>
      <c r="N3" s="66">
        <f>SUBTOTAL(9,N7:N1048576)</f>
        <v>481</v>
      </c>
      <c r="O3" s="66">
        <f>SUBTOTAL(9,O7:O1048576)</f>
        <v>249</v>
      </c>
      <c r="P3" s="66">
        <f>SUBTOTAL(9,P7:P1048576)</f>
        <v>23781.419999999984</v>
      </c>
      <c r="Q3" s="67">
        <f>IF(M3=0,0,P3/M3)</f>
        <v>0.85856384347922143</v>
      </c>
      <c r="R3" s="66">
        <f>SUBTOTAL(9,R7:R1048576)</f>
        <v>412</v>
      </c>
      <c r="S3" s="67">
        <f>IF(N3=0,0,R3/N3)</f>
        <v>0.8565488565488566</v>
      </c>
      <c r="T3" s="66">
        <f>SUBTOTAL(9,T7:T1048576)</f>
        <v>212</v>
      </c>
      <c r="U3" s="68">
        <f>IF(O3=0,0,T3/O3)</f>
        <v>0.85140562248995988</v>
      </c>
    </row>
    <row r="4" spans="1:21" ht="14.45" customHeight="1" x14ac:dyDescent="0.2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5" customHeight="1" thickBot="1" x14ac:dyDescent="0.2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8" customFormat="1" ht="14.45" customHeight="1" thickBot="1" x14ac:dyDescent="0.25">
      <c r="A6" s="579" t="s">
        <v>23</v>
      </c>
      <c r="B6" s="580" t="s">
        <v>5</v>
      </c>
      <c r="C6" s="579" t="s">
        <v>24</v>
      </c>
      <c r="D6" s="580" t="s">
        <v>6</v>
      </c>
      <c r="E6" s="580" t="s">
        <v>151</v>
      </c>
      <c r="F6" s="580" t="s">
        <v>25</v>
      </c>
      <c r="G6" s="580" t="s">
        <v>26</v>
      </c>
      <c r="H6" s="580" t="s">
        <v>8</v>
      </c>
      <c r="I6" s="580" t="s">
        <v>10</v>
      </c>
      <c r="J6" s="580" t="s">
        <v>11</v>
      </c>
      <c r="K6" s="580" t="s">
        <v>12</v>
      </c>
      <c r="L6" s="580" t="s">
        <v>27</v>
      </c>
      <c r="M6" s="581" t="s">
        <v>14</v>
      </c>
      <c r="N6" s="582" t="s">
        <v>28</v>
      </c>
      <c r="O6" s="582" t="s">
        <v>28</v>
      </c>
      <c r="P6" s="582" t="s">
        <v>14</v>
      </c>
      <c r="Q6" s="582" t="s">
        <v>2</v>
      </c>
      <c r="R6" s="582" t="s">
        <v>28</v>
      </c>
      <c r="S6" s="582" t="s">
        <v>2</v>
      </c>
      <c r="T6" s="582" t="s">
        <v>28</v>
      </c>
      <c r="U6" s="583" t="s">
        <v>2</v>
      </c>
    </row>
    <row r="7" spans="1:21" ht="14.45" customHeight="1" x14ac:dyDescent="0.2">
      <c r="A7" s="584">
        <v>19</v>
      </c>
      <c r="B7" s="585" t="s">
        <v>534</v>
      </c>
      <c r="C7" s="585" t="s">
        <v>536</v>
      </c>
      <c r="D7" s="586" t="s">
        <v>757</v>
      </c>
      <c r="E7" s="587" t="s">
        <v>541</v>
      </c>
      <c r="F7" s="585" t="s">
        <v>535</v>
      </c>
      <c r="G7" s="585" t="s">
        <v>545</v>
      </c>
      <c r="H7" s="585" t="s">
        <v>487</v>
      </c>
      <c r="I7" s="585" t="s">
        <v>546</v>
      </c>
      <c r="J7" s="585" t="s">
        <v>547</v>
      </c>
      <c r="K7" s="585" t="s">
        <v>548</v>
      </c>
      <c r="L7" s="588">
        <v>119.7</v>
      </c>
      <c r="M7" s="588">
        <v>119.7</v>
      </c>
      <c r="N7" s="585">
        <v>1</v>
      </c>
      <c r="O7" s="589">
        <v>1</v>
      </c>
      <c r="P7" s="588"/>
      <c r="Q7" s="590">
        <v>0</v>
      </c>
      <c r="R7" s="585"/>
      <c r="S7" s="590">
        <v>0</v>
      </c>
      <c r="T7" s="589"/>
      <c r="U7" s="122">
        <v>0</v>
      </c>
    </row>
    <row r="8" spans="1:21" ht="14.45" customHeight="1" x14ac:dyDescent="0.2">
      <c r="A8" s="591">
        <v>19</v>
      </c>
      <c r="B8" s="592" t="s">
        <v>534</v>
      </c>
      <c r="C8" s="592" t="s">
        <v>536</v>
      </c>
      <c r="D8" s="593" t="s">
        <v>757</v>
      </c>
      <c r="E8" s="594" t="s">
        <v>541</v>
      </c>
      <c r="F8" s="592" t="s">
        <v>535</v>
      </c>
      <c r="G8" s="592" t="s">
        <v>549</v>
      </c>
      <c r="H8" s="592" t="s">
        <v>442</v>
      </c>
      <c r="I8" s="592" t="s">
        <v>550</v>
      </c>
      <c r="J8" s="592" t="s">
        <v>551</v>
      </c>
      <c r="K8" s="592" t="s">
        <v>552</v>
      </c>
      <c r="L8" s="595">
        <v>42.05</v>
      </c>
      <c r="M8" s="595">
        <v>84.1</v>
      </c>
      <c r="N8" s="592">
        <v>2</v>
      </c>
      <c r="O8" s="596">
        <v>2</v>
      </c>
      <c r="P8" s="595">
        <v>84.1</v>
      </c>
      <c r="Q8" s="597">
        <v>1</v>
      </c>
      <c r="R8" s="592">
        <v>2</v>
      </c>
      <c r="S8" s="597">
        <v>1</v>
      </c>
      <c r="T8" s="596">
        <v>2</v>
      </c>
      <c r="U8" s="598">
        <v>1</v>
      </c>
    </row>
    <row r="9" spans="1:21" ht="14.45" customHeight="1" x14ac:dyDescent="0.2">
      <c r="A9" s="591">
        <v>19</v>
      </c>
      <c r="B9" s="592" t="s">
        <v>534</v>
      </c>
      <c r="C9" s="592" t="s">
        <v>536</v>
      </c>
      <c r="D9" s="593" t="s">
        <v>757</v>
      </c>
      <c r="E9" s="594" t="s">
        <v>541</v>
      </c>
      <c r="F9" s="592" t="s">
        <v>535</v>
      </c>
      <c r="G9" s="592" t="s">
        <v>553</v>
      </c>
      <c r="H9" s="592" t="s">
        <v>442</v>
      </c>
      <c r="I9" s="592" t="s">
        <v>554</v>
      </c>
      <c r="J9" s="592" t="s">
        <v>555</v>
      </c>
      <c r="K9" s="592" t="s">
        <v>556</v>
      </c>
      <c r="L9" s="595">
        <v>159.16999999999999</v>
      </c>
      <c r="M9" s="595">
        <v>159.16999999999999</v>
      </c>
      <c r="N9" s="592">
        <v>1</v>
      </c>
      <c r="O9" s="596">
        <v>0.5</v>
      </c>
      <c r="P9" s="595">
        <v>159.16999999999999</v>
      </c>
      <c r="Q9" s="597">
        <v>1</v>
      </c>
      <c r="R9" s="592">
        <v>1</v>
      </c>
      <c r="S9" s="597">
        <v>1</v>
      </c>
      <c r="T9" s="596">
        <v>0.5</v>
      </c>
      <c r="U9" s="598">
        <v>1</v>
      </c>
    </row>
    <row r="10" spans="1:21" ht="14.45" customHeight="1" x14ac:dyDescent="0.2">
      <c r="A10" s="591">
        <v>19</v>
      </c>
      <c r="B10" s="592" t="s">
        <v>534</v>
      </c>
      <c r="C10" s="592" t="s">
        <v>536</v>
      </c>
      <c r="D10" s="593" t="s">
        <v>757</v>
      </c>
      <c r="E10" s="594" t="s">
        <v>541</v>
      </c>
      <c r="F10" s="592" t="s">
        <v>535</v>
      </c>
      <c r="G10" s="592" t="s">
        <v>557</v>
      </c>
      <c r="H10" s="592" t="s">
        <v>442</v>
      </c>
      <c r="I10" s="592" t="s">
        <v>558</v>
      </c>
      <c r="J10" s="592" t="s">
        <v>559</v>
      </c>
      <c r="K10" s="592" t="s">
        <v>560</v>
      </c>
      <c r="L10" s="595">
        <v>89.91</v>
      </c>
      <c r="M10" s="595">
        <v>89.91</v>
      </c>
      <c r="N10" s="592">
        <v>1</v>
      </c>
      <c r="O10" s="596">
        <v>1</v>
      </c>
      <c r="P10" s="595">
        <v>89.91</v>
      </c>
      <c r="Q10" s="597">
        <v>1</v>
      </c>
      <c r="R10" s="592">
        <v>1</v>
      </c>
      <c r="S10" s="597">
        <v>1</v>
      </c>
      <c r="T10" s="596">
        <v>1</v>
      </c>
      <c r="U10" s="598">
        <v>1</v>
      </c>
    </row>
    <row r="11" spans="1:21" ht="14.45" customHeight="1" x14ac:dyDescent="0.2">
      <c r="A11" s="591">
        <v>19</v>
      </c>
      <c r="B11" s="592" t="s">
        <v>534</v>
      </c>
      <c r="C11" s="592" t="s">
        <v>536</v>
      </c>
      <c r="D11" s="593" t="s">
        <v>757</v>
      </c>
      <c r="E11" s="594" t="s">
        <v>541</v>
      </c>
      <c r="F11" s="592" t="s">
        <v>535</v>
      </c>
      <c r="G11" s="592" t="s">
        <v>561</v>
      </c>
      <c r="H11" s="592" t="s">
        <v>442</v>
      </c>
      <c r="I11" s="592" t="s">
        <v>562</v>
      </c>
      <c r="J11" s="592" t="s">
        <v>563</v>
      </c>
      <c r="K11" s="592" t="s">
        <v>564</v>
      </c>
      <c r="L11" s="595">
        <v>57.48</v>
      </c>
      <c r="M11" s="595">
        <v>12990.47999999998</v>
      </c>
      <c r="N11" s="592">
        <v>226</v>
      </c>
      <c r="O11" s="596">
        <v>111.5</v>
      </c>
      <c r="P11" s="595">
        <v>11151.119999999979</v>
      </c>
      <c r="Q11" s="597">
        <v>0.85840707964601748</v>
      </c>
      <c r="R11" s="592">
        <v>194</v>
      </c>
      <c r="S11" s="597">
        <v>0.8584070796460177</v>
      </c>
      <c r="T11" s="596">
        <v>95.5</v>
      </c>
      <c r="U11" s="598">
        <v>0.8565022421524664</v>
      </c>
    </row>
    <row r="12" spans="1:21" ht="14.45" customHeight="1" x14ac:dyDescent="0.2">
      <c r="A12" s="591">
        <v>19</v>
      </c>
      <c r="B12" s="592" t="s">
        <v>534</v>
      </c>
      <c r="C12" s="592" t="s">
        <v>536</v>
      </c>
      <c r="D12" s="593" t="s">
        <v>757</v>
      </c>
      <c r="E12" s="594" t="s">
        <v>541</v>
      </c>
      <c r="F12" s="592" t="s">
        <v>535</v>
      </c>
      <c r="G12" s="592" t="s">
        <v>565</v>
      </c>
      <c r="H12" s="592" t="s">
        <v>442</v>
      </c>
      <c r="I12" s="592" t="s">
        <v>566</v>
      </c>
      <c r="J12" s="592" t="s">
        <v>567</v>
      </c>
      <c r="K12" s="592" t="s">
        <v>568</v>
      </c>
      <c r="L12" s="595">
        <v>760.22</v>
      </c>
      <c r="M12" s="595">
        <v>760.22</v>
      </c>
      <c r="N12" s="592">
        <v>1</v>
      </c>
      <c r="O12" s="596">
        <v>1</v>
      </c>
      <c r="P12" s="595"/>
      <c r="Q12" s="597">
        <v>0</v>
      </c>
      <c r="R12" s="592"/>
      <c r="S12" s="597">
        <v>0</v>
      </c>
      <c r="T12" s="596"/>
      <c r="U12" s="598">
        <v>0</v>
      </c>
    </row>
    <row r="13" spans="1:21" ht="14.45" customHeight="1" x14ac:dyDescent="0.2">
      <c r="A13" s="591">
        <v>19</v>
      </c>
      <c r="B13" s="592" t="s">
        <v>534</v>
      </c>
      <c r="C13" s="592" t="s">
        <v>536</v>
      </c>
      <c r="D13" s="593" t="s">
        <v>757</v>
      </c>
      <c r="E13" s="594" t="s">
        <v>541</v>
      </c>
      <c r="F13" s="592" t="s">
        <v>535</v>
      </c>
      <c r="G13" s="592" t="s">
        <v>569</v>
      </c>
      <c r="H13" s="592" t="s">
        <v>442</v>
      </c>
      <c r="I13" s="592" t="s">
        <v>570</v>
      </c>
      <c r="J13" s="592" t="s">
        <v>571</v>
      </c>
      <c r="K13" s="592" t="s">
        <v>572</v>
      </c>
      <c r="L13" s="595">
        <v>0</v>
      </c>
      <c r="M13" s="595">
        <v>0</v>
      </c>
      <c r="N13" s="592">
        <v>1</v>
      </c>
      <c r="O13" s="596">
        <v>1</v>
      </c>
      <c r="P13" s="595">
        <v>0</v>
      </c>
      <c r="Q13" s="597"/>
      <c r="R13" s="592">
        <v>1</v>
      </c>
      <c r="S13" s="597">
        <v>1</v>
      </c>
      <c r="T13" s="596">
        <v>1</v>
      </c>
      <c r="U13" s="598">
        <v>1</v>
      </c>
    </row>
    <row r="14" spans="1:21" ht="14.45" customHeight="1" x14ac:dyDescent="0.2">
      <c r="A14" s="591">
        <v>19</v>
      </c>
      <c r="B14" s="592" t="s">
        <v>534</v>
      </c>
      <c r="C14" s="592" t="s">
        <v>536</v>
      </c>
      <c r="D14" s="593" t="s">
        <v>757</v>
      </c>
      <c r="E14" s="594" t="s">
        <v>541</v>
      </c>
      <c r="F14" s="592" t="s">
        <v>535</v>
      </c>
      <c r="G14" s="592" t="s">
        <v>573</v>
      </c>
      <c r="H14" s="592" t="s">
        <v>442</v>
      </c>
      <c r="I14" s="592" t="s">
        <v>574</v>
      </c>
      <c r="J14" s="592" t="s">
        <v>575</v>
      </c>
      <c r="K14" s="592" t="s">
        <v>576</v>
      </c>
      <c r="L14" s="595">
        <v>0</v>
      </c>
      <c r="M14" s="595">
        <v>0</v>
      </c>
      <c r="N14" s="592">
        <v>38</v>
      </c>
      <c r="O14" s="596">
        <v>17.5</v>
      </c>
      <c r="P14" s="595">
        <v>0</v>
      </c>
      <c r="Q14" s="597"/>
      <c r="R14" s="592">
        <v>38</v>
      </c>
      <c r="S14" s="597">
        <v>1</v>
      </c>
      <c r="T14" s="596">
        <v>17.5</v>
      </c>
      <c r="U14" s="598">
        <v>1</v>
      </c>
    </row>
    <row r="15" spans="1:21" ht="14.45" customHeight="1" x14ac:dyDescent="0.2">
      <c r="A15" s="591">
        <v>19</v>
      </c>
      <c r="B15" s="592" t="s">
        <v>534</v>
      </c>
      <c r="C15" s="592" t="s">
        <v>536</v>
      </c>
      <c r="D15" s="593" t="s">
        <v>757</v>
      </c>
      <c r="E15" s="594" t="s">
        <v>541</v>
      </c>
      <c r="F15" s="592" t="s">
        <v>535</v>
      </c>
      <c r="G15" s="592" t="s">
        <v>577</v>
      </c>
      <c r="H15" s="592" t="s">
        <v>442</v>
      </c>
      <c r="I15" s="592" t="s">
        <v>578</v>
      </c>
      <c r="J15" s="592" t="s">
        <v>579</v>
      </c>
      <c r="K15" s="592" t="s">
        <v>580</v>
      </c>
      <c r="L15" s="595">
        <v>0</v>
      </c>
      <c r="M15" s="595">
        <v>0</v>
      </c>
      <c r="N15" s="592">
        <v>4</v>
      </c>
      <c r="O15" s="596">
        <v>3</v>
      </c>
      <c r="P15" s="595">
        <v>0</v>
      </c>
      <c r="Q15" s="597"/>
      <c r="R15" s="592">
        <v>4</v>
      </c>
      <c r="S15" s="597">
        <v>1</v>
      </c>
      <c r="T15" s="596">
        <v>3</v>
      </c>
      <c r="U15" s="598">
        <v>1</v>
      </c>
    </row>
    <row r="16" spans="1:21" ht="14.45" customHeight="1" x14ac:dyDescent="0.2">
      <c r="A16" s="591">
        <v>19</v>
      </c>
      <c r="B16" s="592" t="s">
        <v>534</v>
      </c>
      <c r="C16" s="592" t="s">
        <v>536</v>
      </c>
      <c r="D16" s="593" t="s">
        <v>757</v>
      </c>
      <c r="E16" s="594" t="s">
        <v>541</v>
      </c>
      <c r="F16" s="592" t="s">
        <v>535</v>
      </c>
      <c r="G16" s="592" t="s">
        <v>581</v>
      </c>
      <c r="H16" s="592" t="s">
        <v>442</v>
      </c>
      <c r="I16" s="592" t="s">
        <v>582</v>
      </c>
      <c r="J16" s="592" t="s">
        <v>583</v>
      </c>
      <c r="K16" s="592" t="s">
        <v>584</v>
      </c>
      <c r="L16" s="595">
        <v>0</v>
      </c>
      <c r="M16" s="595">
        <v>0</v>
      </c>
      <c r="N16" s="592">
        <v>1</v>
      </c>
      <c r="O16" s="596">
        <v>1</v>
      </c>
      <c r="P16" s="595">
        <v>0</v>
      </c>
      <c r="Q16" s="597"/>
      <c r="R16" s="592">
        <v>1</v>
      </c>
      <c r="S16" s="597">
        <v>1</v>
      </c>
      <c r="T16" s="596">
        <v>1</v>
      </c>
      <c r="U16" s="598">
        <v>1</v>
      </c>
    </row>
    <row r="17" spans="1:21" ht="14.45" customHeight="1" x14ac:dyDescent="0.2">
      <c r="A17" s="591">
        <v>19</v>
      </c>
      <c r="B17" s="592" t="s">
        <v>534</v>
      </c>
      <c r="C17" s="592" t="s">
        <v>536</v>
      </c>
      <c r="D17" s="593" t="s">
        <v>757</v>
      </c>
      <c r="E17" s="594" t="s">
        <v>541</v>
      </c>
      <c r="F17" s="592" t="s">
        <v>535</v>
      </c>
      <c r="G17" s="592" t="s">
        <v>585</v>
      </c>
      <c r="H17" s="592" t="s">
        <v>442</v>
      </c>
      <c r="I17" s="592" t="s">
        <v>586</v>
      </c>
      <c r="J17" s="592" t="s">
        <v>587</v>
      </c>
      <c r="K17" s="592" t="s">
        <v>588</v>
      </c>
      <c r="L17" s="595">
        <v>0</v>
      </c>
      <c r="M17" s="595">
        <v>0</v>
      </c>
      <c r="N17" s="592">
        <v>1</v>
      </c>
      <c r="O17" s="596">
        <v>1</v>
      </c>
      <c r="P17" s="595">
        <v>0</v>
      </c>
      <c r="Q17" s="597"/>
      <c r="R17" s="592">
        <v>1</v>
      </c>
      <c r="S17" s="597">
        <v>1</v>
      </c>
      <c r="T17" s="596">
        <v>1</v>
      </c>
      <c r="U17" s="598">
        <v>1</v>
      </c>
    </row>
    <row r="18" spans="1:21" ht="14.45" customHeight="1" x14ac:dyDescent="0.2">
      <c r="A18" s="591">
        <v>19</v>
      </c>
      <c r="B18" s="592" t="s">
        <v>534</v>
      </c>
      <c r="C18" s="592" t="s">
        <v>536</v>
      </c>
      <c r="D18" s="593" t="s">
        <v>757</v>
      </c>
      <c r="E18" s="594" t="s">
        <v>541</v>
      </c>
      <c r="F18" s="592" t="s">
        <v>535</v>
      </c>
      <c r="G18" s="592" t="s">
        <v>589</v>
      </c>
      <c r="H18" s="592" t="s">
        <v>487</v>
      </c>
      <c r="I18" s="592" t="s">
        <v>590</v>
      </c>
      <c r="J18" s="592" t="s">
        <v>591</v>
      </c>
      <c r="K18" s="592" t="s">
        <v>592</v>
      </c>
      <c r="L18" s="595">
        <v>154.36000000000001</v>
      </c>
      <c r="M18" s="595">
        <v>154.36000000000001</v>
      </c>
      <c r="N18" s="592">
        <v>1</v>
      </c>
      <c r="O18" s="596">
        <v>0.5</v>
      </c>
      <c r="P18" s="595">
        <v>154.36000000000001</v>
      </c>
      <c r="Q18" s="597">
        <v>1</v>
      </c>
      <c r="R18" s="592">
        <v>1</v>
      </c>
      <c r="S18" s="597">
        <v>1</v>
      </c>
      <c r="T18" s="596">
        <v>0.5</v>
      </c>
      <c r="U18" s="598">
        <v>1</v>
      </c>
    </row>
    <row r="19" spans="1:21" ht="14.45" customHeight="1" x14ac:dyDescent="0.2">
      <c r="A19" s="591">
        <v>19</v>
      </c>
      <c r="B19" s="592" t="s">
        <v>534</v>
      </c>
      <c r="C19" s="592" t="s">
        <v>536</v>
      </c>
      <c r="D19" s="593" t="s">
        <v>757</v>
      </c>
      <c r="E19" s="594" t="s">
        <v>542</v>
      </c>
      <c r="F19" s="592" t="s">
        <v>535</v>
      </c>
      <c r="G19" s="592" t="s">
        <v>593</v>
      </c>
      <c r="H19" s="592" t="s">
        <v>442</v>
      </c>
      <c r="I19" s="592" t="s">
        <v>594</v>
      </c>
      <c r="J19" s="592" t="s">
        <v>595</v>
      </c>
      <c r="K19" s="592" t="s">
        <v>596</v>
      </c>
      <c r="L19" s="595">
        <v>23.49</v>
      </c>
      <c r="M19" s="595">
        <v>93.96</v>
      </c>
      <c r="N19" s="592">
        <v>4</v>
      </c>
      <c r="O19" s="596">
        <v>3.5</v>
      </c>
      <c r="P19" s="595">
        <v>23.49</v>
      </c>
      <c r="Q19" s="597">
        <v>0.25</v>
      </c>
      <c r="R19" s="592">
        <v>1</v>
      </c>
      <c r="S19" s="597">
        <v>0.25</v>
      </c>
      <c r="T19" s="596">
        <v>0.5</v>
      </c>
      <c r="U19" s="598">
        <v>0.14285714285714285</v>
      </c>
    </row>
    <row r="20" spans="1:21" ht="14.45" customHeight="1" x14ac:dyDescent="0.2">
      <c r="A20" s="591">
        <v>19</v>
      </c>
      <c r="B20" s="592" t="s">
        <v>534</v>
      </c>
      <c r="C20" s="592" t="s">
        <v>536</v>
      </c>
      <c r="D20" s="593" t="s">
        <v>757</v>
      </c>
      <c r="E20" s="594" t="s">
        <v>542</v>
      </c>
      <c r="F20" s="592" t="s">
        <v>535</v>
      </c>
      <c r="G20" s="592" t="s">
        <v>597</v>
      </c>
      <c r="H20" s="592" t="s">
        <v>487</v>
      </c>
      <c r="I20" s="592" t="s">
        <v>598</v>
      </c>
      <c r="J20" s="592" t="s">
        <v>599</v>
      </c>
      <c r="K20" s="592" t="s">
        <v>600</v>
      </c>
      <c r="L20" s="595">
        <v>93.27</v>
      </c>
      <c r="M20" s="595">
        <v>93.27</v>
      </c>
      <c r="N20" s="592">
        <v>1</v>
      </c>
      <c r="O20" s="596">
        <v>1</v>
      </c>
      <c r="P20" s="595">
        <v>93.27</v>
      </c>
      <c r="Q20" s="597">
        <v>1</v>
      </c>
      <c r="R20" s="592">
        <v>1</v>
      </c>
      <c r="S20" s="597">
        <v>1</v>
      </c>
      <c r="T20" s="596">
        <v>1</v>
      </c>
      <c r="U20" s="598">
        <v>1</v>
      </c>
    </row>
    <row r="21" spans="1:21" ht="14.45" customHeight="1" x14ac:dyDescent="0.2">
      <c r="A21" s="591">
        <v>19</v>
      </c>
      <c r="B21" s="592" t="s">
        <v>534</v>
      </c>
      <c r="C21" s="592" t="s">
        <v>536</v>
      </c>
      <c r="D21" s="593" t="s">
        <v>757</v>
      </c>
      <c r="E21" s="594" t="s">
        <v>542</v>
      </c>
      <c r="F21" s="592" t="s">
        <v>535</v>
      </c>
      <c r="G21" s="592" t="s">
        <v>597</v>
      </c>
      <c r="H21" s="592" t="s">
        <v>442</v>
      </c>
      <c r="I21" s="592" t="s">
        <v>601</v>
      </c>
      <c r="J21" s="592" t="s">
        <v>599</v>
      </c>
      <c r="K21" s="592" t="s">
        <v>600</v>
      </c>
      <c r="L21" s="595">
        <v>93.27</v>
      </c>
      <c r="M21" s="595">
        <v>93.27</v>
      </c>
      <c r="N21" s="592">
        <v>1</v>
      </c>
      <c r="O21" s="596">
        <v>1</v>
      </c>
      <c r="P21" s="595">
        <v>93.27</v>
      </c>
      <c r="Q21" s="597">
        <v>1</v>
      </c>
      <c r="R21" s="592">
        <v>1</v>
      </c>
      <c r="S21" s="597">
        <v>1</v>
      </c>
      <c r="T21" s="596">
        <v>1</v>
      </c>
      <c r="U21" s="598">
        <v>1</v>
      </c>
    </row>
    <row r="22" spans="1:21" ht="14.45" customHeight="1" x14ac:dyDescent="0.2">
      <c r="A22" s="591">
        <v>19</v>
      </c>
      <c r="B22" s="592" t="s">
        <v>534</v>
      </c>
      <c r="C22" s="592" t="s">
        <v>536</v>
      </c>
      <c r="D22" s="593" t="s">
        <v>757</v>
      </c>
      <c r="E22" s="594" t="s">
        <v>542</v>
      </c>
      <c r="F22" s="592" t="s">
        <v>535</v>
      </c>
      <c r="G22" s="592" t="s">
        <v>602</v>
      </c>
      <c r="H22" s="592" t="s">
        <v>487</v>
      </c>
      <c r="I22" s="592" t="s">
        <v>603</v>
      </c>
      <c r="J22" s="592" t="s">
        <v>604</v>
      </c>
      <c r="K22" s="592" t="s">
        <v>605</v>
      </c>
      <c r="L22" s="595">
        <v>0</v>
      </c>
      <c r="M22" s="595">
        <v>0</v>
      </c>
      <c r="N22" s="592">
        <v>1</v>
      </c>
      <c r="O22" s="596">
        <v>1</v>
      </c>
      <c r="P22" s="595">
        <v>0</v>
      </c>
      <c r="Q22" s="597"/>
      <c r="R22" s="592">
        <v>1</v>
      </c>
      <c r="S22" s="597">
        <v>1</v>
      </c>
      <c r="T22" s="596">
        <v>1</v>
      </c>
      <c r="U22" s="598">
        <v>1</v>
      </c>
    </row>
    <row r="23" spans="1:21" ht="14.45" customHeight="1" x14ac:dyDescent="0.2">
      <c r="A23" s="591">
        <v>19</v>
      </c>
      <c r="B23" s="592" t="s">
        <v>534</v>
      </c>
      <c r="C23" s="592" t="s">
        <v>536</v>
      </c>
      <c r="D23" s="593" t="s">
        <v>757</v>
      </c>
      <c r="E23" s="594" t="s">
        <v>542</v>
      </c>
      <c r="F23" s="592" t="s">
        <v>535</v>
      </c>
      <c r="G23" s="592" t="s">
        <v>606</v>
      </c>
      <c r="H23" s="592" t="s">
        <v>442</v>
      </c>
      <c r="I23" s="592" t="s">
        <v>607</v>
      </c>
      <c r="J23" s="592" t="s">
        <v>608</v>
      </c>
      <c r="K23" s="592" t="s">
        <v>609</v>
      </c>
      <c r="L23" s="595">
        <v>70.48</v>
      </c>
      <c r="M23" s="595">
        <v>140.96</v>
      </c>
      <c r="N23" s="592">
        <v>2</v>
      </c>
      <c r="O23" s="596">
        <v>2</v>
      </c>
      <c r="P23" s="595"/>
      <c r="Q23" s="597">
        <v>0</v>
      </c>
      <c r="R23" s="592"/>
      <c r="S23" s="597">
        <v>0</v>
      </c>
      <c r="T23" s="596"/>
      <c r="U23" s="598">
        <v>0</v>
      </c>
    </row>
    <row r="24" spans="1:21" ht="14.45" customHeight="1" x14ac:dyDescent="0.2">
      <c r="A24" s="591">
        <v>19</v>
      </c>
      <c r="B24" s="592" t="s">
        <v>534</v>
      </c>
      <c r="C24" s="592" t="s">
        <v>536</v>
      </c>
      <c r="D24" s="593" t="s">
        <v>757</v>
      </c>
      <c r="E24" s="594" t="s">
        <v>542</v>
      </c>
      <c r="F24" s="592" t="s">
        <v>535</v>
      </c>
      <c r="G24" s="592" t="s">
        <v>610</v>
      </c>
      <c r="H24" s="592" t="s">
        <v>442</v>
      </c>
      <c r="I24" s="592" t="s">
        <v>611</v>
      </c>
      <c r="J24" s="592" t="s">
        <v>612</v>
      </c>
      <c r="K24" s="592" t="s">
        <v>613</v>
      </c>
      <c r="L24" s="595">
        <v>182.22</v>
      </c>
      <c r="M24" s="595">
        <v>182.22</v>
      </c>
      <c r="N24" s="592">
        <v>1</v>
      </c>
      <c r="O24" s="596">
        <v>1</v>
      </c>
      <c r="P24" s="595"/>
      <c r="Q24" s="597">
        <v>0</v>
      </c>
      <c r="R24" s="592"/>
      <c r="S24" s="597">
        <v>0</v>
      </c>
      <c r="T24" s="596"/>
      <c r="U24" s="598">
        <v>0</v>
      </c>
    </row>
    <row r="25" spans="1:21" ht="14.45" customHeight="1" x14ac:dyDescent="0.2">
      <c r="A25" s="591">
        <v>19</v>
      </c>
      <c r="B25" s="592" t="s">
        <v>534</v>
      </c>
      <c r="C25" s="592" t="s">
        <v>536</v>
      </c>
      <c r="D25" s="593" t="s">
        <v>757</v>
      </c>
      <c r="E25" s="594" t="s">
        <v>542</v>
      </c>
      <c r="F25" s="592" t="s">
        <v>535</v>
      </c>
      <c r="G25" s="592" t="s">
        <v>614</v>
      </c>
      <c r="H25" s="592" t="s">
        <v>442</v>
      </c>
      <c r="I25" s="592" t="s">
        <v>615</v>
      </c>
      <c r="J25" s="592" t="s">
        <v>616</v>
      </c>
      <c r="K25" s="592" t="s">
        <v>617</v>
      </c>
      <c r="L25" s="595">
        <v>79.64</v>
      </c>
      <c r="M25" s="595">
        <v>79.64</v>
      </c>
      <c r="N25" s="592">
        <v>1</v>
      </c>
      <c r="O25" s="596">
        <v>0.5</v>
      </c>
      <c r="P25" s="595">
        <v>79.64</v>
      </c>
      <c r="Q25" s="597">
        <v>1</v>
      </c>
      <c r="R25" s="592">
        <v>1</v>
      </c>
      <c r="S25" s="597">
        <v>1</v>
      </c>
      <c r="T25" s="596">
        <v>0.5</v>
      </c>
      <c r="U25" s="598">
        <v>1</v>
      </c>
    </row>
    <row r="26" spans="1:21" ht="14.45" customHeight="1" x14ac:dyDescent="0.2">
      <c r="A26" s="591">
        <v>19</v>
      </c>
      <c r="B26" s="592" t="s">
        <v>534</v>
      </c>
      <c r="C26" s="592" t="s">
        <v>536</v>
      </c>
      <c r="D26" s="593" t="s">
        <v>757</v>
      </c>
      <c r="E26" s="594" t="s">
        <v>542</v>
      </c>
      <c r="F26" s="592" t="s">
        <v>535</v>
      </c>
      <c r="G26" s="592" t="s">
        <v>557</v>
      </c>
      <c r="H26" s="592" t="s">
        <v>442</v>
      </c>
      <c r="I26" s="592" t="s">
        <v>618</v>
      </c>
      <c r="J26" s="592" t="s">
        <v>619</v>
      </c>
      <c r="K26" s="592" t="s">
        <v>620</v>
      </c>
      <c r="L26" s="595">
        <v>48.09</v>
      </c>
      <c r="M26" s="595">
        <v>48.09</v>
      </c>
      <c r="N26" s="592">
        <v>1</v>
      </c>
      <c r="O26" s="596">
        <v>0.5</v>
      </c>
      <c r="P26" s="595">
        <v>48.09</v>
      </c>
      <c r="Q26" s="597">
        <v>1</v>
      </c>
      <c r="R26" s="592">
        <v>1</v>
      </c>
      <c r="S26" s="597">
        <v>1</v>
      </c>
      <c r="T26" s="596">
        <v>0.5</v>
      </c>
      <c r="U26" s="598">
        <v>1</v>
      </c>
    </row>
    <row r="27" spans="1:21" ht="14.45" customHeight="1" x14ac:dyDescent="0.2">
      <c r="A27" s="591">
        <v>19</v>
      </c>
      <c r="B27" s="592" t="s">
        <v>534</v>
      </c>
      <c r="C27" s="592" t="s">
        <v>536</v>
      </c>
      <c r="D27" s="593" t="s">
        <v>757</v>
      </c>
      <c r="E27" s="594" t="s">
        <v>542</v>
      </c>
      <c r="F27" s="592" t="s">
        <v>535</v>
      </c>
      <c r="G27" s="592" t="s">
        <v>557</v>
      </c>
      <c r="H27" s="592" t="s">
        <v>442</v>
      </c>
      <c r="I27" s="592" t="s">
        <v>618</v>
      </c>
      <c r="J27" s="592" t="s">
        <v>619</v>
      </c>
      <c r="K27" s="592" t="s">
        <v>620</v>
      </c>
      <c r="L27" s="595">
        <v>42.14</v>
      </c>
      <c r="M27" s="595">
        <v>42.14</v>
      </c>
      <c r="N27" s="592">
        <v>1</v>
      </c>
      <c r="O27" s="596">
        <v>0.5</v>
      </c>
      <c r="P27" s="595">
        <v>42.14</v>
      </c>
      <c r="Q27" s="597">
        <v>1</v>
      </c>
      <c r="R27" s="592">
        <v>1</v>
      </c>
      <c r="S27" s="597">
        <v>1</v>
      </c>
      <c r="T27" s="596">
        <v>0.5</v>
      </c>
      <c r="U27" s="598">
        <v>1</v>
      </c>
    </row>
    <row r="28" spans="1:21" ht="14.45" customHeight="1" x14ac:dyDescent="0.2">
      <c r="A28" s="591">
        <v>19</v>
      </c>
      <c r="B28" s="592" t="s">
        <v>534</v>
      </c>
      <c r="C28" s="592" t="s">
        <v>536</v>
      </c>
      <c r="D28" s="593" t="s">
        <v>757</v>
      </c>
      <c r="E28" s="594" t="s">
        <v>542</v>
      </c>
      <c r="F28" s="592" t="s">
        <v>535</v>
      </c>
      <c r="G28" s="592" t="s">
        <v>561</v>
      </c>
      <c r="H28" s="592" t="s">
        <v>442</v>
      </c>
      <c r="I28" s="592" t="s">
        <v>562</v>
      </c>
      <c r="J28" s="592" t="s">
        <v>563</v>
      </c>
      <c r="K28" s="592" t="s">
        <v>564</v>
      </c>
      <c r="L28" s="595">
        <v>57.48</v>
      </c>
      <c r="M28" s="595">
        <v>919.68</v>
      </c>
      <c r="N28" s="592">
        <v>16</v>
      </c>
      <c r="O28" s="596">
        <v>8</v>
      </c>
      <c r="P28" s="595">
        <v>689.76</v>
      </c>
      <c r="Q28" s="597">
        <v>0.75</v>
      </c>
      <c r="R28" s="592">
        <v>12</v>
      </c>
      <c r="S28" s="597">
        <v>0.75</v>
      </c>
      <c r="T28" s="596">
        <v>6</v>
      </c>
      <c r="U28" s="598">
        <v>0.75</v>
      </c>
    </row>
    <row r="29" spans="1:21" ht="14.45" customHeight="1" x14ac:dyDescent="0.2">
      <c r="A29" s="591">
        <v>19</v>
      </c>
      <c r="B29" s="592" t="s">
        <v>534</v>
      </c>
      <c r="C29" s="592" t="s">
        <v>536</v>
      </c>
      <c r="D29" s="593" t="s">
        <v>757</v>
      </c>
      <c r="E29" s="594" t="s">
        <v>542</v>
      </c>
      <c r="F29" s="592" t="s">
        <v>535</v>
      </c>
      <c r="G29" s="592" t="s">
        <v>621</v>
      </c>
      <c r="H29" s="592" t="s">
        <v>442</v>
      </c>
      <c r="I29" s="592" t="s">
        <v>622</v>
      </c>
      <c r="J29" s="592" t="s">
        <v>623</v>
      </c>
      <c r="K29" s="592" t="s">
        <v>624</v>
      </c>
      <c r="L29" s="595">
        <v>52.75</v>
      </c>
      <c r="M29" s="595">
        <v>105.5</v>
      </c>
      <c r="N29" s="592">
        <v>2</v>
      </c>
      <c r="O29" s="596">
        <v>1.5</v>
      </c>
      <c r="P29" s="595">
        <v>105.5</v>
      </c>
      <c r="Q29" s="597">
        <v>1</v>
      </c>
      <c r="R29" s="592">
        <v>2</v>
      </c>
      <c r="S29" s="597">
        <v>1</v>
      </c>
      <c r="T29" s="596">
        <v>1.5</v>
      </c>
      <c r="U29" s="598">
        <v>1</v>
      </c>
    </row>
    <row r="30" spans="1:21" ht="14.45" customHeight="1" x14ac:dyDescent="0.2">
      <c r="A30" s="591">
        <v>19</v>
      </c>
      <c r="B30" s="592" t="s">
        <v>534</v>
      </c>
      <c r="C30" s="592" t="s">
        <v>536</v>
      </c>
      <c r="D30" s="593" t="s">
        <v>757</v>
      </c>
      <c r="E30" s="594" t="s">
        <v>542</v>
      </c>
      <c r="F30" s="592" t="s">
        <v>535</v>
      </c>
      <c r="G30" s="592" t="s">
        <v>625</v>
      </c>
      <c r="H30" s="592" t="s">
        <v>442</v>
      </c>
      <c r="I30" s="592" t="s">
        <v>626</v>
      </c>
      <c r="J30" s="592" t="s">
        <v>627</v>
      </c>
      <c r="K30" s="592" t="s">
        <v>628</v>
      </c>
      <c r="L30" s="595">
        <v>0</v>
      </c>
      <c r="M30" s="595">
        <v>0</v>
      </c>
      <c r="N30" s="592">
        <v>2</v>
      </c>
      <c r="O30" s="596">
        <v>1</v>
      </c>
      <c r="P30" s="595">
        <v>0</v>
      </c>
      <c r="Q30" s="597"/>
      <c r="R30" s="592">
        <v>2</v>
      </c>
      <c r="S30" s="597">
        <v>1</v>
      </c>
      <c r="T30" s="596">
        <v>1</v>
      </c>
      <c r="U30" s="598">
        <v>1</v>
      </c>
    </row>
    <row r="31" spans="1:21" ht="14.45" customHeight="1" x14ac:dyDescent="0.2">
      <c r="A31" s="591">
        <v>19</v>
      </c>
      <c r="B31" s="592" t="s">
        <v>534</v>
      </c>
      <c r="C31" s="592" t="s">
        <v>536</v>
      </c>
      <c r="D31" s="593" t="s">
        <v>757</v>
      </c>
      <c r="E31" s="594" t="s">
        <v>542</v>
      </c>
      <c r="F31" s="592" t="s">
        <v>535</v>
      </c>
      <c r="G31" s="592" t="s">
        <v>629</v>
      </c>
      <c r="H31" s="592" t="s">
        <v>442</v>
      </c>
      <c r="I31" s="592" t="s">
        <v>630</v>
      </c>
      <c r="J31" s="592" t="s">
        <v>631</v>
      </c>
      <c r="K31" s="592" t="s">
        <v>632</v>
      </c>
      <c r="L31" s="595">
        <v>174.59</v>
      </c>
      <c r="M31" s="595">
        <v>174.59</v>
      </c>
      <c r="N31" s="592">
        <v>1</v>
      </c>
      <c r="O31" s="596">
        <v>0.5</v>
      </c>
      <c r="P31" s="595">
        <v>174.59</v>
      </c>
      <c r="Q31" s="597">
        <v>1</v>
      </c>
      <c r="R31" s="592">
        <v>1</v>
      </c>
      <c r="S31" s="597">
        <v>1</v>
      </c>
      <c r="T31" s="596">
        <v>0.5</v>
      </c>
      <c r="U31" s="598">
        <v>1</v>
      </c>
    </row>
    <row r="32" spans="1:21" ht="14.45" customHeight="1" x14ac:dyDescent="0.2">
      <c r="A32" s="591">
        <v>19</v>
      </c>
      <c r="B32" s="592" t="s">
        <v>534</v>
      </c>
      <c r="C32" s="592" t="s">
        <v>536</v>
      </c>
      <c r="D32" s="593" t="s">
        <v>757</v>
      </c>
      <c r="E32" s="594" t="s">
        <v>542</v>
      </c>
      <c r="F32" s="592" t="s">
        <v>535</v>
      </c>
      <c r="G32" s="592" t="s">
        <v>633</v>
      </c>
      <c r="H32" s="592" t="s">
        <v>442</v>
      </c>
      <c r="I32" s="592" t="s">
        <v>634</v>
      </c>
      <c r="J32" s="592" t="s">
        <v>635</v>
      </c>
      <c r="K32" s="592" t="s">
        <v>636</v>
      </c>
      <c r="L32" s="595">
        <v>34.56</v>
      </c>
      <c r="M32" s="595">
        <v>69.12</v>
      </c>
      <c r="N32" s="592">
        <v>2</v>
      </c>
      <c r="O32" s="596">
        <v>1</v>
      </c>
      <c r="P32" s="595">
        <v>69.12</v>
      </c>
      <c r="Q32" s="597">
        <v>1</v>
      </c>
      <c r="R32" s="592">
        <v>2</v>
      </c>
      <c r="S32" s="597">
        <v>1</v>
      </c>
      <c r="T32" s="596">
        <v>1</v>
      </c>
      <c r="U32" s="598">
        <v>1</v>
      </c>
    </row>
    <row r="33" spans="1:21" ht="14.45" customHeight="1" x14ac:dyDescent="0.2">
      <c r="A33" s="591">
        <v>19</v>
      </c>
      <c r="B33" s="592" t="s">
        <v>534</v>
      </c>
      <c r="C33" s="592" t="s">
        <v>536</v>
      </c>
      <c r="D33" s="593" t="s">
        <v>757</v>
      </c>
      <c r="E33" s="594" t="s">
        <v>542</v>
      </c>
      <c r="F33" s="592" t="s">
        <v>535</v>
      </c>
      <c r="G33" s="592" t="s">
        <v>573</v>
      </c>
      <c r="H33" s="592" t="s">
        <v>442</v>
      </c>
      <c r="I33" s="592" t="s">
        <v>574</v>
      </c>
      <c r="J33" s="592" t="s">
        <v>575</v>
      </c>
      <c r="K33" s="592" t="s">
        <v>576</v>
      </c>
      <c r="L33" s="595">
        <v>0</v>
      </c>
      <c r="M33" s="595">
        <v>0</v>
      </c>
      <c r="N33" s="592">
        <v>2</v>
      </c>
      <c r="O33" s="596">
        <v>1</v>
      </c>
      <c r="P33" s="595">
        <v>0</v>
      </c>
      <c r="Q33" s="597"/>
      <c r="R33" s="592">
        <v>2</v>
      </c>
      <c r="S33" s="597">
        <v>1</v>
      </c>
      <c r="T33" s="596">
        <v>1</v>
      </c>
      <c r="U33" s="598">
        <v>1</v>
      </c>
    </row>
    <row r="34" spans="1:21" ht="14.45" customHeight="1" x14ac:dyDescent="0.2">
      <c r="A34" s="591">
        <v>19</v>
      </c>
      <c r="B34" s="592" t="s">
        <v>534</v>
      </c>
      <c r="C34" s="592" t="s">
        <v>536</v>
      </c>
      <c r="D34" s="593" t="s">
        <v>757</v>
      </c>
      <c r="E34" s="594" t="s">
        <v>542</v>
      </c>
      <c r="F34" s="592" t="s">
        <v>535</v>
      </c>
      <c r="G34" s="592" t="s">
        <v>637</v>
      </c>
      <c r="H34" s="592" t="s">
        <v>442</v>
      </c>
      <c r="I34" s="592" t="s">
        <v>638</v>
      </c>
      <c r="J34" s="592" t="s">
        <v>639</v>
      </c>
      <c r="K34" s="592" t="s">
        <v>640</v>
      </c>
      <c r="L34" s="595">
        <v>108.44</v>
      </c>
      <c r="M34" s="595">
        <v>108.44</v>
      </c>
      <c r="N34" s="592">
        <v>1</v>
      </c>
      <c r="O34" s="596">
        <v>1</v>
      </c>
      <c r="P34" s="595">
        <v>108.44</v>
      </c>
      <c r="Q34" s="597">
        <v>1</v>
      </c>
      <c r="R34" s="592">
        <v>1</v>
      </c>
      <c r="S34" s="597">
        <v>1</v>
      </c>
      <c r="T34" s="596">
        <v>1</v>
      </c>
      <c r="U34" s="598">
        <v>1</v>
      </c>
    </row>
    <row r="35" spans="1:21" ht="14.45" customHeight="1" x14ac:dyDescent="0.2">
      <c r="A35" s="591">
        <v>19</v>
      </c>
      <c r="B35" s="592" t="s">
        <v>534</v>
      </c>
      <c r="C35" s="592" t="s">
        <v>536</v>
      </c>
      <c r="D35" s="593" t="s">
        <v>757</v>
      </c>
      <c r="E35" s="594" t="s">
        <v>542</v>
      </c>
      <c r="F35" s="592" t="s">
        <v>535</v>
      </c>
      <c r="G35" s="592" t="s">
        <v>641</v>
      </c>
      <c r="H35" s="592" t="s">
        <v>442</v>
      </c>
      <c r="I35" s="592" t="s">
        <v>642</v>
      </c>
      <c r="J35" s="592" t="s">
        <v>643</v>
      </c>
      <c r="K35" s="592" t="s">
        <v>644</v>
      </c>
      <c r="L35" s="595">
        <v>42.54</v>
      </c>
      <c r="M35" s="595">
        <v>42.54</v>
      </c>
      <c r="N35" s="592">
        <v>1</v>
      </c>
      <c r="O35" s="596">
        <v>1</v>
      </c>
      <c r="P35" s="595">
        <v>42.54</v>
      </c>
      <c r="Q35" s="597">
        <v>1</v>
      </c>
      <c r="R35" s="592">
        <v>1</v>
      </c>
      <c r="S35" s="597">
        <v>1</v>
      </c>
      <c r="T35" s="596">
        <v>1</v>
      </c>
      <c r="U35" s="598">
        <v>1</v>
      </c>
    </row>
    <row r="36" spans="1:21" ht="14.45" customHeight="1" x14ac:dyDescent="0.2">
      <c r="A36" s="591">
        <v>19</v>
      </c>
      <c r="B36" s="592" t="s">
        <v>534</v>
      </c>
      <c r="C36" s="592" t="s">
        <v>536</v>
      </c>
      <c r="D36" s="593" t="s">
        <v>757</v>
      </c>
      <c r="E36" s="594" t="s">
        <v>542</v>
      </c>
      <c r="F36" s="592" t="s">
        <v>535</v>
      </c>
      <c r="G36" s="592" t="s">
        <v>645</v>
      </c>
      <c r="H36" s="592" t="s">
        <v>442</v>
      </c>
      <c r="I36" s="592" t="s">
        <v>646</v>
      </c>
      <c r="J36" s="592" t="s">
        <v>647</v>
      </c>
      <c r="K36" s="592" t="s">
        <v>648</v>
      </c>
      <c r="L36" s="595">
        <v>0</v>
      </c>
      <c r="M36" s="595">
        <v>0</v>
      </c>
      <c r="N36" s="592">
        <v>3</v>
      </c>
      <c r="O36" s="596">
        <v>2.5</v>
      </c>
      <c r="P36" s="595">
        <v>0</v>
      </c>
      <c r="Q36" s="597"/>
      <c r="R36" s="592">
        <v>3</v>
      </c>
      <c r="S36" s="597">
        <v>1</v>
      </c>
      <c r="T36" s="596">
        <v>2.5</v>
      </c>
      <c r="U36" s="598">
        <v>1</v>
      </c>
    </row>
    <row r="37" spans="1:21" ht="14.45" customHeight="1" x14ac:dyDescent="0.2">
      <c r="A37" s="591">
        <v>19</v>
      </c>
      <c r="B37" s="592" t="s">
        <v>534</v>
      </c>
      <c r="C37" s="592" t="s">
        <v>536</v>
      </c>
      <c r="D37" s="593" t="s">
        <v>757</v>
      </c>
      <c r="E37" s="594" t="s">
        <v>542</v>
      </c>
      <c r="F37" s="592" t="s">
        <v>535</v>
      </c>
      <c r="G37" s="592" t="s">
        <v>645</v>
      </c>
      <c r="H37" s="592" t="s">
        <v>487</v>
      </c>
      <c r="I37" s="592" t="s">
        <v>649</v>
      </c>
      <c r="J37" s="592" t="s">
        <v>647</v>
      </c>
      <c r="K37" s="592" t="s">
        <v>648</v>
      </c>
      <c r="L37" s="595">
        <v>0</v>
      </c>
      <c r="M37" s="595">
        <v>0</v>
      </c>
      <c r="N37" s="592">
        <v>3</v>
      </c>
      <c r="O37" s="596">
        <v>2</v>
      </c>
      <c r="P37" s="595">
        <v>0</v>
      </c>
      <c r="Q37" s="597"/>
      <c r="R37" s="592">
        <v>3</v>
      </c>
      <c r="S37" s="597">
        <v>1</v>
      </c>
      <c r="T37" s="596">
        <v>2</v>
      </c>
      <c r="U37" s="598">
        <v>1</v>
      </c>
    </row>
    <row r="38" spans="1:21" ht="14.45" customHeight="1" x14ac:dyDescent="0.2">
      <c r="A38" s="591">
        <v>19</v>
      </c>
      <c r="B38" s="592" t="s">
        <v>534</v>
      </c>
      <c r="C38" s="592" t="s">
        <v>536</v>
      </c>
      <c r="D38" s="593" t="s">
        <v>757</v>
      </c>
      <c r="E38" s="594" t="s">
        <v>542</v>
      </c>
      <c r="F38" s="592" t="s">
        <v>535</v>
      </c>
      <c r="G38" s="592" t="s">
        <v>589</v>
      </c>
      <c r="H38" s="592" t="s">
        <v>487</v>
      </c>
      <c r="I38" s="592" t="s">
        <v>590</v>
      </c>
      <c r="J38" s="592" t="s">
        <v>591</v>
      </c>
      <c r="K38" s="592" t="s">
        <v>592</v>
      </c>
      <c r="L38" s="595">
        <v>154.36000000000001</v>
      </c>
      <c r="M38" s="595">
        <v>308.72000000000003</v>
      </c>
      <c r="N38" s="592">
        <v>2</v>
      </c>
      <c r="O38" s="596">
        <v>1.5</v>
      </c>
      <c r="P38" s="595">
        <v>308.72000000000003</v>
      </c>
      <c r="Q38" s="597">
        <v>1</v>
      </c>
      <c r="R38" s="592">
        <v>2</v>
      </c>
      <c r="S38" s="597">
        <v>1</v>
      </c>
      <c r="T38" s="596">
        <v>1.5</v>
      </c>
      <c r="U38" s="598">
        <v>1</v>
      </c>
    </row>
    <row r="39" spans="1:21" ht="14.45" customHeight="1" x14ac:dyDescent="0.2">
      <c r="A39" s="591">
        <v>19</v>
      </c>
      <c r="B39" s="592" t="s">
        <v>534</v>
      </c>
      <c r="C39" s="592" t="s">
        <v>536</v>
      </c>
      <c r="D39" s="593" t="s">
        <v>757</v>
      </c>
      <c r="E39" s="594" t="s">
        <v>543</v>
      </c>
      <c r="F39" s="592" t="s">
        <v>535</v>
      </c>
      <c r="G39" s="592" t="s">
        <v>650</v>
      </c>
      <c r="H39" s="592" t="s">
        <v>442</v>
      </c>
      <c r="I39" s="592" t="s">
        <v>651</v>
      </c>
      <c r="J39" s="592" t="s">
        <v>652</v>
      </c>
      <c r="K39" s="592" t="s">
        <v>653</v>
      </c>
      <c r="L39" s="595">
        <v>80.23</v>
      </c>
      <c r="M39" s="595">
        <v>80.23</v>
      </c>
      <c r="N39" s="592">
        <v>1</v>
      </c>
      <c r="O39" s="596">
        <v>0.5</v>
      </c>
      <c r="P39" s="595">
        <v>80.23</v>
      </c>
      <c r="Q39" s="597">
        <v>1</v>
      </c>
      <c r="R39" s="592">
        <v>1</v>
      </c>
      <c r="S39" s="597">
        <v>1</v>
      </c>
      <c r="T39" s="596">
        <v>0.5</v>
      </c>
      <c r="U39" s="598">
        <v>1</v>
      </c>
    </row>
    <row r="40" spans="1:21" ht="14.45" customHeight="1" x14ac:dyDescent="0.2">
      <c r="A40" s="591">
        <v>19</v>
      </c>
      <c r="B40" s="592" t="s">
        <v>534</v>
      </c>
      <c r="C40" s="592" t="s">
        <v>536</v>
      </c>
      <c r="D40" s="593" t="s">
        <v>757</v>
      </c>
      <c r="E40" s="594" t="s">
        <v>543</v>
      </c>
      <c r="F40" s="592" t="s">
        <v>535</v>
      </c>
      <c r="G40" s="592" t="s">
        <v>654</v>
      </c>
      <c r="H40" s="592" t="s">
        <v>442</v>
      </c>
      <c r="I40" s="592" t="s">
        <v>655</v>
      </c>
      <c r="J40" s="592" t="s">
        <v>656</v>
      </c>
      <c r="K40" s="592" t="s">
        <v>657</v>
      </c>
      <c r="L40" s="595">
        <v>310.58999999999997</v>
      </c>
      <c r="M40" s="595">
        <v>621.17999999999995</v>
      </c>
      <c r="N40" s="592">
        <v>2</v>
      </c>
      <c r="O40" s="596">
        <v>1.5</v>
      </c>
      <c r="P40" s="595">
        <v>621.17999999999995</v>
      </c>
      <c r="Q40" s="597">
        <v>1</v>
      </c>
      <c r="R40" s="592">
        <v>2</v>
      </c>
      <c r="S40" s="597">
        <v>1</v>
      </c>
      <c r="T40" s="596">
        <v>1.5</v>
      </c>
      <c r="U40" s="598">
        <v>1</v>
      </c>
    </row>
    <row r="41" spans="1:21" ht="14.45" customHeight="1" x14ac:dyDescent="0.2">
      <c r="A41" s="591">
        <v>19</v>
      </c>
      <c r="B41" s="592" t="s">
        <v>534</v>
      </c>
      <c r="C41" s="592" t="s">
        <v>536</v>
      </c>
      <c r="D41" s="593" t="s">
        <v>757</v>
      </c>
      <c r="E41" s="594" t="s">
        <v>543</v>
      </c>
      <c r="F41" s="592" t="s">
        <v>535</v>
      </c>
      <c r="G41" s="592" t="s">
        <v>654</v>
      </c>
      <c r="H41" s="592" t="s">
        <v>442</v>
      </c>
      <c r="I41" s="592" t="s">
        <v>658</v>
      </c>
      <c r="J41" s="592" t="s">
        <v>659</v>
      </c>
      <c r="K41" s="592" t="s">
        <v>660</v>
      </c>
      <c r="L41" s="595">
        <v>279.52999999999997</v>
      </c>
      <c r="M41" s="595">
        <v>279.52999999999997</v>
      </c>
      <c r="N41" s="592">
        <v>1</v>
      </c>
      <c r="O41" s="596">
        <v>0.5</v>
      </c>
      <c r="P41" s="595">
        <v>279.52999999999997</v>
      </c>
      <c r="Q41" s="597">
        <v>1</v>
      </c>
      <c r="R41" s="592">
        <v>1</v>
      </c>
      <c r="S41" s="597">
        <v>1</v>
      </c>
      <c r="T41" s="596">
        <v>0.5</v>
      </c>
      <c r="U41" s="598">
        <v>1</v>
      </c>
    </row>
    <row r="42" spans="1:21" ht="14.45" customHeight="1" x14ac:dyDescent="0.2">
      <c r="A42" s="591">
        <v>19</v>
      </c>
      <c r="B42" s="592" t="s">
        <v>534</v>
      </c>
      <c r="C42" s="592" t="s">
        <v>536</v>
      </c>
      <c r="D42" s="593" t="s">
        <v>757</v>
      </c>
      <c r="E42" s="594" t="s">
        <v>543</v>
      </c>
      <c r="F42" s="592" t="s">
        <v>535</v>
      </c>
      <c r="G42" s="592" t="s">
        <v>661</v>
      </c>
      <c r="H42" s="592" t="s">
        <v>487</v>
      </c>
      <c r="I42" s="592" t="s">
        <v>662</v>
      </c>
      <c r="J42" s="592" t="s">
        <v>663</v>
      </c>
      <c r="K42" s="592" t="s">
        <v>664</v>
      </c>
      <c r="L42" s="595">
        <v>65.540000000000006</v>
      </c>
      <c r="M42" s="595">
        <v>131.08000000000001</v>
      </c>
      <c r="N42" s="592">
        <v>2</v>
      </c>
      <c r="O42" s="596">
        <v>0.5</v>
      </c>
      <c r="P42" s="595">
        <v>131.08000000000001</v>
      </c>
      <c r="Q42" s="597">
        <v>1</v>
      </c>
      <c r="R42" s="592">
        <v>2</v>
      </c>
      <c r="S42" s="597">
        <v>1</v>
      </c>
      <c r="T42" s="596">
        <v>0.5</v>
      </c>
      <c r="U42" s="598">
        <v>1</v>
      </c>
    </row>
    <row r="43" spans="1:21" ht="14.45" customHeight="1" x14ac:dyDescent="0.2">
      <c r="A43" s="591">
        <v>19</v>
      </c>
      <c r="B43" s="592" t="s">
        <v>534</v>
      </c>
      <c r="C43" s="592" t="s">
        <v>536</v>
      </c>
      <c r="D43" s="593" t="s">
        <v>757</v>
      </c>
      <c r="E43" s="594" t="s">
        <v>543</v>
      </c>
      <c r="F43" s="592" t="s">
        <v>535</v>
      </c>
      <c r="G43" s="592" t="s">
        <v>602</v>
      </c>
      <c r="H43" s="592" t="s">
        <v>487</v>
      </c>
      <c r="I43" s="592" t="s">
        <v>665</v>
      </c>
      <c r="J43" s="592" t="s">
        <v>604</v>
      </c>
      <c r="K43" s="592" t="s">
        <v>666</v>
      </c>
      <c r="L43" s="595">
        <v>176.32</v>
      </c>
      <c r="M43" s="595">
        <v>352.64</v>
      </c>
      <c r="N43" s="592">
        <v>2</v>
      </c>
      <c r="O43" s="596">
        <v>1.5</v>
      </c>
      <c r="P43" s="595">
        <v>352.64</v>
      </c>
      <c r="Q43" s="597">
        <v>1</v>
      </c>
      <c r="R43" s="592">
        <v>2</v>
      </c>
      <c r="S43" s="597">
        <v>1</v>
      </c>
      <c r="T43" s="596">
        <v>1.5</v>
      </c>
      <c r="U43" s="598">
        <v>1</v>
      </c>
    </row>
    <row r="44" spans="1:21" ht="14.45" customHeight="1" x14ac:dyDescent="0.2">
      <c r="A44" s="591">
        <v>19</v>
      </c>
      <c r="B44" s="592" t="s">
        <v>534</v>
      </c>
      <c r="C44" s="592" t="s">
        <v>536</v>
      </c>
      <c r="D44" s="593" t="s">
        <v>757</v>
      </c>
      <c r="E44" s="594" t="s">
        <v>543</v>
      </c>
      <c r="F44" s="592" t="s">
        <v>535</v>
      </c>
      <c r="G44" s="592" t="s">
        <v>610</v>
      </c>
      <c r="H44" s="592" t="s">
        <v>442</v>
      </c>
      <c r="I44" s="592" t="s">
        <v>667</v>
      </c>
      <c r="J44" s="592" t="s">
        <v>612</v>
      </c>
      <c r="K44" s="592" t="s">
        <v>668</v>
      </c>
      <c r="L44" s="595">
        <v>273.33</v>
      </c>
      <c r="M44" s="595">
        <v>546.66</v>
      </c>
      <c r="N44" s="592">
        <v>2</v>
      </c>
      <c r="O44" s="596">
        <v>1</v>
      </c>
      <c r="P44" s="595">
        <v>546.66</v>
      </c>
      <c r="Q44" s="597">
        <v>1</v>
      </c>
      <c r="R44" s="592">
        <v>2</v>
      </c>
      <c r="S44" s="597">
        <v>1</v>
      </c>
      <c r="T44" s="596">
        <v>1</v>
      </c>
      <c r="U44" s="598">
        <v>1</v>
      </c>
    </row>
    <row r="45" spans="1:21" ht="14.45" customHeight="1" x14ac:dyDescent="0.2">
      <c r="A45" s="591">
        <v>19</v>
      </c>
      <c r="B45" s="592" t="s">
        <v>534</v>
      </c>
      <c r="C45" s="592" t="s">
        <v>536</v>
      </c>
      <c r="D45" s="593" t="s">
        <v>757</v>
      </c>
      <c r="E45" s="594" t="s">
        <v>543</v>
      </c>
      <c r="F45" s="592" t="s">
        <v>535</v>
      </c>
      <c r="G45" s="592" t="s">
        <v>610</v>
      </c>
      <c r="H45" s="592" t="s">
        <v>442</v>
      </c>
      <c r="I45" s="592" t="s">
        <v>669</v>
      </c>
      <c r="J45" s="592" t="s">
        <v>612</v>
      </c>
      <c r="K45" s="592" t="s">
        <v>670</v>
      </c>
      <c r="L45" s="595">
        <v>273.33</v>
      </c>
      <c r="M45" s="595">
        <v>273.33</v>
      </c>
      <c r="N45" s="592">
        <v>1</v>
      </c>
      <c r="O45" s="596">
        <v>1</v>
      </c>
      <c r="P45" s="595">
        <v>273.33</v>
      </c>
      <c r="Q45" s="597">
        <v>1</v>
      </c>
      <c r="R45" s="592">
        <v>1</v>
      </c>
      <c r="S45" s="597">
        <v>1</v>
      </c>
      <c r="T45" s="596">
        <v>1</v>
      </c>
      <c r="U45" s="598">
        <v>1</v>
      </c>
    </row>
    <row r="46" spans="1:21" ht="14.45" customHeight="1" x14ac:dyDescent="0.2">
      <c r="A46" s="591">
        <v>19</v>
      </c>
      <c r="B46" s="592" t="s">
        <v>534</v>
      </c>
      <c r="C46" s="592" t="s">
        <v>536</v>
      </c>
      <c r="D46" s="593" t="s">
        <v>757</v>
      </c>
      <c r="E46" s="594" t="s">
        <v>543</v>
      </c>
      <c r="F46" s="592" t="s">
        <v>535</v>
      </c>
      <c r="G46" s="592" t="s">
        <v>671</v>
      </c>
      <c r="H46" s="592" t="s">
        <v>442</v>
      </c>
      <c r="I46" s="592" t="s">
        <v>672</v>
      </c>
      <c r="J46" s="592" t="s">
        <v>673</v>
      </c>
      <c r="K46" s="592" t="s">
        <v>674</v>
      </c>
      <c r="L46" s="595">
        <v>186.99</v>
      </c>
      <c r="M46" s="595">
        <v>186.99</v>
      </c>
      <c r="N46" s="592">
        <v>1</v>
      </c>
      <c r="O46" s="596">
        <v>0.5</v>
      </c>
      <c r="P46" s="595">
        <v>186.99</v>
      </c>
      <c r="Q46" s="597">
        <v>1</v>
      </c>
      <c r="R46" s="592">
        <v>1</v>
      </c>
      <c r="S46" s="597">
        <v>1</v>
      </c>
      <c r="T46" s="596">
        <v>0.5</v>
      </c>
      <c r="U46" s="598">
        <v>1</v>
      </c>
    </row>
    <row r="47" spans="1:21" ht="14.45" customHeight="1" x14ac:dyDescent="0.2">
      <c r="A47" s="591">
        <v>19</v>
      </c>
      <c r="B47" s="592" t="s">
        <v>534</v>
      </c>
      <c r="C47" s="592" t="s">
        <v>536</v>
      </c>
      <c r="D47" s="593" t="s">
        <v>757</v>
      </c>
      <c r="E47" s="594" t="s">
        <v>543</v>
      </c>
      <c r="F47" s="592" t="s">
        <v>535</v>
      </c>
      <c r="G47" s="592" t="s">
        <v>675</v>
      </c>
      <c r="H47" s="592" t="s">
        <v>487</v>
      </c>
      <c r="I47" s="592" t="s">
        <v>676</v>
      </c>
      <c r="J47" s="592" t="s">
        <v>677</v>
      </c>
      <c r="K47" s="592" t="s">
        <v>678</v>
      </c>
      <c r="L47" s="595">
        <v>93.43</v>
      </c>
      <c r="M47" s="595">
        <v>280.29000000000002</v>
      </c>
      <c r="N47" s="592">
        <v>3</v>
      </c>
      <c r="O47" s="596">
        <v>0.5</v>
      </c>
      <c r="P47" s="595">
        <v>280.29000000000002</v>
      </c>
      <c r="Q47" s="597">
        <v>1</v>
      </c>
      <c r="R47" s="592">
        <v>3</v>
      </c>
      <c r="S47" s="597">
        <v>1</v>
      </c>
      <c r="T47" s="596">
        <v>0.5</v>
      </c>
      <c r="U47" s="598">
        <v>1</v>
      </c>
    </row>
    <row r="48" spans="1:21" ht="14.45" customHeight="1" x14ac:dyDescent="0.2">
      <c r="A48" s="591">
        <v>19</v>
      </c>
      <c r="B48" s="592" t="s">
        <v>534</v>
      </c>
      <c r="C48" s="592" t="s">
        <v>536</v>
      </c>
      <c r="D48" s="593" t="s">
        <v>757</v>
      </c>
      <c r="E48" s="594" t="s">
        <v>543</v>
      </c>
      <c r="F48" s="592" t="s">
        <v>535</v>
      </c>
      <c r="G48" s="592" t="s">
        <v>675</v>
      </c>
      <c r="H48" s="592" t="s">
        <v>487</v>
      </c>
      <c r="I48" s="592" t="s">
        <v>679</v>
      </c>
      <c r="J48" s="592" t="s">
        <v>677</v>
      </c>
      <c r="K48" s="592" t="s">
        <v>680</v>
      </c>
      <c r="L48" s="595">
        <v>186.87</v>
      </c>
      <c r="M48" s="595">
        <v>373.74</v>
      </c>
      <c r="N48" s="592">
        <v>2</v>
      </c>
      <c r="O48" s="596">
        <v>1</v>
      </c>
      <c r="P48" s="595">
        <v>373.74</v>
      </c>
      <c r="Q48" s="597">
        <v>1</v>
      </c>
      <c r="R48" s="592">
        <v>2</v>
      </c>
      <c r="S48" s="597">
        <v>1</v>
      </c>
      <c r="T48" s="596">
        <v>1</v>
      </c>
      <c r="U48" s="598">
        <v>1</v>
      </c>
    </row>
    <row r="49" spans="1:21" ht="14.45" customHeight="1" x14ac:dyDescent="0.2">
      <c r="A49" s="591">
        <v>19</v>
      </c>
      <c r="B49" s="592" t="s">
        <v>534</v>
      </c>
      <c r="C49" s="592" t="s">
        <v>536</v>
      </c>
      <c r="D49" s="593" t="s">
        <v>757</v>
      </c>
      <c r="E49" s="594" t="s">
        <v>543</v>
      </c>
      <c r="F49" s="592" t="s">
        <v>535</v>
      </c>
      <c r="G49" s="592" t="s">
        <v>681</v>
      </c>
      <c r="H49" s="592" t="s">
        <v>442</v>
      </c>
      <c r="I49" s="592" t="s">
        <v>682</v>
      </c>
      <c r="J49" s="592" t="s">
        <v>683</v>
      </c>
      <c r="K49" s="592" t="s">
        <v>684</v>
      </c>
      <c r="L49" s="595">
        <v>69.59</v>
      </c>
      <c r="M49" s="595">
        <v>139.18</v>
      </c>
      <c r="N49" s="592">
        <v>2</v>
      </c>
      <c r="O49" s="596">
        <v>1</v>
      </c>
      <c r="P49" s="595">
        <v>139.18</v>
      </c>
      <c r="Q49" s="597">
        <v>1</v>
      </c>
      <c r="R49" s="592">
        <v>2</v>
      </c>
      <c r="S49" s="597">
        <v>1</v>
      </c>
      <c r="T49" s="596">
        <v>1</v>
      </c>
      <c r="U49" s="598">
        <v>1</v>
      </c>
    </row>
    <row r="50" spans="1:21" ht="14.45" customHeight="1" x14ac:dyDescent="0.2">
      <c r="A50" s="591">
        <v>19</v>
      </c>
      <c r="B50" s="592" t="s">
        <v>534</v>
      </c>
      <c r="C50" s="592" t="s">
        <v>536</v>
      </c>
      <c r="D50" s="593" t="s">
        <v>757</v>
      </c>
      <c r="E50" s="594" t="s">
        <v>543</v>
      </c>
      <c r="F50" s="592" t="s">
        <v>535</v>
      </c>
      <c r="G50" s="592" t="s">
        <v>685</v>
      </c>
      <c r="H50" s="592" t="s">
        <v>442</v>
      </c>
      <c r="I50" s="592" t="s">
        <v>686</v>
      </c>
      <c r="J50" s="592" t="s">
        <v>687</v>
      </c>
      <c r="K50" s="592" t="s">
        <v>688</v>
      </c>
      <c r="L50" s="595">
        <v>42.47</v>
      </c>
      <c r="M50" s="595">
        <v>84.94</v>
      </c>
      <c r="N50" s="592">
        <v>2</v>
      </c>
      <c r="O50" s="596">
        <v>1</v>
      </c>
      <c r="P50" s="595">
        <v>84.94</v>
      </c>
      <c r="Q50" s="597">
        <v>1</v>
      </c>
      <c r="R50" s="592">
        <v>2</v>
      </c>
      <c r="S50" s="597">
        <v>1</v>
      </c>
      <c r="T50" s="596">
        <v>1</v>
      </c>
      <c r="U50" s="598">
        <v>1</v>
      </c>
    </row>
    <row r="51" spans="1:21" ht="14.45" customHeight="1" x14ac:dyDescent="0.2">
      <c r="A51" s="591">
        <v>19</v>
      </c>
      <c r="B51" s="592" t="s">
        <v>534</v>
      </c>
      <c r="C51" s="592" t="s">
        <v>536</v>
      </c>
      <c r="D51" s="593" t="s">
        <v>757</v>
      </c>
      <c r="E51" s="594" t="s">
        <v>543</v>
      </c>
      <c r="F51" s="592" t="s">
        <v>535</v>
      </c>
      <c r="G51" s="592" t="s">
        <v>689</v>
      </c>
      <c r="H51" s="592" t="s">
        <v>442</v>
      </c>
      <c r="I51" s="592" t="s">
        <v>690</v>
      </c>
      <c r="J51" s="592" t="s">
        <v>691</v>
      </c>
      <c r="K51" s="592" t="s">
        <v>692</v>
      </c>
      <c r="L51" s="595">
        <v>93.18</v>
      </c>
      <c r="M51" s="595">
        <v>93.18</v>
      </c>
      <c r="N51" s="592">
        <v>1</v>
      </c>
      <c r="O51" s="596">
        <v>1</v>
      </c>
      <c r="P51" s="595">
        <v>93.18</v>
      </c>
      <c r="Q51" s="597">
        <v>1</v>
      </c>
      <c r="R51" s="592">
        <v>1</v>
      </c>
      <c r="S51" s="597">
        <v>1</v>
      </c>
      <c r="T51" s="596">
        <v>1</v>
      </c>
      <c r="U51" s="598">
        <v>1</v>
      </c>
    </row>
    <row r="52" spans="1:21" ht="14.45" customHeight="1" x14ac:dyDescent="0.2">
      <c r="A52" s="591">
        <v>19</v>
      </c>
      <c r="B52" s="592" t="s">
        <v>534</v>
      </c>
      <c r="C52" s="592" t="s">
        <v>536</v>
      </c>
      <c r="D52" s="593" t="s">
        <v>757</v>
      </c>
      <c r="E52" s="594" t="s">
        <v>543</v>
      </c>
      <c r="F52" s="592" t="s">
        <v>535</v>
      </c>
      <c r="G52" s="592" t="s">
        <v>689</v>
      </c>
      <c r="H52" s="592" t="s">
        <v>442</v>
      </c>
      <c r="I52" s="592" t="s">
        <v>693</v>
      </c>
      <c r="J52" s="592" t="s">
        <v>691</v>
      </c>
      <c r="K52" s="592" t="s">
        <v>694</v>
      </c>
      <c r="L52" s="595">
        <v>310.58999999999997</v>
      </c>
      <c r="M52" s="595">
        <v>310.58999999999997</v>
      </c>
      <c r="N52" s="592">
        <v>1</v>
      </c>
      <c r="O52" s="596">
        <v>1</v>
      </c>
      <c r="P52" s="595">
        <v>310.58999999999997</v>
      </c>
      <c r="Q52" s="597">
        <v>1</v>
      </c>
      <c r="R52" s="592">
        <v>1</v>
      </c>
      <c r="S52" s="597">
        <v>1</v>
      </c>
      <c r="T52" s="596">
        <v>1</v>
      </c>
      <c r="U52" s="598">
        <v>1</v>
      </c>
    </row>
    <row r="53" spans="1:21" ht="14.45" customHeight="1" x14ac:dyDescent="0.2">
      <c r="A53" s="591">
        <v>19</v>
      </c>
      <c r="B53" s="592" t="s">
        <v>534</v>
      </c>
      <c r="C53" s="592" t="s">
        <v>536</v>
      </c>
      <c r="D53" s="593" t="s">
        <v>757</v>
      </c>
      <c r="E53" s="594" t="s">
        <v>543</v>
      </c>
      <c r="F53" s="592" t="s">
        <v>535</v>
      </c>
      <c r="G53" s="592" t="s">
        <v>695</v>
      </c>
      <c r="H53" s="592" t="s">
        <v>442</v>
      </c>
      <c r="I53" s="592" t="s">
        <v>696</v>
      </c>
      <c r="J53" s="592" t="s">
        <v>697</v>
      </c>
      <c r="K53" s="592" t="s">
        <v>698</v>
      </c>
      <c r="L53" s="595">
        <v>61.97</v>
      </c>
      <c r="M53" s="595">
        <v>61.97</v>
      </c>
      <c r="N53" s="592">
        <v>1</v>
      </c>
      <c r="O53" s="596"/>
      <c r="P53" s="595">
        <v>61.97</v>
      </c>
      <c r="Q53" s="597">
        <v>1</v>
      </c>
      <c r="R53" s="592">
        <v>1</v>
      </c>
      <c r="S53" s="597">
        <v>1</v>
      </c>
      <c r="T53" s="596"/>
      <c r="U53" s="598"/>
    </row>
    <row r="54" spans="1:21" ht="14.45" customHeight="1" x14ac:dyDescent="0.2">
      <c r="A54" s="591">
        <v>19</v>
      </c>
      <c r="B54" s="592" t="s">
        <v>534</v>
      </c>
      <c r="C54" s="592" t="s">
        <v>536</v>
      </c>
      <c r="D54" s="593" t="s">
        <v>757</v>
      </c>
      <c r="E54" s="594" t="s">
        <v>543</v>
      </c>
      <c r="F54" s="592" t="s">
        <v>535</v>
      </c>
      <c r="G54" s="592" t="s">
        <v>699</v>
      </c>
      <c r="H54" s="592" t="s">
        <v>442</v>
      </c>
      <c r="I54" s="592" t="s">
        <v>700</v>
      </c>
      <c r="J54" s="592" t="s">
        <v>701</v>
      </c>
      <c r="K54" s="592" t="s">
        <v>702</v>
      </c>
      <c r="L54" s="595">
        <v>0</v>
      </c>
      <c r="M54" s="595">
        <v>0</v>
      </c>
      <c r="N54" s="592">
        <v>5</v>
      </c>
      <c r="O54" s="596">
        <v>1</v>
      </c>
      <c r="P54" s="595">
        <v>0</v>
      </c>
      <c r="Q54" s="597"/>
      <c r="R54" s="592">
        <v>5</v>
      </c>
      <c r="S54" s="597">
        <v>1</v>
      </c>
      <c r="T54" s="596">
        <v>1</v>
      </c>
      <c r="U54" s="598">
        <v>1</v>
      </c>
    </row>
    <row r="55" spans="1:21" ht="14.45" customHeight="1" x14ac:dyDescent="0.2">
      <c r="A55" s="591">
        <v>19</v>
      </c>
      <c r="B55" s="592" t="s">
        <v>534</v>
      </c>
      <c r="C55" s="592" t="s">
        <v>536</v>
      </c>
      <c r="D55" s="593" t="s">
        <v>757</v>
      </c>
      <c r="E55" s="594" t="s">
        <v>543</v>
      </c>
      <c r="F55" s="592" t="s">
        <v>535</v>
      </c>
      <c r="G55" s="592" t="s">
        <v>703</v>
      </c>
      <c r="H55" s="592" t="s">
        <v>442</v>
      </c>
      <c r="I55" s="592" t="s">
        <v>704</v>
      </c>
      <c r="J55" s="592" t="s">
        <v>705</v>
      </c>
      <c r="K55" s="592" t="s">
        <v>706</v>
      </c>
      <c r="L55" s="595">
        <v>374.79</v>
      </c>
      <c r="M55" s="595">
        <v>374.79</v>
      </c>
      <c r="N55" s="592">
        <v>1</v>
      </c>
      <c r="O55" s="596">
        <v>1</v>
      </c>
      <c r="P55" s="595">
        <v>374.79</v>
      </c>
      <c r="Q55" s="597">
        <v>1</v>
      </c>
      <c r="R55" s="592">
        <v>1</v>
      </c>
      <c r="S55" s="597">
        <v>1</v>
      </c>
      <c r="T55" s="596">
        <v>1</v>
      </c>
      <c r="U55" s="598">
        <v>1</v>
      </c>
    </row>
    <row r="56" spans="1:21" ht="14.45" customHeight="1" x14ac:dyDescent="0.2">
      <c r="A56" s="591">
        <v>19</v>
      </c>
      <c r="B56" s="592" t="s">
        <v>534</v>
      </c>
      <c r="C56" s="592" t="s">
        <v>536</v>
      </c>
      <c r="D56" s="593" t="s">
        <v>757</v>
      </c>
      <c r="E56" s="594" t="s">
        <v>543</v>
      </c>
      <c r="F56" s="592" t="s">
        <v>535</v>
      </c>
      <c r="G56" s="592" t="s">
        <v>707</v>
      </c>
      <c r="H56" s="592" t="s">
        <v>487</v>
      </c>
      <c r="I56" s="592" t="s">
        <v>708</v>
      </c>
      <c r="J56" s="592" t="s">
        <v>709</v>
      </c>
      <c r="K56" s="592" t="s">
        <v>710</v>
      </c>
      <c r="L56" s="595">
        <v>49.08</v>
      </c>
      <c r="M56" s="595">
        <v>98.16</v>
      </c>
      <c r="N56" s="592">
        <v>2</v>
      </c>
      <c r="O56" s="596">
        <v>1.5</v>
      </c>
      <c r="P56" s="595">
        <v>98.16</v>
      </c>
      <c r="Q56" s="597">
        <v>1</v>
      </c>
      <c r="R56" s="592">
        <v>2</v>
      </c>
      <c r="S56" s="597">
        <v>1</v>
      </c>
      <c r="T56" s="596">
        <v>1.5</v>
      </c>
      <c r="U56" s="598">
        <v>1</v>
      </c>
    </row>
    <row r="57" spans="1:21" ht="14.45" customHeight="1" x14ac:dyDescent="0.2">
      <c r="A57" s="591">
        <v>19</v>
      </c>
      <c r="B57" s="592" t="s">
        <v>534</v>
      </c>
      <c r="C57" s="592" t="s">
        <v>536</v>
      </c>
      <c r="D57" s="593" t="s">
        <v>757</v>
      </c>
      <c r="E57" s="594" t="s">
        <v>544</v>
      </c>
      <c r="F57" s="592" t="s">
        <v>535</v>
      </c>
      <c r="G57" s="592" t="s">
        <v>711</v>
      </c>
      <c r="H57" s="592" t="s">
        <v>442</v>
      </c>
      <c r="I57" s="592" t="s">
        <v>712</v>
      </c>
      <c r="J57" s="592" t="s">
        <v>713</v>
      </c>
      <c r="K57" s="592" t="s">
        <v>714</v>
      </c>
      <c r="L57" s="595">
        <v>922.76</v>
      </c>
      <c r="M57" s="595">
        <v>922.76</v>
      </c>
      <c r="N57" s="592">
        <v>1</v>
      </c>
      <c r="O57" s="596">
        <v>1</v>
      </c>
      <c r="P57" s="595">
        <v>922.76</v>
      </c>
      <c r="Q57" s="597">
        <v>1</v>
      </c>
      <c r="R57" s="592">
        <v>1</v>
      </c>
      <c r="S57" s="597">
        <v>1</v>
      </c>
      <c r="T57" s="596">
        <v>1</v>
      </c>
      <c r="U57" s="598">
        <v>1</v>
      </c>
    </row>
    <row r="58" spans="1:21" ht="14.45" customHeight="1" x14ac:dyDescent="0.2">
      <c r="A58" s="591">
        <v>19</v>
      </c>
      <c r="B58" s="592" t="s">
        <v>534</v>
      </c>
      <c r="C58" s="592" t="s">
        <v>536</v>
      </c>
      <c r="D58" s="593" t="s">
        <v>757</v>
      </c>
      <c r="E58" s="594" t="s">
        <v>544</v>
      </c>
      <c r="F58" s="592" t="s">
        <v>535</v>
      </c>
      <c r="G58" s="592" t="s">
        <v>545</v>
      </c>
      <c r="H58" s="592" t="s">
        <v>487</v>
      </c>
      <c r="I58" s="592" t="s">
        <v>546</v>
      </c>
      <c r="J58" s="592" t="s">
        <v>547</v>
      </c>
      <c r="K58" s="592" t="s">
        <v>548</v>
      </c>
      <c r="L58" s="595">
        <v>119.7</v>
      </c>
      <c r="M58" s="595">
        <v>239.4</v>
      </c>
      <c r="N58" s="592">
        <v>2</v>
      </c>
      <c r="O58" s="596">
        <v>1</v>
      </c>
      <c r="P58" s="595">
        <v>239.4</v>
      </c>
      <c r="Q58" s="597">
        <v>1</v>
      </c>
      <c r="R58" s="592">
        <v>2</v>
      </c>
      <c r="S58" s="597">
        <v>1</v>
      </c>
      <c r="T58" s="596">
        <v>1</v>
      </c>
      <c r="U58" s="598">
        <v>1</v>
      </c>
    </row>
    <row r="59" spans="1:21" ht="14.45" customHeight="1" x14ac:dyDescent="0.2">
      <c r="A59" s="591">
        <v>19</v>
      </c>
      <c r="B59" s="592" t="s">
        <v>534</v>
      </c>
      <c r="C59" s="592" t="s">
        <v>536</v>
      </c>
      <c r="D59" s="593" t="s">
        <v>757</v>
      </c>
      <c r="E59" s="594" t="s">
        <v>544</v>
      </c>
      <c r="F59" s="592" t="s">
        <v>535</v>
      </c>
      <c r="G59" s="592" t="s">
        <v>715</v>
      </c>
      <c r="H59" s="592" t="s">
        <v>442</v>
      </c>
      <c r="I59" s="592" t="s">
        <v>716</v>
      </c>
      <c r="J59" s="592" t="s">
        <v>717</v>
      </c>
      <c r="K59" s="592" t="s">
        <v>718</v>
      </c>
      <c r="L59" s="595">
        <v>0</v>
      </c>
      <c r="M59" s="595">
        <v>0</v>
      </c>
      <c r="N59" s="592">
        <v>1</v>
      </c>
      <c r="O59" s="596">
        <v>0.5</v>
      </c>
      <c r="P59" s="595"/>
      <c r="Q59" s="597"/>
      <c r="R59" s="592"/>
      <c r="S59" s="597">
        <v>0</v>
      </c>
      <c r="T59" s="596"/>
      <c r="U59" s="598">
        <v>0</v>
      </c>
    </row>
    <row r="60" spans="1:21" ht="14.45" customHeight="1" x14ac:dyDescent="0.2">
      <c r="A60" s="591">
        <v>19</v>
      </c>
      <c r="B60" s="592" t="s">
        <v>534</v>
      </c>
      <c r="C60" s="592" t="s">
        <v>536</v>
      </c>
      <c r="D60" s="593" t="s">
        <v>757</v>
      </c>
      <c r="E60" s="594" t="s">
        <v>544</v>
      </c>
      <c r="F60" s="592" t="s">
        <v>535</v>
      </c>
      <c r="G60" s="592" t="s">
        <v>549</v>
      </c>
      <c r="H60" s="592" t="s">
        <v>442</v>
      </c>
      <c r="I60" s="592" t="s">
        <v>719</v>
      </c>
      <c r="J60" s="592" t="s">
        <v>551</v>
      </c>
      <c r="K60" s="592" t="s">
        <v>720</v>
      </c>
      <c r="L60" s="595">
        <v>42.05</v>
      </c>
      <c r="M60" s="595">
        <v>84.1</v>
      </c>
      <c r="N60" s="592">
        <v>2</v>
      </c>
      <c r="O60" s="596">
        <v>1</v>
      </c>
      <c r="P60" s="595">
        <v>84.1</v>
      </c>
      <c r="Q60" s="597">
        <v>1</v>
      </c>
      <c r="R60" s="592">
        <v>2</v>
      </c>
      <c r="S60" s="597">
        <v>1</v>
      </c>
      <c r="T60" s="596">
        <v>1</v>
      </c>
      <c r="U60" s="598">
        <v>1</v>
      </c>
    </row>
    <row r="61" spans="1:21" ht="14.45" customHeight="1" x14ac:dyDescent="0.2">
      <c r="A61" s="591">
        <v>19</v>
      </c>
      <c r="B61" s="592" t="s">
        <v>534</v>
      </c>
      <c r="C61" s="592" t="s">
        <v>536</v>
      </c>
      <c r="D61" s="593" t="s">
        <v>757</v>
      </c>
      <c r="E61" s="594" t="s">
        <v>544</v>
      </c>
      <c r="F61" s="592" t="s">
        <v>535</v>
      </c>
      <c r="G61" s="592" t="s">
        <v>721</v>
      </c>
      <c r="H61" s="592" t="s">
        <v>442</v>
      </c>
      <c r="I61" s="592" t="s">
        <v>722</v>
      </c>
      <c r="J61" s="592" t="s">
        <v>496</v>
      </c>
      <c r="K61" s="592" t="s">
        <v>723</v>
      </c>
      <c r="L61" s="595">
        <v>0</v>
      </c>
      <c r="M61" s="595">
        <v>0</v>
      </c>
      <c r="N61" s="592">
        <v>2</v>
      </c>
      <c r="O61" s="596">
        <v>1.5</v>
      </c>
      <c r="P61" s="595">
        <v>0</v>
      </c>
      <c r="Q61" s="597"/>
      <c r="R61" s="592">
        <v>1</v>
      </c>
      <c r="S61" s="597">
        <v>0.5</v>
      </c>
      <c r="T61" s="596">
        <v>1</v>
      </c>
      <c r="U61" s="598">
        <v>0.66666666666666663</v>
      </c>
    </row>
    <row r="62" spans="1:21" ht="14.45" customHeight="1" x14ac:dyDescent="0.2">
      <c r="A62" s="591">
        <v>19</v>
      </c>
      <c r="B62" s="592" t="s">
        <v>534</v>
      </c>
      <c r="C62" s="592" t="s">
        <v>536</v>
      </c>
      <c r="D62" s="593" t="s">
        <v>757</v>
      </c>
      <c r="E62" s="594" t="s">
        <v>544</v>
      </c>
      <c r="F62" s="592" t="s">
        <v>535</v>
      </c>
      <c r="G62" s="592" t="s">
        <v>724</v>
      </c>
      <c r="H62" s="592" t="s">
        <v>442</v>
      </c>
      <c r="I62" s="592" t="s">
        <v>725</v>
      </c>
      <c r="J62" s="592" t="s">
        <v>726</v>
      </c>
      <c r="K62" s="592" t="s">
        <v>727</v>
      </c>
      <c r="L62" s="595">
        <v>38.47</v>
      </c>
      <c r="M62" s="595">
        <v>38.47</v>
      </c>
      <c r="N62" s="592">
        <v>1</v>
      </c>
      <c r="O62" s="596">
        <v>0.5</v>
      </c>
      <c r="P62" s="595">
        <v>38.47</v>
      </c>
      <c r="Q62" s="597">
        <v>1</v>
      </c>
      <c r="R62" s="592">
        <v>1</v>
      </c>
      <c r="S62" s="597">
        <v>1</v>
      </c>
      <c r="T62" s="596">
        <v>0.5</v>
      </c>
      <c r="U62" s="598">
        <v>1</v>
      </c>
    </row>
    <row r="63" spans="1:21" ht="14.45" customHeight="1" x14ac:dyDescent="0.2">
      <c r="A63" s="591">
        <v>19</v>
      </c>
      <c r="B63" s="592" t="s">
        <v>534</v>
      </c>
      <c r="C63" s="592" t="s">
        <v>536</v>
      </c>
      <c r="D63" s="593" t="s">
        <v>757</v>
      </c>
      <c r="E63" s="594" t="s">
        <v>544</v>
      </c>
      <c r="F63" s="592" t="s">
        <v>535</v>
      </c>
      <c r="G63" s="592" t="s">
        <v>728</v>
      </c>
      <c r="H63" s="592" t="s">
        <v>442</v>
      </c>
      <c r="I63" s="592" t="s">
        <v>729</v>
      </c>
      <c r="J63" s="592" t="s">
        <v>730</v>
      </c>
      <c r="K63" s="592" t="s">
        <v>731</v>
      </c>
      <c r="L63" s="595">
        <v>27.28</v>
      </c>
      <c r="M63" s="595">
        <v>27.28</v>
      </c>
      <c r="N63" s="592">
        <v>1</v>
      </c>
      <c r="O63" s="596">
        <v>0.5</v>
      </c>
      <c r="P63" s="595">
        <v>27.28</v>
      </c>
      <c r="Q63" s="597">
        <v>1</v>
      </c>
      <c r="R63" s="592">
        <v>1</v>
      </c>
      <c r="S63" s="597">
        <v>1</v>
      </c>
      <c r="T63" s="596">
        <v>0.5</v>
      </c>
      <c r="U63" s="598">
        <v>1</v>
      </c>
    </row>
    <row r="64" spans="1:21" ht="14.45" customHeight="1" x14ac:dyDescent="0.2">
      <c r="A64" s="591">
        <v>19</v>
      </c>
      <c r="B64" s="592" t="s">
        <v>534</v>
      </c>
      <c r="C64" s="592" t="s">
        <v>536</v>
      </c>
      <c r="D64" s="593" t="s">
        <v>757</v>
      </c>
      <c r="E64" s="594" t="s">
        <v>544</v>
      </c>
      <c r="F64" s="592" t="s">
        <v>535</v>
      </c>
      <c r="G64" s="592" t="s">
        <v>561</v>
      </c>
      <c r="H64" s="592" t="s">
        <v>442</v>
      </c>
      <c r="I64" s="592" t="s">
        <v>562</v>
      </c>
      <c r="J64" s="592" t="s">
        <v>563</v>
      </c>
      <c r="K64" s="592" t="s">
        <v>564</v>
      </c>
      <c r="L64" s="595">
        <v>57.48</v>
      </c>
      <c r="M64" s="595">
        <v>4368.4800000000005</v>
      </c>
      <c r="N64" s="592">
        <v>76</v>
      </c>
      <c r="O64" s="596">
        <v>37.5</v>
      </c>
      <c r="P64" s="595">
        <v>3793.6800000000007</v>
      </c>
      <c r="Q64" s="597">
        <v>0.86842105263157898</v>
      </c>
      <c r="R64" s="592">
        <v>66</v>
      </c>
      <c r="S64" s="597">
        <v>0.86842105263157898</v>
      </c>
      <c r="T64" s="596">
        <v>32.5</v>
      </c>
      <c r="U64" s="598">
        <v>0.8666666666666667</v>
      </c>
    </row>
    <row r="65" spans="1:21" ht="14.45" customHeight="1" x14ac:dyDescent="0.2">
      <c r="A65" s="591">
        <v>19</v>
      </c>
      <c r="B65" s="592" t="s">
        <v>534</v>
      </c>
      <c r="C65" s="592" t="s">
        <v>536</v>
      </c>
      <c r="D65" s="593" t="s">
        <v>757</v>
      </c>
      <c r="E65" s="594" t="s">
        <v>544</v>
      </c>
      <c r="F65" s="592" t="s">
        <v>535</v>
      </c>
      <c r="G65" s="592" t="s">
        <v>732</v>
      </c>
      <c r="H65" s="592" t="s">
        <v>442</v>
      </c>
      <c r="I65" s="592" t="s">
        <v>733</v>
      </c>
      <c r="J65" s="592" t="s">
        <v>734</v>
      </c>
      <c r="K65" s="592" t="s">
        <v>735</v>
      </c>
      <c r="L65" s="595">
        <v>58.77</v>
      </c>
      <c r="M65" s="595">
        <v>235.08</v>
      </c>
      <c r="N65" s="592">
        <v>4</v>
      </c>
      <c r="O65" s="596">
        <v>2.5</v>
      </c>
      <c r="P65" s="595">
        <v>235.08</v>
      </c>
      <c r="Q65" s="597">
        <v>1</v>
      </c>
      <c r="R65" s="592">
        <v>4</v>
      </c>
      <c r="S65" s="597">
        <v>1</v>
      </c>
      <c r="T65" s="596">
        <v>2.5</v>
      </c>
      <c r="U65" s="598">
        <v>1</v>
      </c>
    </row>
    <row r="66" spans="1:21" ht="14.45" customHeight="1" x14ac:dyDescent="0.2">
      <c r="A66" s="591">
        <v>19</v>
      </c>
      <c r="B66" s="592" t="s">
        <v>534</v>
      </c>
      <c r="C66" s="592" t="s">
        <v>536</v>
      </c>
      <c r="D66" s="593" t="s">
        <v>757</v>
      </c>
      <c r="E66" s="594" t="s">
        <v>544</v>
      </c>
      <c r="F66" s="592" t="s">
        <v>535</v>
      </c>
      <c r="G66" s="592" t="s">
        <v>736</v>
      </c>
      <c r="H66" s="592" t="s">
        <v>442</v>
      </c>
      <c r="I66" s="592" t="s">
        <v>737</v>
      </c>
      <c r="J66" s="592" t="s">
        <v>738</v>
      </c>
      <c r="K66" s="592" t="s">
        <v>739</v>
      </c>
      <c r="L66" s="595">
        <v>248.55</v>
      </c>
      <c r="M66" s="595">
        <v>248.55</v>
      </c>
      <c r="N66" s="592">
        <v>1</v>
      </c>
      <c r="O66" s="596">
        <v>1</v>
      </c>
      <c r="P66" s="595">
        <v>248.55</v>
      </c>
      <c r="Q66" s="597">
        <v>1</v>
      </c>
      <c r="R66" s="592">
        <v>1</v>
      </c>
      <c r="S66" s="597">
        <v>1</v>
      </c>
      <c r="T66" s="596">
        <v>1</v>
      </c>
      <c r="U66" s="598">
        <v>1</v>
      </c>
    </row>
    <row r="67" spans="1:21" ht="14.45" customHeight="1" x14ac:dyDescent="0.2">
      <c r="A67" s="591">
        <v>19</v>
      </c>
      <c r="B67" s="592" t="s">
        <v>534</v>
      </c>
      <c r="C67" s="592" t="s">
        <v>536</v>
      </c>
      <c r="D67" s="593" t="s">
        <v>757</v>
      </c>
      <c r="E67" s="594" t="s">
        <v>544</v>
      </c>
      <c r="F67" s="592" t="s">
        <v>535</v>
      </c>
      <c r="G67" s="592" t="s">
        <v>740</v>
      </c>
      <c r="H67" s="592" t="s">
        <v>442</v>
      </c>
      <c r="I67" s="592" t="s">
        <v>741</v>
      </c>
      <c r="J67" s="592" t="s">
        <v>742</v>
      </c>
      <c r="K67" s="592" t="s">
        <v>743</v>
      </c>
      <c r="L67" s="595">
        <v>17.62</v>
      </c>
      <c r="M67" s="595">
        <v>17.62</v>
      </c>
      <c r="N67" s="592">
        <v>1</v>
      </c>
      <c r="O67" s="596">
        <v>0.5</v>
      </c>
      <c r="P67" s="595">
        <v>17.62</v>
      </c>
      <c r="Q67" s="597">
        <v>1</v>
      </c>
      <c r="R67" s="592">
        <v>1</v>
      </c>
      <c r="S67" s="597">
        <v>1</v>
      </c>
      <c r="T67" s="596">
        <v>0.5</v>
      </c>
      <c r="U67" s="598">
        <v>1</v>
      </c>
    </row>
    <row r="68" spans="1:21" ht="14.45" customHeight="1" x14ac:dyDescent="0.2">
      <c r="A68" s="591">
        <v>19</v>
      </c>
      <c r="B68" s="592" t="s">
        <v>534</v>
      </c>
      <c r="C68" s="592" t="s">
        <v>536</v>
      </c>
      <c r="D68" s="593" t="s">
        <v>757</v>
      </c>
      <c r="E68" s="594" t="s">
        <v>544</v>
      </c>
      <c r="F68" s="592" t="s">
        <v>535</v>
      </c>
      <c r="G68" s="592" t="s">
        <v>740</v>
      </c>
      <c r="H68" s="592" t="s">
        <v>442</v>
      </c>
      <c r="I68" s="592" t="s">
        <v>744</v>
      </c>
      <c r="J68" s="592" t="s">
        <v>742</v>
      </c>
      <c r="K68" s="592" t="s">
        <v>632</v>
      </c>
      <c r="L68" s="595">
        <v>35.25</v>
      </c>
      <c r="M68" s="595">
        <v>35.25</v>
      </c>
      <c r="N68" s="592">
        <v>1</v>
      </c>
      <c r="O68" s="596">
        <v>0.5</v>
      </c>
      <c r="P68" s="595">
        <v>35.25</v>
      </c>
      <c r="Q68" s="597">
        <v>1</v>
      </c>
      <c r="R68" s="592">
        <v>1</v>
      </c>
      <c r="S68" s="597">
        <v>1</v>
      </c>
      <c r="T68" s="596">
        <v>0.5</v>
      </c>
      <c r="U68" s="598">
        <v>1</v>
      </c>
    </row>
    <row r="69" spans="1:21" ht="14.45" customHeight="1" x14ac:dyDescent="0.2">
      <c r="A69" s="591">
        <v>19</v>
      </c>
      <c r="B69" s="592" t="s">
        <v>534</v>
      </c>
      <c r="C69" s="592" t="s">
        <v>536</v>
      </c>
      <c r="D69" s="593" t="s">
        <v>757</v>
      </c>
      <c r="E69" s="594" t="s">
        <v>544</v>
      </c>
      <c r="F69" s="592" t="s">
        <v>535</v>
      </c>
      <c r="G69" s="592" t="s">
        <v>573</v>
      </c>
      <c r="H69" s="592" t="s">
        <v>442</v>
      </c>
      <c r="I69" s="592" t="s">
        <v>574</v>
      </c>
      <c r="J69" s="592" t="s">
        <v>575</v>
      </c>
      <c r="K69" s="592" t="s">
        <v>576</v>
      </c>
      <c r="L69" s="595">
        <v>0</v>
      </c>
      <c r="M69" s="595">
        <v>0</v>
      </c>
      <c r="N69" s="592">
        <v>10</v>
      </c>
      <c r="O69" s="596">
        <v>4.5</v>
      </c>
      <c r="P69" s="595">
        <v>0</v>
      </c>
      <c r="Q69" s="597"/>
      <c r="R69" s="592">
        <v>10</v>
      </c>
      <c r="S69" s="597">
        <v>1</v>
      </c>
      <c r="T69" s="596">
        <v>4.5</v>
      </c>
      <c r="U69" s="598">
        <v>1</v>
      </c>
    </row>
    <row r="70" spans="1:21" ht="14.45" customHeight="1" x14ac:dyDescent="0.2">
      <c r="A70" s="591">
        <v>19</v>
      </c>
      <c r="B70" s="592" t="s">
        <v>534</v>
      </c>
      <c r="C70" s="592" t="s">
        <v>536</v>
      </c>
      <c r="D70" s="593" t="s">
        <v>757</v>
      </c>
      <c r="E70" s="594" t="s">
        <v>544</v>
      </c>
      <c r="F70" s="592" t="s">
        <v>535</v>
      </c>
      <c r="G70" s="592" t="s">
        <v>577</v>
      </c>
      <c r="H70" s="592" t="s">
        <v>442</v>
      </c>
      <c r="I70" s="592" t="s">
        <v>578</v>
      </c>
      <c r="J70" s="592" t="s">
        <v>579</v>
      </c>
      <c r="K70" s="592" t="s">
        <v>580</v>
      </c>
      <c r="L70" s="595">
        <v>0</v>
      </c>
      <c r="M70" s="595">
        <v>0</v>
      </c>
      <c r="N70" s="592">
        <v>10</v>
      </c>
      <c r="O70" s="596">
        <v>2.5</v>
      </c>
      <c r="P70" s="595"/>
      <c r="Q70" s="597"/>
      <c r="R70" s="592"/>
      <c r="S70" s="597">
        <v>0</v>
      </c>
      <c r="T70" s="596"/>
      <c r="U70" s="598">
        <v>0</v>
      </c>
    </row>
    <row r="71" spans="1:21" ht="14.45" customHeight="1" x14ac:dyDescent="0.2">
      <c r="A71" s="591">
        <v>19</v>
      </c>
      <c r="B71" s="592" t="s">
        <v>534</v>
      </c>
      <c r="C71" s="592" t="s">
        <v>536</v>
      </c>
      <c r="D71" s="593" t="s">
        <v>757</v>
      </c>
      <c r="E71" s="594" t="s">
        <v>544</v>
      </c>
      <c r="F71" s="592" t="s">
        <v>535</v>
      </c>
      <c r="G71" s="592" t="s">
        <v>645</v>
      </c>
      <c r="H71" s="592" t="s">
        <v>442</v>
      </c>
      <c r="I71" s="592" t="s">
        <v>745</v>
      </c>
      <c r="J71" s="592" t="s">
        <v>746</v>
      </c>
      <c r="K71" s="592" t="s">
        <v>605</v>
      </c>
      <c r="L71" s="595">
        <v>0</v>
      </c>
      <c r="M71" s="595">
        <v>0</v>
      </c>
      <c r="N71" s="592">
        <v>1</v>
      </c>
      <c r="O71" s="596">
        <v>0.5</v>
      </c>
      <c r="P71" s="595">
        <v>0</v>
      </c>
      <c r="Q71" s="597"/>
      <c r="R71" s="592">
        <v>1</v>
      </c>
      <c r="S71" s="597">
        <v>1</v>
      </c>
      <c r="T71" s="596">
        <v>0.5</v>
      </c>
      <c r="U71" s="598">
        <v>1</v>
      </c>
    </row>
    <row r="72" spans="1:21" ht="14.45" customHeight="1" x14ac:dyDescent="0.2">
      <c r="A72" s="591">
        <v>19</v>
      </c>
      <c r="B72" s="592" t="s">
        <v>534</v>
      </c>
      <c r="C72" s="592" t="s">
        <v>536</v>
      </c>
      <c r="D72" s="593" t="s">
        <v>757</v>
      </c>
      <c r="E72" s="594" t="s">
        <v>544</v>
      </c>
      <c r="F72" s="592" t="s">
        <v>535</v>
      </c>
      <c r="G72" s="592" t="s">
        <v>747</v>
      </c>
      <c r="H72" s="592" t="s">
        <v>442</v>
      </c>
      <c r="I72" s="592" t="s">
        <v>748</v>
      </c>
      <c r="J72" s="592" t="s">
        <v>749</v>
      </c>
      <c r="K72" s="592" t="s">
        <v>750</v>
      </c>
      <c r="L72" s="595">
        <v>0</v>
      </c>
      <c r="M72" s="595">
        <v>0</v>
      </c>
      <c r="N72" s="592">
        <v>1</v>
      </c>
      <c r="O72" s="596">
        <v>0.5</v>
      </c>
      <c r="P72" s="595">
        <v>0</v>
      </c>
      <c r="Q72" s="597"/>
      <c r="R72" s="592">
        <v>1</v>
      </c>
      <c r="S72" s="597">
        <v>1</v>
      </c>
      <c r="T72" s="596">
        <v>0.5</v>
      </c>
      <c r="U72" s="598">
        <v>1</v>
      </c>
    </row>
    <row r="73" spans="1:21" ht="14.45" customHeight="1" x14ac:dyDescent="0.2">
      <c r="A73" s="591">
        <v>19</v>
      </c>
      <c r="B73" s="592" t="s">
        <v>534</v>
      </c>
      <c r="C73" s="592" t="s">
        <v>536</v>
      </c>
      <c r="D73" s="593" t="s">
        <v>757</v>
      </c>
      <c r="E73" s="594" t="s">
        <v>544</v>
      </c>
      <c r="F73" s="592" t="s">
        <v>535</v>
      </c>
      <c r="G73" s="592" t="s">
        <v>751</v>
      </c>
      <c r="H73" s="592" t="s">
        <v>442</v>
      </c>
      <c r="I73" s="592" t="s">
        <v>752</v>
      </c>
      <c r="J73" s="592" t="s">
        <v>513</v>
      </c>
      <c r="K73" s="592" t="s">
        <v>514</v>
      </c>
      <c r="L73" s="595">
        <v>0</v>
      </c>
      <c r="M73" s="595">
        <v>0</v>
      </c>
      <c r="N73" s="592">
        <v>2</v>
      </c>
      <c r="O73" s="596">
        <v>1.5</v>
      </c>
      <c r="P73" s="595">
        <v>0</v>
      </c>
      <c r="Q73" s="597"/>
      <c r="R73" s="592">
        <v>1</v>
      </c>
      <c r="S73" s="597">
        <v>0.5</v>
      </c>
      <c r="T73" s="596">
        <v>0.5</v>
      </c>
      <c r="U73" s="598">
        <v>0.33333333333333331</v>
      </c>
    </row>
    <row r="74" spans="1:21" ht="14.45" customHeight="1" x14ac:dyDescent="0.2">
      <c r="A74" s="591">
        <v>19</v>
      </c>
      <c r="B74" s="592" t="s">
        <v>534</v>
      </c>
      <c r="C74" s="592" t="s">
        <v>536</v>
      </c>
      <c r="D74" s="593" t="s">
        <v>757</v>
      </c>
      <c r="E74" s="594" t="s">
        <v>544</v>
      </c>
      <c r="F74" s="592" t="s">
        <v>535</v>
      </c>
      <c r="G74" s="592" t="s">
        <v>753</v>
      </c>
      <c r="H74" s="592" t="s">
        <v>442</v>
      </c>
      <c r="I74" s="592" t="s">
        <v>754</v>
      </c>
      <c r="J74" s="592" t="s">
        <v>755</v>
      </c>
      <c r="K74" s="592" t="s">
        <v>756</v>
      </c>
      <c r="L74" s="595">
        <v>83.38</v>
      </c>
      <c r="M74" s="595">
        <v>333.52</v>
      </c>
      <c r="N74" s="592">
        <v>4</v>
      </c>
      <c r="O74" s="596">
        <v>1</v>
      </c>
      <c r="P74" s="595">
        <v>333.52</v>
      </c>
      <c r="Q74" s="597">
        <v>1</v>
      </c>
      <c r="R74" s="592">
        <v>4</v>
      </c>
      <c r="S74" s="597">
        <v>1</v>
      </c>
      <c r="T74" s="596">
        <v>1</v>
      </c>
      <c r="U74" s="598">
        <v>1</v>
      </c>
    </row>
    <row r="75" spans="1:21" ht="14.45" customHeight="1" thickBot="1" x14ac:dyDescent="0.25">
      <c r="A75" s="599">
        <v>19</v>
      </c>
      <c r="B75" s="600" t="s">
        <v>534</v>
      </c>
      <c r="C75" s="600" t="s">
        <v>536</v>
      </c>
      <c r="D75" s="601" t="s">
        <v>757</v>
      </c>
      <c r="E75" s="602" t="s">
        <v>544</v>
      </c>
      <c r="F75" s="600" t="s">
        <v>535</v>
      </c>
      <c r="G75" s="600" t="s">
        <v>585</v>
      </c>
      <c r="H75" s="600" t="s">
        <v>442</v>
      </c>
      <c r="I75" s="600" t="s">
        <v>586</v>
      </c>
      <c r="J75" s="600" t="s">
        <v>587</v>
      </c>
      <c r="K75" s="600" t="s">
        <v>588</v>
      </c>
      <c r="L75" s="603">
        <v>0</v>
      </c>
      <c r="M75" s="603">
        <v>0</v>
      </c>
      <c r="N75" s="600">
        <v>2</v>
      </c>
      <c r="O75" s="604">
        <v>1.5</v>
      </c>
      <c r="P75" s="603"/>
      <c r="Q75" s="605"/>
      <c r="R75" s="600"/>
      <c r="S75" s="605">
        <v>0</v>
      </c>
      <c r="T75" s="604"/>
      <c r="U75" s="606">
        <v>0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894D27F8-59B1-4DDD-8028-54ABF9CA886F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20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7" customWidth="1"/>
    <col min="3" max="3" width="5.5703125" style="210" customWidth="1"/>
    <col min="4" max="4" width="10" style="207" customWidth="1"/>
    <col min="5" max="5" width="5.5703125" style="210" customWidth="1"/>
    <col min="6" max="6" width="10" style="207" customWidth="1"/>
    <col min="7" max="7" width="8.85546875" style="129" customWidth="1"/>
    <col min="8" max="16384" width="8.85546875" style="129"/>
  </cols>
  <sheetData>
    <row r="1" spans="1:6" ht="37.9" customHeight="1" thickBot="1" x14ac:dyDescent="0.35">
      <c r="A1" s="367" t="s">
        <v>759</v>
      </c>
      <c r="B1" s="368"/>
      <c r="C1" s="368"/>
      <c r="D1" s="368"/>
      <c r="E1" s="368"/>
      <c r="F1" s="368"/>
    </row>
    <row r="2" spans="1:6" ht="14.45" customHeight="1" thickBot="1" x14ac:dyDescent="0.25">
      <c r="A2" s="232" t="s">
        <v>270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607" t="s">
        <v>165</v>
      </c>
      <c r="B4" s="522" t="s">
        <v>14</v>
      </c>
      <c r="C4" s="523" t="s">
        <v>2</v>
      </c>
      <c r="D4" s="522" t="s">
        <v>14</v>
      </c>
      <c r="E4" s="523" t="s">
        <v>2</v>
      </c>
      <c r="F4" s="524" t="s">
        <v>14</v>
      </c>
    </row>
    <row r="5" spans="1:6" ht="14.45" customHeight="1" x14ac:dyDescent="0.2">
      <c r="A5" s="616" t="s">
        <v>543</v>
      </c>
      <c r="B5" s="116">
        <v>900.70999999999992</v>
      </c>
      <c r="C5" s="590">
        <v>0.42155834916831253</v>
      </c>
      <c r="D5" s="116">
        <v>1235.9100000000001</v>
      </c>
      <c r="E5" s="590">
        <v>0.57844165083168753</v>
      </c>
      <c r="F5" s="608">
        <v>2136.62</v>
      </c>
    </row>
    <row r="6" spans="1:6" ht="14.45" customHeight="1" x14ac:dyDescent="0.2">
      <c r="A6" s="617" t="s">
        <v>542</v>
      </c>
      <c r="B6" s="609">
        <v>93.27</v>
      </c>
      <c r="C6" s="597">
        <v>0.18832532407220448</v>
      </c>
      <c r="D6" s="609">
        <v>401.99</v>
      </c>
      <c r="E6" s="597">
        <v>0.81167467592779552</v>
      </c>
      <c r="F6" s="610">
        <v>495.26</v>
      </c>
    </row>
    <row r="7" spans="1:6" ht="14.45" customHeight="1" x14ac:dyDescent="0.2">
      <c r="A7" s="617" t="s">
        <v>544</v>
      </c>
      <c r="B7" s="609">
        <v>0</v>
      </c>
      <c r="C7" s="597">
        <v>0</v>
      </c>
      <c r="D7" s="609">
        <v>239.4</v>
      </c>
      <c r="E7" s="597">
        <v>1</v>
      </c>
      <c r="F7" s="610">
        <v>239.4</v>
      </c>
    </row>
    <row r="8" spans="1:6" ht="14.45" customHeight="1" thickBot="1" x14ac:dyDescent="0.25">
      <c r="A8" s="618" t="s">
        <v>541</v>
      </c>
      <c r="B8" s="613"/>
      <c r="C8" s="614">
        <v>0</v>
      </c>
      <c r="D8" s="613">
        <v>274.06</v>
      </c>
      <c r="E8" s="614">
        <v>1</v>
      </c>
      <c r="F8" s="615">
        <v>274.06</v>
      </c>
    </row>
    <row r="9" spans="1:6" ht="14.45" customHeight="1" thickBot="1" x14ac:dyDescent="0.25">
      <c r="A9" s="531" t="s">
        <v>3</v>
      </c>
      <c r="B9" s="532">
        <v>993.9799999999999</v>
      </c>
      <c r="C9" s="533">
        <v>0.31601671043511992</v>
      </c>
      <c r="D9" s="532">
        <v>2151.36</v>
      </c>
      <c r="E9" s="533">
        <v>0.68398328956488019</v>
      </c>
      <c r="F9" s="534">
        <v>3145.3399999999997</v>
      </c>
    </row>
    <row r="10" spans="1:6" ht="14.45" customHeight="1" thickBot="1" x14ac:dyDescent="0.25"/>
    <row r="11" spans="1:6" ht="14.45" customHeight="1" x14ac:dyDescent="0.2">
      <c r="A11" s="616" t="s">
        <v>760</v>
      </c>
      <c r="B11" s="116">
        <v>900.70999999999992</v>
      </c>
      <c r="C11" s="590">
        <v>1</v>
      </c>
      <c r="D11" s="116"/>
      <c r="E11" s="590">
        <v>0</v>
      </c>
      <c r="F11" s="608">
        <v>900.70999999999992</v>
      </c>
    </row>
    <row r="12" spans="1:6" ht="14.45" customHeight="1" x14ac:dyDescent="0.2">
      <c r="A12" s="617" t="s">
        <v>761</v>
      </c>
      <c r="B12" s="609">
        <v>93.27</v>
      </c>
      <c r="C12" s="597">
        <v>0.5</v>
      </c>
      <c r="D12" s="609">
        <v>93.27</v>
      </c>
      <c r="E12" s="597">
        <v>0.5</v>
      </c>
      <c r="F12" s="610">
        <v>186.54</v>
      </c>
    </row>
    <row r="13" spans="1:6" ht="14.45" customHeight="1" x14ac:dyDescent="0.2">
      <c r="A13" s="617" t="s">
        <v>762</v>
      </c>
      <c r="B13" s="609">
        <v>0</v>
      </c>
      <c r="C13" s="597"/>
      <c r="D13" s="609">
        <v>0</v>
      </c>
      <c r="E13" s="597"/>
      <c r="F13" s="610">
        <v>0</v>
      </c>
    </row>
    <row r="14" spans="1:6" ht="14.45" customHeight="1" x14ac:dyDescent="0.2">
      <c r="A14" s="617" t="s">
        <v>763</v>
      </c>
      <c r="B14" s="609"/>
      <c r="C14" s="597">
        <v>0</v>
      </c>
      <c r="D14" s="609">
        <v>131.08000000000001</v>
      </c>
      <c r="E14" s="597">
        <v>1</v>
      </c>
      <c r="F14" s="610">
        <v>131.08000000000001</v>
      </c>
    </row>
    <row r="15" spans="1:6" ht="14.45" customHeight="1" x14ac:dyDescent="0.2">
      <c r="A15" s="617" t="s">
        <v>764</v>
      </c>
      <c r="B15" s="609"/>
      <c r="C15" s="597">
        <v>0</v>
      </c>
      <c r="D15" s="609">
        <v>352.64</v>
      </c>
      <c r="E15" s="597">
        <v>1</v>
      </c>
      <c r="F15" s="610">
        <v>352.64</v>
      </c>
    </row>
    <row r="16" spans="1:6" ht="14.45" customHeight="1" x14ac:dyDescent="0.2">
      <c r="A16" s="617" t="s">
        <v>765</v>
      </c>
      <c r="B16" s="609"/>
      <c r="C16" s="597">
        <v>0</v>
      </c>
      <c r="D16" s="609">
        <v>463.08000000000004</v>
      </c>
      <c r="E16" s="597">
        <v>1</v>
      </c>
      <c r="F16" s="610">
        <v>463.08000000000004</v>
      </c>
    </row>
    <row r="17" spans="1:6" ht="14.45" customHeight="1" x14ac:dyDescent="0.2">
      <c r="A17" s="617" t="s">
        <v>766</v>
      </c>
      <c r="B17" s="609"/>
      <c r="C17" s="597">
        <v>0</v>
      </c>
      <c r="D17" s="609">
        <v>98.16</v>
      </c>
      <c r="E17" s="597">
        <v>1</v>
      </c>
      <c r="F17" s="610">
        <v>98.16</v>
      </c>
    </row>
    <row r="18" spans="1:6" ht="14.45" customHeight="1" x14ac:dyDescent="0.2">
      <c r="A18" s="617" t="s">
        <v>767</v>
      </c>
      <c r="B18" s="609"/>
      <c r="C18" s="597">
        <v>0</v>
      </c>
      <c r="D18" s="609">
        <v>654.03</v>
      </c>
      <c r="E18" s="597">
        <v>1</v>
      </c>
      <c r="F18" s="610">
        <v>654.03</v>
      </c>
    </row>
    <row r="19" spans="1:6" ht="14.45" customHeight="1" thickBot="1" x14ac:dyDescent="0.25">
      <c r="A19" s="618" t="s">
        <v>768</v>
      </c>
      <c r="B19" s="613"/>
      <c r="C19" s="614">
        <v>0</v>
      </c>
      <c r="D19" s="613">
        <v>359.1</v>
      </c>
      <c r="E19" s="614">
        <v>1</v>
      </c>
      <c r="F19" s="615">
        <v>359.1</v>
      </c>
    </row>
    <row r="20" spans="1:6" ht="14.45" customHeight="1" thickBot="1" x14ac:dyDescent="0.25">
      <c r="A20" s="531" t="s">
        <v>3</v>
      </c>
      <c r="B20" s="532">
        <v>993.9799999999999</v>
      </c>
      <c r="C20" s="533">
        <v>0.31601671043511992</v>
      </c>
      <c r="D20" s="532">
        <v>2151.3599999999997</v>
      </c>
      <c r="E20" s="533">
        <v>0.68398328956488008</v>
      </c>
      <c r="F20" s="534">
        <v>3145.3399999999997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8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{3784E6FC-6946-4021-A644-62B091115A30}</x14:id>
        </ext>
      </extLst>
    </cfRule>
  </conditionalFormatting>
  <conditionalFormatting sqref="F11:F19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{3E809D0F-59DC-4C9B-B960-A3ADE36ED26D}</x14:id>
        </ext>
      </extLst>
    </cfRule>
  </conditionalFormatting>
  <hyperlinks>
    <hyperlink ref="A2" location="Obsah!A1" display="Zpět na Obsah  KL 01  1.-4.měsíc" xr:uid="{B5A0A731-EF22-47C6-9A02-6B4EF7AFABC8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784E6FC-6946-4021-A644-62B091115A3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F5:F8</xm:sqref>
        </x14:conditionalFormatting>
        <x14:conditionalFormatting xmlns:xm="http://schemas.microsoft.com/office/excel/2006/main">
          <x14:cfRule type="dataBar" id="{3E809D0F-59DC-4C9B-B960-A3ADE36ED26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F11:F19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22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129" customWidth="1"/>
    <col min="2" max="2" width="8.85546875" style="129" bestFit="1" customWidth="1"/>
    <col min="3" max="3" width="7" style="129" bestFit="1" customWidth="1"/>
    <col min="4" max="5" width="22.28515625" style="129" customWidth="1"/>
    <col min="6" max="6" width="6.7109375" style="207" customWidth="1"/>
    <col min="7" max="7" width="10" style="207" customWidth="1"/>
    <col min="8" max="8" width="6.7109375" style="210" customWidth="1"/>
    <col min="9" max="9" width="6.7109375" style="207" customWidth="1"/>
    <col min="10" max="10" width="10" style="207" customWidth="1"/>
    <col min="11" max="11" width="6.7109375" style="210" customWidth="1"/>
    <col min="12" max="12" width="6.7109375" style="207" customWidth="1"/>
    <col min="13" max="13" width="10" style="207" customWidth="1"/>
    <col min="14" max="16384" width="8.85546875" style="129"/>
  </cols>
  <sheetData>
    <row r="1" spans="1:13" ht="18.600000000000001" customHeight="1" thickBot="1" x14ac:dyDescent="0.35">
      <c r="A1" s="368" t="s">
        <v>778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232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5" customHeight="1" thickBot="1" x14ac:dyDescent="0.25">
      <c r="E3" s="79" t="s">
        <v>127</v>
      </c>
      <c r="F3" s="43">
        <f>SUBTOTAL(9,F6:F1048576)</f>
        <v>8</v>
      </c>
      <c r="G3" s="43">
        <f>SUBTOTAL(9,G6:G1048576)</f>
        <v>993.9799999999999</v>
      </c>
      <c r="H3" s="44">
        <f>IF(M3=0,0,G3/M3)</f>
        <v>0.31601671043511992</v>
      </c>
      <c r="I3" s="43">
        <f>SUBTOTAL(9,I6:I1048576)</f>
        <v>22</v>
      </c>
      <c r="J3" s="43">
        <f>SUBTOTAL(9,J6:J1048576)</f>
        <v>2151.36</v>
      </c>
      <c r="K3" s="44">
        <f>IF(M3=0,0,J3/M3)</f>
        <v>0.6839832895648803</v>
      </c>
      <c r="L3" s="43">
        <f>SUBTOTAL(9,L6:L1048576)</f>
        <v>30</v>
      </c>
      <c r="M3" s="45">
        <f>SUBTOTAL(9,M6:M1048576)</f>
        <v>3145.3399999999992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607" t="s">
        <v>135</v>
      </c>
      <c r="B5" s="619" t="s">
        <v>131</v>
      </c>
      <c r="C5" s="619" t="s">
        <v>70</v>
      </c>
      <c r="D5" s="619" t="s">
        <v>132</v>
      </c>
      <c r="E5" s="619" t="s">
        <v>133</v>
      </c>
      <c r="F5" s="538" t="s">
        <v>28</v>
      </c>
      <c r="G5" s="538" t="s">
        <v>14</v>
      </c>
      <c r="H5" s="523" t="s">
        <v>134</v>
      </c>
      <c r="I5" s="522" t="s">
        <v>28</v>
      </c>
      <c r="J5" s="538" t="s">
        <v>14</v>
      </c>
      <c r="K5" s="523" t="s">
        <v>134</v>
      </c>
      <c r="L5" s="522" t="s">
        <v>28</v>
      </c>
      <c r="M5" s="539" t="s">
        <v>14</v>
      </c>
    </row>
    <row r="6" spans="1:13" ht="14.45" customHeight="1" x14ac:dyDescent="0.2">
      <c r="A6" s="584" t="s">
        <v>541</v>
      </c>
      <c r="B6" s="585" t="s">
        <v>769</v>
      </c>
      <c r="C6" s="585" t="s">
        <v>590</v>
      </c>
      <c r="D6" s="585" t="s">
        <v>591</v>
      </c>
      <c r="E6" s="585" t="s">
        <v>592</v>
      </c>
      <c r="F6" s="116"/>
      <c r="G6" s="116"/>
      <c r="H6" s="590">
        <v>0</v>
      </c>
      <c r="I6" s="116">
        <v>1</v>
      </c>
      <c r="J6" s="116">
        <v>154.36000000000001</v>
      </c>
      <c r="K6" s="590">
        <v>1</v>
      </c>
      <c r="L6" s="116">
        <v>1</v>
      </c>
      <c r="M6" s="608">
        <v>154.36000000000001</v>
      </c>
    </row>
    <row r="7" spans="1:13" ht="14.45" customHeight="1" x14ac:dyDescent="0.2">
      <c r="A7" s="591" t="s">
        <v>541</v>
      </c>
      <c r="B7" s="592" t="s">
        <v>770</v>
      </c>
      <c r="C7" s="592" t="s">
        <v>546</v>
      </c>
      <c r="D7" s="592" t="s">
        <v>547</v>
      </c>
      <c r="E7" s="592" t="s">
        <v>548</v>
      </c>
      <c r="F7" s="609"/>
      <c r="G7" s="609"/>
      <c r="H7" s="597">
        <v>0</v>
      </c>
      <c r="I7" s="609">
        <v>1</v>
      </c>
      <c r="J7" s="609">
        <v>119.7</v>
      </c>
      <c r="K7" s="597">
        <v>1</v>
      </c>
      <c r="L7" s="609">
        <v>1</v>
      </c>
      <c r="M7" s="610">
        <v>119.7</v>
      </c>
    </row>
    <row r="8" spans="1:13" ht="14.45" customHeight="1" x14ac:dyDescent="0.2">
      <c r="A8" s="591" t="s">
        <v>542</v>
      </c>
      <c r="B8" s="592" t="s">
        <v>771</v>
      </c>
      <c r="C8" s="592" t="s">
        <v>598</v>
      </c>
      <c r="D8" s="592" t="s">
        <v>599</v>
      </c>
      <c r="E8" s="592" t="s">
        <v>600</v>
      </c>
      <c r="F8" s="609"/>
      <c r="G8" s="609"/>
      <c r="H8" s="597">
        <v>0</v>
      </c>
      <c r="I8" s="609">
        <v>1</v>
      </c>
      <c r="J8" s="609">
        <v>93.27</v>
      </c>
      <c r="K8" s="597">
        <v>1</v>
      </c>
      <c r="L8" s="609">
        <v>1</v>
      </c>
      <c r="M8" s="610">
        <v>93.27</v>
      </c>
    </row>
    <row r="9" spans="1:13" ht="14.45" customHeight="1" x14ac:dyDescent="0.2">
      <c r="A9" s="591" t="s">
        <v>542</v>
      </c>
      <c r="B9" s="592" t="s">
        <v>771</v>
      </c>
      <c r="C9" s="592" t="s">
        <v>601</v>
      </c>
      <c r="D9" s="592" t="s">
        <v>599</v>
      </c>
      <c r="E9" s="592" t="s">
        <v>600</v>
      </c>
      <c r="F9" s="609">
        <v>1</v>
      </c>
      <c r="G9" s="609">
        <v>93.27</v>
      </c>
      <c r="H9" s="597">
        <v>1</v>
      </c>
      <c r="I9" s="609"/>
      <c r="J9" s="609"/>
      <c r="K9" s="597">
        <v>0</v>
      </c>
      <c r="L9" s="609">
        <v>1</v>
      </c>
      <c r="M9" s="610">
        <v>93.27</v>
      </c>
    </row>
    <row r="10" spans="1:13" ht="14.45" customHeight="1" x14ac:dyDescent="0.2">
      <c r="A10" s="591" t="s">
        <v>542</v>
      </c>
      <c r="B10" s="592" t="s">
        <v>769</v>
      </c>
      <c r="C10" s="592" t="s">
        <v>590</v>
      </c>
      <c r="D10" s="592" t="s">
        <v>591</v>
      </c>
      <c r="E10" s="592" t="s">
        <v>592</v>
      </c>
      <c r="F10" s="609"/>
      <c r="G10" s="609"/>
      <c r="H10" s="597">
        <v>0</v>
      </c>
      <c r="I10" s="609">
        <v>2</v>
      </c>
      <c r="J10" s="609">
        <v>308.72000000000003</v>
      </c>
      <c r="K10" s="597">
        <v>1</v>
      </c>
      <c r="L10" s="609">
        <v>2</v>
      </c>
      <c r="M10" s="610">
        <v>308.72000000000003</v>
      </c>
    </row>
    <row r="11" spans="1:13" ht="14.45" customHeight="1" x14ac:dyDescent="0.2">
      <c r="A11" s="591" t="s">
        <v>542</v>
      </c>
      <c r="B11" s="592" t="s">
        <v>772</v>
      </c>
      <c r="C11" s="592" t="s">
        <v>646</v>
      </c>
      <c r="D11" s="592" t="s">
        <v>647</v>
      </c>
      <c r="E11" s="592" t="s">
        <v>648</v>
      </c>
      <c r="F11" s="609">
        <v>3</v>
      </c>
      <c r="G11" s="609">
        <v>0</v>
      </c>
      <c r="H11" s="597"/>
      <c r="I11" s="609"/>
      <c r="J11" s="609"/>
      <c r="K11" s="597"/>
      <c r="L11" s="609">
        <v>3</v>
      </c>
      <c r="M11" s="610">
        <v>0</v>
      </c>
    </row>
    <row r="12" spans="1:13" ht="14.45" customHeight="1" x14ac:dyDescent="0.2">
      <c r="A12" s="591" t="s">
        <v>542</v>
      </c>
      <c r="B12" s="592" t="s">
        <v>772</v>
      </c>
      <c r="C12" s="592" t="s">
        <v>649</v>
      </c>
      <c r="D12" s="592" t="s">
        <v>647</v>
      </c>
      <c r="E12" s="592" t="s">
        <v>648</v>
      </c>
      <c r="F12" s="609"/>
      <c r="G12" s="609"/>
      <c r="H12" s="597"/>
      <c r="I12" s="609">
        <v>3</v>
      </c>
      <c r="J12" s="609">
        <v>0</v>
      </c>
      <c r="K12" s="597"/>
      <c r="L12" s="609">
        <v>3</v>
      </c>
      <c r="M12" s="610">
        <v>0</v>
      </c>
    </row>
    <row r="13" spans="1:13" ht="14.45" customHeight="1" x14ac:dyDescent="0.2">
      <c r="A13" s="591" t="s">
        <v>542</v>
      </c>
      <c r="B13" s="592" t="s">
        <v>773</v>
      </c>
      <c r="C13" s="592" t="s">
        <v>603</v>
      </c>
      <c r="D13" s="592" t="s">
        <v>604</v>
      </c>
      <c r="E13" s="592" t="s">
        <v>605</v>
      </c>
      <c r="F13" s="609"/>
      <c r="G13" s="609"/>
      <c r="H13" s="597"/>
      <c r="I13" s="609">
        <v>1</v>
      </c>
      <c r="J13" s="609">
        <v>0</v>
      </c>
      <c r="K13" s="597"/>
      <c r="L13" s="609">
        <v>1</v>
      </c>
      <c r="M13" s="610">
        <v>0</v>
      </c>
    </row>
    <row r="14" spans="1:13" ht="14.45" customHeight="1" x14ac:dyDescent="0.2">
      <c r="A14" s="591" t="s">
        <v>543</v>
      </c>
      <c r="B14" s="592" t="s">
        <v>774</v>
      </c>
      <c r="C14" s="592" t="s">
        <v>676</v>
      </c>
      <c r="D14" s="592" t="s">
        <v>677</v>
      </c>
      <c r="E14" s="592" t="s">
        <v>678</v>
      </c>
      <c r="F14" s="609"/>
      <c r="G14" s="609"/>
      <c r="H14" s="597">
        <v>0</v>
      </c>
      <c r="I14" s="609">
        <v>3</v>
      </c>
      <c r="J14" s="609">
        <v>280.29000000000002</v>
      </c>
      <c r="K14" s="597">
        <v>1</v>
      </c>
      <c r="L14" s="609">
        <v>3</v>
      </c>
      <c r="M14" s="610">
        <v>280.29000000000002</v>
      </c>
    </row>
    <row r="15" spans="1:13" ht="14.45" customHeight="1" x14ac:dyDescent="0.2">
      <c r="A15" s="591" t="s">
        <v>543</v>
      </c>
      <c r="B15" s="592" t="s">
        <v>774</v>
      </c>
      <c r="C15" s="592" t="s">
        <v>679</v>
      </c>
      <c r="D15" s="592" t="s">
        <v>677</v>
      </c>
      <c r="E15" s="592" t="s">
        <v>680</v>
      </c>
      <c r="F15" s="609"/>
      <c r="G15" s="609"/>
      <c r="H15" s="597">
        <v>0</v>
      </c>
      <c r="I15" s="609">
        <v>2</v>
      </c>
      <c r="J15" s="609">
        <v>373.74</v>
      </c>
      <c r="K15" s="597">
        <v>1</v>
      </c>
      <c r="L15" s="609">
        <v>2</v>
      </c>
      <c r="M15" s="610">
        <v>373.74</v>
      </c>
    </row>
    <row r="16" spans="1:13" ht="14.45" customHeight="1" x14ac:dyDescent="0.2">
      <c r="A16" s="591" t="s">
        <v>543</v>
      </c>
      <c r="B16" s="592" t="s">
        <v>775</v>
      </c>
      <c r="C16" s="592" t="s">
        <v>662</v>
      </c>
      <c r="D16" s="592" t="s">
        <v>663</v>
      </c>
      <c r="E16" s="592" t="s">
        <v>664</v>
      </c>
      <c r="F16" s="609"/>
      <c r="G16" s="609"/>
      <c r="H16" s="597">
        <v>0</v>
      </c>
      <c r="I16" s="609">
        <v>2</v>
      </c>
      <c r="J16" s="609">
        <v>131.08000000000001</v>
      </c>
      <c r="K16" s="597">
        <v>1</v>
      </c>
      <c r="L16" s="609">
        <v>2</v>
      </c>
      <c r="M16" s="610">
        <v>131.08000000000001</v>
      </c>
    </row>
    <row r="17" spans="1:13" ht="14.45" customHeight="1" x14ac:dyDescent="0.2">
      <c r="A17" s="591" t="s">
        <v>543</v>
      </c>
      <c r="B17" s="592" t="s">
        <v>776</v>
      </c>
      <c r="C17" s="592" t="s">
        <v>655</v>
      </c>
      <c r="D17" s="592" t="s">
        <v>656</v>
      </c>
      <c r="E17" s="592" t="s">
        <v>657</v>
      </c>
      <c r="F17" s="609">
        <v>2</v>
      </c>
      <c r="G17" s="609">
        <v>621.17999999999995</v>
      </c>
      <c r="H17" s="597">
        <v>1</v>
      </c>
      <c r="I17" s="609"/>
      <c r="J17" s="609"/>
      <c r="K17" s="597">
        <v>0</v>
      </c>
      <c r="L17" s="609">
        <v>2</v>
      </c>
      <c r="M17" s="610">
        <v>621.17999999999995</v>
      </c>
    </row>
    <row r="18" spans="1:13" ht="14.45" customHeight="1" x14ac:dyDescent="0.2">
      <c r="A18" s="591" t="s">
        <v>543</v>
      </c>
      <c r="B18" s="592" t="s">
        <v>776</v>
      </c>
      <c r="C18" s="592" t="s">
        <v>658</v>
      </c>
      <c r="D18" s="592" t="s">
        <v>659</v>
      </c>
      <c r="E18" s="592" t="s">
        <v>660</v>
      </c>
      <c r="F18" s="609">
        <v>1</v>
      </c>
      <c r="G18" s="609">
        <v>279.52999999999997</v>
      </c>
      <c r="H18" s="597">
        <v>1</v>
      </c>
      <c r="I18" s="609"/>
      <c r="J18" s="609"/>
      <c r="K18" s="597">
        <v>0</v>
      </c>
      <c r="L18" s="609">
        <v>1</v>
      </c>
      <c r="M18" s="610">
        <v>279.52999999999997</v>
      </c>
    </row>
    <row r="19" spans="1:13" ht="14.45" customHeight="1" x14ac:dyDescent="0.2">
      <c r="A19" s="591" t="s">
        <v>543</v>
      </c>
      <c r="B19" s="592" t="s">
        <v>777</v>
      </c>
      <c r="C19" s="592" t="s">
        <v>708</v>
      </c>
      <c r="D19" s="592" t="s">
        <v>709</v>
      </c>
      <c r="E19" s="592" t="s">
        <v>710</v>
      </c>
      <c r="F19" s="609"/>
      <c r="G19" s="609"/>
      <c r="H19" s="597">
        <v>0</v>
      </c>
      <c r="I19" s="609">
        <v>2</v>
      </c>
      <c r="J19" s="609">
        <v>98.16</v>
      </c>
      <c r="K19" s="597">
        <v>1</v>
      </c>
      <c r="L19" s="609">
        <v>2</v>
      </c>
      <c r="M19" s="610">
        <v>98.16</v>
      </c>
    </row>
    <row r="20" spans="1:13" ht="14.45" customHeight="1" x14ac:dyDescent="0.2">
      <c r="A20" s="591" t="s">
        <v>543</v>
      </c>
      <c r="B20" s="592" t="s">
        <v>773</v>
      </c>
      <c r="C20" s="592" t="s">
        <v>665</v>
      </c>
      <c r="D20" s="592" t="s">
        <v>604</v>
      </c>
      <c r="E20" s="592" t="s">
        <v>666</v>
      </c>
      <c r="F20" s="609"/>
      <c r="G20" s="609"/>
      <c r="H20" s="597">
        <v>0</v>
      </c>
      <c r="I20" s="609">
        <v>2</v>
      </c>
      <c r="J20" s="609">
        <v>352.64</v>
      </c>
      <c r="K20" s="597">
        <v>1</v>
      </c>
      <c r="L20" s="609">
        <v>2</v>
      </c>
      <c r="M20" s="610">
        <v>352.64</v>
      </c>
    </row>
    <row r="21" spans="1:13" ht="14.45" customHeight="1" x14ac:dyDescent="0.2">
      <c r="A21" s="591" t="s">
        <v>544</v>
      </c>
      <c r="B21" s="592" t="s">
        <v>770</v>
      </c>
      <c r="C21" s="592" t="s">
        <v>546</v>
      </c>
      <c r="D21" s="592" t="s">
        <v>547</v>
      </c>
      <c r="E21" s="592" t="s">
        <v>548</v>
      </c>
      <c r="F21" s="609"/>
      <c r="G21" s="609"/>
      <c r="H21" s="597">
        <v>0</v>
      </c>
      <c r="I21" s="609">
        <v>2</v>
      </c>
      <c r="J21" s="609">
        <v>239.4</v>
      </c>
      <c r="K21" s="597">
        <v>1</v>
      </c>
      <c r="L21" s="609">
        <v>2</v>
      </c>
      <c r="M21" s="610">
        <v>239.4</v>
      </c>
    </row>
    <row r="22" spans="1:13" ht="14.45" customHeight="1" thickBot="1" x14ac:dyDescent="0.25">
      <c r="A22" s="599" t="s">
        <v>544</v>
      </c>
      <c r="B22" s="600" t="s">
        <v>772</v>
      </c>
      <c r="C22" s="600" t="s">
        <v>745</v>
      </c>
      <c r="D22" s="600" t="s">
        <v>746</v>
      </c>
      <c r="E22" s="600" t="s">
        <v>605</v>
      </c>
      <c r="F22" s="611">
        <v>1</v>
      </c>
      <c r="G22" s="611">
        <v>0</v>
      </c>
      <c r="H22" s="605"/>
      <c r="I22" s="611"/>
      <c r="J22" s="611"/>
      <c r="K22" s="605"/>
      <c r="L22" s="611">
        <v>1</v>
      </c>
      <c r="M22" s="612">
        <v>0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DF28B6D2-9849-4A0D-A259-FE068C205A6C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3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8" customWidth="1"/>
    <col min="2" max="2" width="61.140625" style="208" customWidth="1"/>
    <col min="3" max="3" width="9.5703125" style="129" hidden="1" customWidth="1" outlineLevel="1"/>
    <col min="4" max="4" width="9.5703125" style="209" customWidth="1" collapsed="1"/>
    <col min="5" max="5" width="2.28515625" style="209" customWidth="1"/>
    <col min="6" max="6" width="9.5703125" style="210" customWidth="1"/>
    <col min="7" max="7" width="9.5703125" style="207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139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2" t="s">
        <v>270</v>
      </c>
      <c r="B2" s="206"/>
      <c r="C2" s="206"/>
      <c r="D2" s="206"/>
      <c r="E2" s="206"/>
      <c r="F2" s="206"/>
    </row>
    <row r="3" spans="1:10" ht="14.45" customHeight="1" thickBot="1" x14ac:dyDescent="0.25">
      <c r="A3" s="232"/>
      <c r="B3" s="271"/>
      <c r="C3" s="238">
        <v>2015</v>
      </c>
      <c r="D3" s="239">
        <v>2018</v>
      </c>
      <c r="E3" s="7"/>
      <c r="F3" s="338">
        <v>2019</v>
      </c>
      <c r="G3" s="356"/>
      <c r="H3" s="356"/>
      <c r="I3" s="339"/>
    </row>
    <row r="4" spans="1:10" ht="14.45" customHeight="1" thickBot="1" x14ac:dyDescent="0.2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5" customHeight="1" x14ac:dyDescent="0.2">
      <c r="A5" s="487" t="s">
        <v>440</v>
      </c>
      <c r="B5" s="488" t="s">
        <v>441</v>
      </c>
      <c r="C5" s="489" t="s">
        <v>442</v>
      </c>
      <c r="D5" s="489" t="s">
        <v>442</v>
      </c>
      <c r="E5" s="489"/>
      <c r="F5" s="489" t="s">
        <v>442</v>
      </c>
      <c r="G5" s="489" t="s">
        <v>442</v>
      </c>
      <c r="H5" s="489" t="s">
        <v>442</v>
      </c>
      <c r="I5" s="490" t="s">
        <v>442</v>
      </c>
      <c r="J5" s="491" t="s">
        <v>68</v>
      </c>
    </row>
    <row r="6" spans="1:10" ht="14.45" customHeight="1" x14ac:dyDescent="0.2">
      <c r="A6" s="487" t="s">
        <v>440</v>
      </c>
      <c r="B6" s="488" t="s">
        <v>779</v>
      </c>
      <c r="C6" s="489">
        <v>11.68497</v>
      </c>
      <c r="D6" s="489">
        <v>12.52604</v>
      </c>
      <c r="E6" s="489"/>
      <c r="F6" s="489">
        <v>11.238479999999999</v>
      </c>
      <c r="G6" s="489">
        <v>12.75</v>
      </c>
      <c r="H6" s="489">
        <v>-1.5115200000000009</v>
      </c>
      <c r="I6" s="490">
        <v>0.88144941176470581</v>
      </c>
      <c r="J6" s="491" t="s">
        <v>1</v>
      </c>
    </row>
    <row r="7" spans="1:10" ht="14.45" customHeight="1" x14ac:dyDescent="0.2">
      <c r="A7" s="487" t="s">
        <v>440</v>
      </c>
      <c r="B7" s="488" t="s">
        <v>780</v>
      </c>
      <c r="C7" s="489">
        <v>1.7688200000000001</v>
      </c>
      <c r="D7" s="489">
        <v>1.9759800000000001</v>
      </c>
      <c r="E7" s="489"/>
      <c r="F7" s="489">
        <v>2.61497</v>
      </c>
      <c r="G7" s="489">
        <v>2.25</v>
      </c>
      <c r="H7" s="489">
        <v>0.36497000000000002</v>
      </c>
      <c r="I7" s="490">
        <v>1.1622088888888888</v>
      </c>
      <c r="J7" s="491" t="s">
        <v>1</v>
      </c>
    </row>
    <row r="8" spans="1:10" ht="14.45" customHeight="1" x14ac:dyDescent="0.2">
      <c r="A8" s="487" t="s">
        <v>440</v>
      </c>
      <c r="B8" s="488" t="s">
        <v>781</v>
      </c>
      <c r="C8" s="489">
        <v>19.449080000000002</v>
      </c>
      <c r="D8" s="489">
        <v>18.498579999999997</v>
      </c>
      <c r="E8" s="489"/>
      <c r="F8" s="489">
        <v>20.578239999999997</v>
      </c>
      <c r="G8" s="489">
        <v>22.5</v>
      </c>
      <c r="H8" s="489">
        <v>-1.9217600000000026</v>
      </c>
      <c r="I8" s="490">
        <v>0.91458844444444432</v>
      </c>
      <c r="J8" s="491" t="s">
        <v>1</v>
      </c>
    </row>
    <row r="9" spans="1:10" ht="14.45" customHeight="1" x14ac:dyDescent="0.2">
      <c r="A9" s="487" t="s">
        <v>440</v>
      </c>
      <c r="B9" s="488" t="s">
        <v>782</v>
      </c>
      <c r="C9" s="489">
        <v>19.657400000000003</v>
      </c>
      <c r="D9" s="489">
        <v>24.142569999999999</v>
      </c>
      <c r="E9" s="489"/>
      <c r="F9" s="489">
        <v>21.346999999999998</v>
      </c>
      <c r="G9" s="489">
        <v>23.999999511718752</v>
      </c>
      <c r="H9" s="489">
        <v>-2.6529995117187539</v>
      </c>
      <c r="I9" s="490">
        <v>0.88945835142940965</v>
      </c>
      <c r="J9" s="491" t="s">
        <v>1</v>
      </c>
    </row>
    <row r="10" spans="1:10" ht="14.45" customHeight="1" x14ac:dyDescent="0.2">
      <c r="A10" s="487" t="s">
        <v>440</v>
      </c>
      <c r="B10" s="488" t="s">
        <v>783</v>
      </c>
      <c r="C10" s="489">
        <v>4.3770000000000007</v>
      </c>
      <c r="D10" s="489">
        <v>4.8079999999999998</v>
      </c>
      <c r="E10" s="489"/>
      <c r="F10" s="489">
        <v>6.6240000000000006</v>
      </c>
      <c r="G10" s="489">
        <v>6.000000244140625</v>
      </c>
      <c r="H10" s="489">
        <v>0.6239997558593755</v>
      </c>
      <c r="I10" s="490">
        <v>1.103999955078127</v>
      </c>
      <c r="J10" s="491" t="s">
        <v>1</v>
      </c>
    </row>
    <row r="11" spans="1:10" ht="14.45" customHeight="1" x14ac:dyDescent="0.2">
      <c r="A11" s="487" t="s">
        <v>440</v>
      </c>
      <c r="B11" s="488" t="s">
        <v>784</v>
      </c>
      <c r="C11" s="489">
        <v>1.1000000000000001</v>
      </c>
      <c r="D11" s="489">
        <v>1.3879999999999999</v>
      </c>
      <c r="E11" s="489"/>
      <c r="F11" s="489">
        <v>1.3860000000000001</v>
      </c>
      <c r="G11" s="489">
        <v>2.2499999389648435</v>
      </c>
      <c r="H11" s="489">
        <v>-0.86399993896484339</v>
      </c>
      <c r="I11" s="490">
        <v>0.61600001671006999</v>
      </c>
      <c r="J11" s="491" t="s">
        <v>1</v>
      </c>
    </row>
    <row r="12" spans="1:10" ht="14.45" customHeight="1" x14ac:dyDescent="0.2">
      <c r="A12" s="487" t="s">
        <v>440</v>
      </c>
      <c r="B12" s="488" t="s">
        <v>445</v>
      </c>
      <c r="C12" s="489">
        <v>58.037270000000007</v>
      </c>
      <c r="D12" s="489">
        <v>63.339169999999996</v>
      </c>
      <c r="E12" s="489"/>
      <c r="F12" s="489">
        <v>63.788690000000003</v>
      </c>
      <c r="G12" s="489">
        <v>69.749999694824226</v>
      </c>
      <c r="H12" s="489">
        <v>-5.961309694824223</v>
      </c>
      <c r="I12" s="490">
        <v>0.91453319396549648</v>
      </c>
      <c r="J12" s="491" t="s">
        <v>446</v>
      </c>
    </row>
    <row r="14" spans="1:10" ht="14.45" customHeight="1" x14ac:dyDescent="0.2">
      <c r="A14" s="487" t="s">
        <v>440</v>
      </c>
      <c r="B14" s="488" t="s">
        <v>441</v>
      </c>
      <c r="C14" s="489" t="s">
        <v>442</v>
      </c>
      <c r="D14" s="489" t="s">
        <v>442</v>
      </c>
      <c r="E14" s="489"/>
      <c r="F14" s="489" t="s">
        <v>442</v>
      </c>
      <c r="G14" s="489" t="s">
        <v>442</v>
      </c>
      <c r="H14" s="489" t="s">
        <v>442</v>
      </c>
      <c r="I14" s="490" t="s">
        <v>442</v>
      </c>
      <c r="J14" s="491" t="s">
        <v>68</v>
      </c>
    </row>
    <row r="15" spans="1:10" ht="14.45" customHeight="1" x14ac:dyDescent="0.2">
      <c r="A15" s="487" t="s">
        <v>447</v>
      </c>
      <c r="B15" s="488" t="s">
        <v>448</v>
      </c>
      <c r="C15" s="489" t="s">
        <v>442</v>
      </c>
      <c r="D15" s="489" t="s">
        <v>442</v>
      </c>
      <c r="E15" s="489"/>
      <c r="F15" s="489" t="s">
        <v>442</v>
      </c>
      <c r="G15" s="489" t="s">
        <v>442</v>
      </c>
      <c r="H15" s="489" t="s">
        <v>442</v>
      </c>
      <c r="I15" s="490" t="s">
        <v>442</v>
      </c>
      <c r="J15" s="491" t="s">
        <v>0</v>
      </c>
    </row>
    <row r="16" spans="1:10" ht="14.45" customHeight="1" x14ac:dyDescent="0.2">
      <c r="A16" s="487" t="s">
        <v>447</v>
      </c>
      <c r="B16" s="488" t="s">
        <v>779</v>
      </c>
      <c r="C16" s="489">
        <v>11.68497</v>
      </c>
      <c r="D16" s="489">
        <v>12.52604</v>
      </c>
      <c r="E16" s="489"/>
      <c r="F16" s="489">
        <v>11.238479999999999</v>
      </c>
      <c r="G16" s="489">
        <v>13</v>
      </c>
      <c r="H16" s="489">
        <v>-1.7615200000000009</v>
      </c>
      <c r="I16" s="490">
        <v>0.86449846153846144</v>
      </c>
      <c r="J16" s="491" t="s">
        <v>1</v>
      </c>
    </row>
    <row r="17" spans="1:10" ht="14.45" customHeight="1" x14ac:dyDescent="0.2">
      <c r="A17" s="487" t="s">
        <v>447</v>
      </c>
      <c r="B17" s="488" t="s">
        <v>780</v>
      </c>
      <c r="C17" s="489">
        <v>1.2371300000000001</v>
      </c>
      <c r="D17" s="489">
        <v>0.89060000000000006</v>
      </c>
      <c r="E17" s="489"/>
      <c r="F17" s="489">
        <v>1.1121000000000001</v>
      </c>
      <c r="G17" s="489">
        <v>1</v>
      </c>
      <c r="H17" s="489">
        <v>0.11210000000000009</v>
      </c>
      <c r="I17" s="490">
        <v>1.1121000000000001</v>
      </c>
      <c r="J17" s="491" t="s">
        <v>1</v>
      </c>
    </row>
    <row r="18" spans="1:10" ht="14.45" customHeight="1" x14ac:dyDescent="0.2">
      <c r="A18" s="487" t="s">
        <v>447</v>
      </c>
      <c r="B18" s="488" t="s">
        <v>781</v>
      </c>
      <c r="C18" s="489">
        <v>11.349630000000003</v>
      </c>
      <c r="D18" s="489">
        <v>9.8543699999999994</v>
      </c>
      <c r="E18" s="489"/>
      <c r="F18" s="489">
        <v>11.070419999999999</v>
      </c>
      <c r="G18" s="489">
        <v>12</v>
      </c>
      <c r="H18" s="489">
        <v>-0.92958000000000141</v>
      </c>
      <c r="I18" s="490">
        <v>0.92253499999999988</v>
      </c>
      <c r="J18" s="491" t="s">
        <v>1</v>
      </c>
    </row>
    <row r="19" spans="1:10" ht="14.45" customHeight="1" x14ac:dyDescent="0.2">
      <c r="A19" s="487" t="s">
        <v>447</v>
      </c>
      <c r="B19" s="488" t="s">
        <v>782</v>
      </c>
      <c r="C19" s="489">
        <v>17.206400000000002</v>
      </c>
      <c r="D19" s="489">
        <v>21.599499999999999</v>
      </c>
      <c r="E19" s="489"/>
      <c r="F19" s="489">
        <v>19.618599999999997</v>
      </c>
      <c r="G19" s="489">
        <v>22</v>
      </c>
      <c r="H19" s="489">
        <v>-2.3814000000000028</v>
      </c>
      <c r="I19" s="490">
        <v>0.89175454545454536</v>
      </c>
      <c r="J19" s="491" t="s">
        <v>1</v>
      </c>
    </row>
    <row r="20" spans="1:10" ht="14.45" customHeight="1" x14ac:dyDescent="0.2">
      <c r="A20" s="487" t="s">
        <v>447</v>
      </c>
      <c r="B20" s="488" t="s">
        <v>783</v>
      </c>
      <c r="C20" s="489">
        <v>3.2440000000000002</v>
      </c>
      <c r="D20" s="489">
        <v>2.8730000000000002</v>
      </c>
      <c r="E20" s="489"/>
      <c r="F20" s="489">
        <v>3.4390000000000001</v>
      </c>
      <c r="G20" s="489">
        <v>3</v>
      </c>
      <c r="H20" s="489">
        <v>0.43900000000000006</v>
      </c>
      <c r="I20" s="490">
        <v>1.1463333333333334</v>
      </c>
      <c r="J20" s="491" t="s">
        <v>1</v>
      </c>
    </row>
    <row r="21" spans="1:10" ht="14.45" customHeight="1" x14ac:dyDescent="0.2">
      <c r="A21" s="487" t="s">
        <v>447</v>
      </c>
      <c r="B21" s="488" t="s">
        <v>784</v>
      </c>
      <c r="C21" s="489">
        <v>0.82399999999999995</v>
      </c>
      <c r="D21" s="489">
        <v>0.504</v>
      </c>
      <c r="E21" s="489"/>
      <c r="F21" s="489">
        <v>0.504</v>
      </c>
      <c r="G21" s="489">
        <v>1</v>
      </c>
      <c r="H21" s="489">
        <v>-0.496</v>
      </c>
      <c r="I21" s="490">
        <v>0.504</v>
      </c>
      <c r="J21" s="491" t="s">
        <v>1</v>
      </c>
    </row>
    <row r="22" spans="1:10" ht="14.45" customHeight="1" x14ac:dyDescent="0.2">
      <c r="A22" s="487" t="s">
        <v>447</v>
      </c>
      <c r="B22" s="488" t="s">
        <v>449</v>
      </c>
      <c r="C22" s="489">
        <v>45.546130000000005</v>
      </c>
      <c r="D22" s="489">
        <v>48.247509999999991</v>
      </c>
      <c r="E22" s="489"/>
      <c r="F22" s="489">
        <v>46.982599999999991</v>
      </c>
      <c r="G22" s="489">
        <v>51</v>
      </c>
      <c r="H22" s="489">
        <v>-4.0174000000000092</v>
      </c>
      <c r="I22" s="490">
        <v>0.92122745098039194</v>
      </c>
      <c r="J22" s="491" t="s">
        <v>450</v>
      </c>
    </row>
    <row r="23" spans="1:10" ht="14.45" customHeight="1" x14ac:dyDescent="0.2">
      <c r="A23" s="487" t="s">
        <v>442</v>
      </c>
      <c r="B23" s="488" t="s">
        <v>442</v>
      </c>
      <c r="C23" s="489" t="s">
        <v>442</v>
      </c>
      <c r="D23" s="489" t="s">
        <v>442</v>
      </c>
      <c r="E23" s="489"/>
      <c r="F23" s="489" t="s">
        <v>442</v>
      </c>
      <c r="G23" s="489" t="s">
        <v>442</v>
      </c>
      <c r="H23" s="489" t="s">
        <v>442</v>
      </c>
      <c r="I23" s="490" t="s">
        <v>442</v>
      </c>
      <c r="J23" s="491" t="s">
        <v>451</v>
      </c>
    </row>
    <row r="24" spans="1:10" ht="14.45" customHeight="1" x14ac:dyDescent="0.2">
      <c r="A24" s="487" t="s">
        <v>455</v>
      </c>
      <c r="B24" s="488" t="s">
        <v>456</v>
      </c>
      <c r="C24" s="489" t="s">
        <v>442</v>
      </c>
      <c r="D24" s="489" t="s">
        <v>442</v>
      </c>
      <c r="E24" s="489"/>
      <c r="F24" s="489" t="s">
        <v>442</v>
      </c>
      <c r="G24" s="489" t="s">
        <v>442</v>
      </c>
      <c r="H24" s="489" t="s">
        <v>442</v>
      </c>
      <c r="I24" s="490" t="s">
        <v>442</v>
      </c>
      <c r="J24" s="491" t="s">
        <v>0</v>
      </c>
    </row>
    <row r="25" spans="1:10" ht="14.45" customHeight="1" x14ac:dyDescent="0.2">
      <c r="A25" s="487" t="s">
        <v>455</v>
      </c>
      <c r="B25" s="488" t="s">
        <v>780</v>
      </c>
      <c r="C25" s="489">
        <v>0.53169</v>
      </c>
      <c r="D25" s="489">
        <v>1.08538</v>
      </c>
      <c r="E25" s="489"/>
      <c r="F25" s="489">
        <v>1.5028699999999999</v>
      </c>
      <c r="G25" s="489">
        <v>1</v>
      </c>
      <c r="H25" s="489">
        <v>0.50286999999999993</v>
      </c>
      <c r="I25" s="490">
        <v>1.5028699999999999</v>
      </c>
      <c r="J25" s="491" t="s">
        <v>1</v>
      </c>
    </row>
    <row r="26" spans="1:10" ht="14.45" customHeight="1" x14ac:dyDescent="0.2">
      <c r="A26" s="487" t="s">
        <v>455</v>
      </c>
      <c r="B26" s="488" t="s">
        <v>781</v>
      </c>
      <c r="C26" s="489">
        <v>8.0994499999999992</v>
      </c>
      <c r="D26" s="489">
        <v>8.6442099999999993</v>
      </c>
      <c r="E26" s="489"/>
      <c r="F26" s="489">
        <v>9.5078199999999988</v>
      </c>
      <c r="G26" s="489">
        <v>11</v>
      </c>
      <c r="H26" s="489">
        <v>-1.4921800000000012</v>
      </c>
      <c r="I26" s="490">
        <v>0.86434727272727263</v>
      </c>
      <c r="J26" s="491" t="s">
        <v>1</v>
      </c>
    </row>
    <row r="27" spans="1:10" ht="14.45" customHeight="1" x14ac:dyDescent="0.2">
      <c r="A27" s="487" t="s">
        <v>455</v>
      </c>
      <c r="B27" s="488" t="s">
        <v>782</v>
      </c>
      <c r="C27" s="489">
        <v>2.4510000000000001</v>
      </c>
      <c r="D27" s="489">
        <v>2.5430700000000002</v>
      </c>
      <c r="E27" s="489"/>
      <c r="F27" s="489">
        <v>1.7284000000000002</v>
      </c>
      <c r="G27" s="489">
        <v>2</v>
      </c>
      <c r="H27" s="489">
        <v>-0.27159999999999984</v>
      </c>
      <c r="I27" s="490">
        <v>0.86420000000000008</v>
      </c>
      <c r="J27" s="491" t="s">
        <v>1</v>
      </c>
    </row>
    <row r="28" spans="1:10" ht="14.45" customHeight="1" x14ac:dyDescent="0.2">
      <c r="A28" s="487" t="s">
        <v>455</v>
      </c>
      <c r="B28" s="488" t="s">
        <v>783</v>
      </c>
      <c r="C28" s="489">
        <v>1.133</v>
      </c>
      <c r="D28" s="489">
        <v>1.9350000000000001</v>
      </c>
      <c r="E28" s="489"/>
      <c r="F28" s="489">
        <v>3.1850000000000001</v>
      </c>
      <c r="G28" s="489">
        <v>3</v>
      </c>
      <c r="H28" s="489">
        <v>0.18500000000000005</v>
      </c>
      <c r="I28" s="490">
        <v>1.0616666666666668</v>
      </c>
      <c r="J28" s="491" t="s">
        <v>1</v>
      </c>
    </row>
    <row r="29" spans="1:10" ht="14.45" customHeight="1" x14ac:dyDescent="0.2">
      <c r="A29" s="487" t="s">
        <v>455</v>
      </c>
      <c r="B29" s="488" t="s">
        <v>784</v>
      </c>
      <c r="C29" s="489">
        <v>0.27600000000000002</v>
      </c>
      <c r="D29" s="489">
        <v>0.88400000000000001</v>
      </c>
      <c r="E29" s="489"/>
      <c r="F29" s="489">
        <v>0.88200000000000001</v>
      </c>
      <c r="G29" s="489">
        <v>1</v>
      </c>
      <c r="H29" s="489">
        <v>-0.11799999999999999</v>
      </c>
      <c r="I29" s="490">
        <v>0.88200000000000001</v>
      </c>
      <c r="J29" s="491" t="s">
        <v>1</v>
      </c>
    </row>
    <row r="30" spans="1:10" ht="14.45" customHeight="1" x14ac:dyDescent="0.2">
      <c r="A30" s="487" t="s">
        <v>455</v>
      </c>
      <c r="B30" s="488" t="s">
        <v>457</v>
      </c>
      <c r="C30" s="489">
        <v>12.491139999999998</v>
      </c>
      <c r="D30" s="489">
        <v>15.091660000000001</v>
      </c>
      <c r="E30" s="489"/>
      <c r="F30" s="489">
        <v>16.806090000000001</v>
      </c>
      <c r="G30" s="489">
        <v>19</v>
      </c>
      <c r="H30" s="489">
        <v>-2.1939099999999989</v>
      </c>
      <c r="I30" s="490">
        <v>0.88453105263157905</v>
      </c>
      <c r="J30" s="491" t="s">
        <v>450</v>
      </c>
    </row>
    <row r="31" spans="1:10" ht="14.45" customHeight="1" x14ac:dyDescent="0.2">
      <c r="A31" s="487" t="s">
        <v>442</v>
      </c>
      <c r="B31" s="488" t="s">
        <v>442</v>
      </c>
      <c r="C31" s="489" t="s">
        <v>442</v>
      </c>
      <c r="D31" s="489" t="s">
        <v>442</v>
      </c>
      <c r="E31" s="489"/>
      <c r="F31" s="489" t="s">
        <v>442</v>
      </c>
      <c r="G31" s="489" t="s">
        <v>442</v>
      </c>
      <c r="H31" s="489" t="s">
        <v>442</v>
      </c>
      <c r="I31" s="490" t="s">
        <v>442</v>
      </c>
      <c r="J31" s="491" t="s">
        <v>451</v>
      </c>
    </row>
    <row r="32" spans="1:10" ht="14.45" customHeight="1" x14ac:dyDescent="0.2">
      <c r="A32" s="487" t="s">
        <v>440</v>
      </c>
      <c r="B32" s="488" t="s">
        <v>445</v>
      </c>
      <c r="C32" s="489">
        <v>58.037270000000007</v>
      </c>
      <c r="D32" s="489">
        <v>63.339169999999996</v>
      </c>
      <c r="E32" s="489"/>
      <c r="F32" s="489">
        <v>63.788689999999988</v>
      </c>
      <c r="G32" s="489">
        <v>70</v>
      </c>
      <c r="H32" s="489">
        <v>-6.2113100000000117</v>
      </c>
      <c r="I32" s="490">
        <v>0.91126699999999983</v>
      </c>
      <c r="J32" s="491" t="s">
        <v>446</v>
      </c>
    </row>
  </sheetData>
  <mergeCells count="3">
    <mergeCell ref="A1:I1"/>
    <mergeCell ref="F3:I3"/>
    <mergeCell ref="C4:D4"/>
  </mergeCells>
  <conditionalFormatting sqref="F13 F33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32">
    <cfRule type="expression" dxfId="11" priority="6">
      <formula>$H14&gt;0</formula>
    </cfRule>
  </conditionalFormatting>
  <conditionalFormatting sqref="A14:A32">
    <cfRule type="expression" dxfId="10" priority="5">
      <formula>AND($J14&lt;&gt;"mezeraKL",$J14&lt;&gt;"")</formula>
    </cfRule>
  </conditionalFormatting>
  <conditionalFormatting sqref="I14:I32">
    <cfRule type="expression" dxfId="9" priority="7">
      <formula>$I14&gt;1</formula>
    </cfRule>
  </conditionalFormatting>
  <conditionalFormatting sqref="B14:B32">
    <cfRule type="expression" dxfId="8" priority="4">
      <formula>OR($J14="NS",$J14="SumaNS",$J14="Účet")</formula>
    </cfRule>
  </conditionalFormatting>
  <conditionalFormatting sqref="A14:D32 F14:I32">
    <cfRule type="expression" dxfId="7" priority="8">
      <formula>AND($J14&lt;&gt;"",$J14&lt;&gt;"mezeraKL")</formula>
    </cfRule>
  </conditionalFormatting>
  <conditionalFormatting sqref="B14:D32 F14:I32">
    <cfRule type="expression" dxfId="6" priority="1">
      <formula>OR($J14="KL",$J14="SumaKL")</formula>
    </cfRule>
    <cfRule type="expression" priority="3" stopIfTrue="1">
      <formula>OR($J14="mezeraNS",$J14="mezeraKL")</formula>
    </cfRule>
  </conditionalFormatting>
  <conditionalFormatting sqref="B14:D32 F14:I32">
    <cfRule type="expression" dxfId="5" priority="2">
      <formula>OR($J14="SumaNS",$J14="NS")</formula>
    </cfRule>
  </conditionalFormatting>
  <hyperlinks>
    <hyperlink ref="A2" location="Obsah!A1" display="Zpět na Obsah  KL 01  1.-4.měsíc" xr:uid="{6AF66271-181C-4A9E-B84C-827A36D4FEF2}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114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9" bestFit="1" customWidth="1" collapsed="1"/>
    <col min="4" max="4" width="18.7109375" style="213" customWidth="1"/>
    <col min="5" max="5" width="9" style="209" bestFit="1" customWidth="1"/>
    <col min="6" max="6" width="18.7109375" style="213" customWidth="1"/>
    <col min="7" max="7" width="12.42578125" style="209" hidden="1" customWidth="1" outlineLevel="1"/>
    <col min="8" max="8" width="25.7109375" style="209" customWidth="1" collapsed="1"/>
    <col min="9" max="9" width="7.7109375" style="207" customWidth="1"/>
    <col min="10" max="10" width="10" style="207" customWidth="1"/>
    <col min="11" max="11" width="11.140625" style="207" customWidth="1"/>
    <col min="12" max="16384" width="8.85546875" style="129"/>
  </cols>
  <sheetData>
    <row r="1" spans="1:11" ht="18.600000000000001" customHeight="1" thickBot="1" x14ac:dyDescent="0.35">
      <c r="A1" s="366" t="s">
        <v>911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5" customHeight="1" thickBot="1" x14ac:dyDescent="0.25">
      <c r="A2" s="232" t="s">
        <v>270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5" customHeight="1" thickBot="1" x14ac:dyDescent="0.2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3.1570744661493073</v>
      </c>
      <c r="J3" s="98">
        <f>SUBTOTAL(9,J5:J1048576)</f>
        <v>20205</v>
      </c>
      <c r="K3" s="99">
        <f>SUBTOTAL(9,K5:K1048576)</f>
        <v>63788.689588546753</v>
      </c>
    </row>
    <row r="4" spans="1:11" s="208" customFormat="1" ht="14.45" customHeight="1" thickBot="1" x14ac:dyDescent="0.25">
      <c r="A4" s="620" t="s">
        <v>4</v>
      </c>
      <c r="B4" s="621" t="s">
        <v>5</v>
      </c>
      <c r="C4" s="621" t="s">
        <v>0</v>
      </c>
      <c r="D4" s="621" t="s">
        <v>6</v>
      </c>
      <c r="E4" s="621" t="s">
        <v>7</v>
      </c>
      <c r="F4" s="621" t="s">
        <v>1</v>
      </c>
      <c r="G4" s="621" t="s">
        <v>70</v>
      </c>
      <c r="H4" s="495" t="s">
        <v>11</v>
      </c>
      <c r="I4" s="496" t="s">
        <v>142</v>
      </c>
      <c r="J4" s="496" t="s">
        <v>13</v>
      </c>
      <c r="K4" s="497" t="s">
        <v>159</v>
      </c>
    </row>
    <row r="5" spans="1:11" ht="14.45" customHeight="1" x14ac:dyDescent="0.2">
      <c r="A5" s="584" t="s">
        <v>440</v>
      </c>
      <c r="B5" s="585" t="s">
        <v>441</v>
      </c>
      <c r="C5" s="588" t="s">
        <v>447</v>
      </c>
      <c r="D5" s="622" t="s">
        <v>448</v>
      </c>
      <c r="E5" s="588" t="s">
        <v>785</v>
      </c>
      <c r="F5" s="622" t="s">
        <v>786</v>
      </c>
      <c r="G5" s="588" t="s">
        <v>787</v>
      </c>
      <c r="H5" s="588" t="s">
        <v>788</v>
      </c>
      <c r="I5" s="116">
        <v>208.1199951171875</v>
      </c>
      <c r="J5" s="116">
        <v>54</v>
      </c>
      <c r="K5" s="608">
        <v>11238.479736328125</v>
      </c>
    </row>
    <row r="6" spans="1:11" ht="14.45" customHeight="1" x14ac:dyDescent="0.2">
      <c r="A6" s="591" t="s">
        <v>440</v>
      </c>
      <c r="B6" s="592" t="s">
        <v>441</v>
      </c>
      <c r="C6" s="595" t="s">
        <v>447</v>
      </c>
      <c r="D6" s="623" t="s">
        <v>448</v>
      </c>
      <c r="E6" s="595" t="s">
        <v>789</v>
      </c>
      <c r="F6" s="623" t="s">
        <v>790</v>
      </c>
      <c r="G6" s="595" t="s">
        <v>791</v>
      </c>
      <c r="H6" s="595" t="s">
        <v>792</v>
      </c>
      <c r="I6" s="609">
        <v>13.020000457763672</v>
      </c>
      <c r="J6" s="609">
        <v>6</v>
      </c>
      <c r="K6" s="610">
        <v>78.120002746582031</v>
      </c>
    </row>
    <row r="7" spans="1:11" ht="14.45" customHeight="1" x14ac:dyDescent="0.2">
      <c r="A7" s="591" t="s">
        <v>440</v>
      </c>
      <c r="B7" s="592" t="s">
        <v>441</v>
      </c>
      <c r="C7" s="595" t="s">
        <v>447</v>
      </c>
      <c r="D7" s="623" t="s">
        <v>448</v>
      </c>
      <c r="E7" s="595" t="s">
        <v>789</v>
      </c>
      <c r="F7" s="623" t="s">
        <v>790</v>
      </c>
      <c r="G7" s="595" t="s">
        <v>793</v>
      </c>
      <c r="H7" s="595" t="s">
        <v>794</v>
      </c>
      <c r="I7" s="609">
        <v>0.86000001430511475</v>
      </c>
      <c r="J7" s="609">
        <v>10</v>
      </c>
      <c r="K7" s="610">
        <v>8.6000003814697266</v>
      </c>
    </row>
    <row r="8" spans="1:11" ht="14.45" customHeight="1" x14ac:dyDescent="0.2">
      <c r="A8" s="591" t="s">
        <v>440</v>
      </c>
      <c r="B8" s="592" t="s">
        <v>441</v>
      </c>
      <c r="C8" s="595" t="s">
        <v>447</v>
      </c>
      <c r="D8" s="623" t="s">
        <v>448</v>
      </c>
      <c r="E8" s="595" t="s">
        <v>789</v>
      </c>
      <c r="F8" s="623" t="s">
        <v>790</v>
      </c>
      <c r="G8" s="595" t="s">
        <v>795</v>
      </c>
      <c r="H8" s="595" t="s">
        <v>796</v>
      </c>
      <c r="I8" s="609">
        <v>1.5199999809265137</v>
      </c>
      <c r="J8" s="609">
        <v>5</v>
      </c>
      <c r="K8" s="610">
        <v>7.5999999046325684</v>
      </c>
    </row>
    <row r="9" spans="1:11" ht="14.45" customHeight="1" x14ac:dyDescent="0.2">
      <c r="A9" s="591" t="s">
        <v>440</v>
      </c>
      <c r="B9" s="592" t="s">
        <v>441</v>
      </c>
      <c r="C9" s="595" t="s">
        <v>447</v>
      </c>
      <c r="D9" s="623" t="s">
        <v>448</v>
      </c>
      <c r="E9" s="595" t="s">
        <v>789</v>
      </c>
      <c r="F9" s="623" t="s">
        <v>790</v>
      </c>
      <c r="G9" s="595" t="s">
        <v>797</v>
      </c>
      <c r="H9" s="595" t="s">
        <v>798</v>
      </c>
      <c r="I9" s="609">
        <v>2.059999942779541</v>
      </c>
      <c r="J9" s="609">
        <v>5</v>
      </c>
      <c r="K9" s="610">
        <v>10.300000190734863</v>
      </c>
    </row>
    <row r="10" spans="1:11" ht="14.45" customHeight="1" x14ac:dyDescent="0.2">
      <c r="A10" s="591" t="s">
        <v>440</v>
      </c>
      <c r="B10" s="592" t="s">
        <v>441</v>
      </c>
      <c r="C10" s="595" t="s">
        <v>447</v>
      </c>
      <c r="D10" s="623" t="s">
        <v>448</v>
      </c>
      <c r="E10" s="595" t="s">
        <v>789</v>
      </c>
      <c r="F10" s="623" t="s">
        <v>790</v>
      </c>
      <c r="G10" s="595" t="s">
        <v>799</v>
      </c>
      <c r="H10" s="595" t="s">
        <v>800</v>
      </c>
      <c r="I10" s="609">
        <v>7.630000114440918</v>
      </c>
      <c r="J10" s="609">
        <v>8</v>
      </c>
      <c r="K10" s="610">
        <v>61.040000915527344</v>
      </c>
    </row>
    <row r="11" spans="1:11" ht="14.45" customHeight="1" x14ac:dyDescent="0.2">
      <c r="A11" s="591" t="s">
        <v>440</v>
      </c>
      <c r="B11" s="592" t="s">
        <v>441</v>
      </c>
      <c r="C11" s="595" t="s">
        <v>447</v>
      </c>
      <c r="D11" s="623" t="s">
        <v>448</v>
      </c>
      <c r="E11" s="595" t="s">
        <v>789</v>
      </c>
      <c r="F11" s="623" t="s">
        <v>790</v>
      </c>
      <c r="G11" s="595" t="s">
        <v>791</v>
      </c>
      <c r="H11" s="595" t="s">
        <v>801</v>
      </c>
      <c r="I11" s="609">
        <v>13.020000457763672</v>
      </c>
      <c r="J11" s="609">
        <v>28</v>
      </c>
      <c r="K11" s="610">
        <v>364.56000518798828</v>
      </c>
    </row>
    <row r="12" spans="1:11" ht="14.45" customHeight="1" x14ac:dyDescent="0.2">
      <c r="A12" s="591" t="s">
        <v>440</v>
      </c>
      <c r="B12" s="592" t="s">
        <v>441</v>
      </c>
      <c r="C12" s="595" t="s">
        <v>447</v>
      </c>
      <c r="D12" s="623" t="s">
        <v>448</v>
      </c>
      <c r="E12" s="595" t="s">
        <v>789</v>
      </c>
      <c r="F12" s="623" t="s">
        <v>790</v>
      </c>
      <c r="G12" s="595" t="s">
        <v>793</v>
      </c>
      <c r="H12" s="595" t="s">
        <v>802</v>
      </c>
      <c r="I12" s="609">
        <v>0.86000001430511475</v>
      </c>
      <c r="J12" s="609">
        <v>10</v>
      </c>
      <c r="K12" s="610">
        <v>8.6000003814697266</v>
      </c>
    </row>
    <row r="13" spans="1:11" ht="14.45" customHeight="1" x14ac:dyDescent="0.2">
      <c r="A13" s="591" t="s">
        <v>440</v>
      </c>
      <c r="B13" s="592" t="s">
        <v>441</v>
      </c>
      <c r="C13" s="595" t="s">
        <v>447</v>
      </c>
      <c r="D13" s="623" t="s">
        <v>448</v>
      </c>
      <c r="E13" s="595" t="s">
        <v>789</v>
      </c>
      <c r="F13" s="623" t="s">
        <v>790</v>
      </c>
      <c r="G13" s="595" t="s">
        <v>795</v>
      </c>
      <c r="H13" s="595" t="s">
        <v>803</v>
      </c>
      <c r="I13" s="609">
        <v>1.5199999809265137</v>
      </c>
      <c r="J13" s="609">
        <v>5</v>
      </c>
      <c r="K13" s="610">
        <v>7.5999999046325684</v>
      </c>
    </row>
    <row r="14" spans="1:11" ht="14.45" customHeight="1" x14ac:dyDescent="0.2">
      <c r="A14" s="591" t="s">
        <v>440</v>
      </c>
      <c r="B14" s="592" t="s">
        <v>441</v>
      </c>
      <c r="C14" s="595" t="s">
        <v>447</v>
      </c>
      <c r="D14" s="623" t="s">
        <v>448</v>
      </c>
      <c r="E14" s="595" t="s">
        <v>789</v>
      </c>
      <c r="F14" s="623" t="s">
        <v>790</v>
      </c>
      <c r="G14" s="595" t="s">
        <v>799</v>
      </c>
      <c r="H14" s="595" t="s">
        <v>804</v>
      </c>
      <c r="I14" s="609">
        <v>7.6333333651224775</v>
      </c>
      <c r="J14" s="609">
        <v>19</v>
      </c>
      <c r="K14" s="610">
        <v>145.03000259399414</v>
      </c>
    </row>
    <row r="15" spans="1:11" ht="14.45" customHeight="1" x14ac:dyDescent="0.2">
      <c r="A15" s="591" t="s">
        <v>440</v>
      </c>
      <c r="B15" s="592" t="s">
        <v>441</v>
      </c>
      <c r="C15" s="595" t="s">
        <v>447</v>
      </c>
      <c r="D15" s="623" t="s">
        <v>448</v>
      </c>
      <c r="E15" s="595" t="s">
        <v>789</v>
      </c>
      <c r="F15" s="623" t="s">
        <v>790</v>
      </c>
      <c r="G15" s="595" t="s">
        <v>805</v>
      </c>
      <c r="H15" s="595" t="s">
        <v>806</v>
      </c>
      <c r="I15" s="609">
        <v>29.879999160766602</v>
      </c>
      <c r="J15" s="609">
        <v>2</v>
      </c>
      <c r="K15" s="610">
        <v>59.759998321533203</v>
      </c>
    </row>
    <row r="16" spans="1:11" ht="14.45" customHeight="1" x14ac:dyDescent="0.2">
      <c r="A16" s="591" t="s">
        <v>440</v>
      </c>
      <c r="B16" s="592" t="s">
        <v>441</v>
      </c>
      <c r="C16" s="595" t="s">
        <v>447</v>
      </c>
      <c r="D16" s="623" t="s">
        <v>448</v>
      </c>
      <c r="E16" s="595" t="s">
        <v>789</v>
      </c>
      <c r="F16" s="623" t="s">
        <v>790</v>
      </c>
      <c r="G16" s="595" t="s">
        <v>807</v>
      </c>
      <c r="H16" s="595" t="s">
        <v>808</v>
      </c>
      <c r="I16" s="609">
        <v>30.400000095367432</v>
      </c>
      <c r="J16" s="609">
        <v>5</v>
      </c>
      <c r="K16" s="610">
        <v>152.11000061035156</v>
      </c>
    </row>
    <row r="17" spans="1:11" ht="14.45" customHeight="1" x14ac:dyDescent="0.2">
      <c r="A17" s="591" t="s">
        <v>440</v>
      </c>
      <c r="B17" s="592" t="s">
        <v>441</v>
      </c>
      <c r="C17" s="595" t="s">
        <v>447</v>
      </c>
      <c r="D17" s="623" t="s">
        <v>448</v>
      </c>
      <c r="E17" s="595" t="s">
        <v>789</v>
      </c>
      <c r="F17" s="623" t="s">
        <v>790</v>
      </c>
      <c r="G17" s="595" t="s">
        <v>805</v>
      </c>
      <c r="H17" s="595" t="s">
        <v>809</v>
      </c>
      <c r="I17" s="609">
        <v>29.814999580383301</v>
      </c>
      <c r="J17" s="609">
        <v>7</v>
      </c>
      <c r="K17" s="610">
        <v>208.77999877929688</v>
      </c>
    </row>
    <row r="18" spans="1:11" ht="14.45" customHeight="1" x14ac:dyDescent="0.2">
      <c r="A18" s="591" t="s">
        <v>440</v>
      </c>
      <c r="B18" s="592" t="s">
        <v>441</v>
      </c>
      <c r="C18" s="595" t="s">
        <v>447</v>
      </c>
      <c r="D18" s="623" t="s">
        <v>448</v>
      </c>
      <c r="E18" s="595" t="s">
        <v>810</v>
      </c>
      <c r="F18" s="623" t="s">
        <v>811</v>
      </c>
      <c r="G18" s="595" t="s">
        <v>812</v>
      </c>
      <c r="H18" s="595" t="s">
        <v>813</v>
      </c>
      <c r="I18" s="609">
        <v>9.9999997764825821E-3</v>
      </c>
      <c r="J18" s="609">
        <v>200</v>
      </c>
      <c r="K18" s="610">
        <v>2</v>
      </c>
    </row>
    <row r="19" spans="1:11" ht="14.45" customHeight="1" x14ac:dyDescent="0.2">
      <c r="A19" s="591" t="s">
        <v>440</v>
      </c>
      <c r="B19" s="592" t="s">
        <v>441</v>
      </c>
      <c r="C19" s="595" t="s">
        <v>447</v>
      </c>
      <c r="D19" s="623" t="s">
        <v>448</v>
      </c>
      <c r="E19" s="595" t="s">
        <v>810</v>
      </c>
      <c r="F19" s="623" t="s">
        <v>811</v>
      </c>
      <c r="G19" s="595" t="s">
        <v>812</v>
      </c>
      <c r="H19" s="595" t="s">
        <v>814</v>
      </c>
      <c r="I19" s="609">
        <v>1.2499999720603228E-2</v>
      </c>
      <c r="J19" s="609">
        <v>700</v>
      </c>
      <c r="K19" s="610">
        <v>8</v>
      </c>
    </row>
    <row r="20" spans="1:11" ht="14.45" customHeight="1" x14ac:dyDescent="0.2">
      <c r="A20" s="591" t="s">
        <v>440</v>
      </c>
      <c r="B20" s="592" t="s">
        <v>441</v>
      </c>
      <c r="C20" s="595" t="s">
        <v>447</v>
      </c>
      <c r="D20" s="623" t="s">
        <v>448</v>
      </c>
      <c r="E20" s="595" t="s">
        <v>810</v>
      </c>
      <c r="F20" s="623" t="s">
        <v>811</v>
      </c>
      <c r="G20" s="595" t="s">
        <v>815</v>
      </c>
      <c r="H20" s="595" t="s">
        <v>816</v>
      </c>
      <c r="I20" s="609">
        <v>1.7999999523162842</v>
      </c>
      <c r="J20" s="609">
        <v>100</v>
      </c>
      <c r="K20" s="610">
        <v>180</v>
      </c>
    </row>
    <row r="21" spans="1:11" ht="14.45" customHeight="1" x14ac:dyDescent="0.2">
      <c r="A21" s="591" t="s">
        <v>440</v>
      </c>
      <c r="B21" s="592" t="s">
        <v>441</v>
      </c>
      <c r="C21" s="595" t="s">
        <v>447</v>
      </c>
      <c r="D21" s="623" t="s">
        <v>448</v>
      </c>
      <c r="E21" s="595" t="s">
        <v>810</v>
      </c>
      <c r="F21" s="623" t="s">
        <v>811</v>
      </c>
      <c r="G21" s="595" t="s">
        <v>815</v>
      </c>
      <c r="H21" s="595" t="s">
        <v>817</v>
      </c>
      <c r="I21" s="609">
        <v>1.8049999475479126</v>
      </c>
      <c r="J21" s="609">
        <v>250</v>
      </c>
      <c r="K21" s="610">
        <v>451.5</v>
      </c>
    </row>
    <row r="22" spans="1:11" ht="14.45" customHeight="1" x14ac:dyDescent="0.2">
      <c r="A22" s="591" t="s">
        <v>440</v>
      </c>
      <c r="B22" s="592" t="s">
        <v>441</v>
      </c>
      <c r="C22" s="595" t="s">
        <v>447</v>
      </c>
      <c r="D22" s="623" t="s">
        <v>448</v>
      </c>
      <c r="E22" s="595" t="s">
        <v>810</v>
      </c>
      <c r="F22" s="623" t="s">
        <v>811</v>
      </c>
      <c r="G22" s="595" t="s">
        <v>818</v>
      </c>
      <c r="H22" s="595" t="s">
        <v>819</v>
      </c>
      <c r="I22" s="609">
        <v>2.5699999332427979</v>
      </c>
      <c r="J22" s="609">
        <v>200</v>
      </c>
      <c r="K22" s="610">
        <v>513.03997802734375</v>
      </c>
    </row>
    <row r="23" spans="1:11" ht="14.45" customHeight="1" x14ac:dyDescent="0.2">
      <c r="A23" s="591" t="s">
        <v>440</v>
      </c>
      <c r="B23" s="592" t="s">
        <v>441</v>
      </c>
      <c r="C23" s="595" t="s">
        <v>447</v>
      </c>
      <c r="D23" s="623" t="s">
        <v>448</v>
      </c>
      <c r="E23" s="595" t="s">
        <v>810</v>
      </c>
      <c r="F23" s="623" t="s">
        <v>811</v>
      </c>
      <c r="G23" s="595" t="s">
        <v>820</v>
      </c>
      <c r="H23" s="595" t="s">
        <v>821</v>
      </c>
      <c r="I23" s="609">
        <v>13.310000419616699</v>
      </c>
      <c r="J23" s="609">
        <v>7</v>
      </c>
      <c r="K23" s="610">
        <v>93.169998168945313</v>
      </c>
    </row>
    <row r="24" spans="1:11" ht="14.45" customHeight="1" x14ac:dyDescent="0.2">
      <c r="A24" s="591" t="s">
        <v>440</v>
      </c>
      <c r="B24" s="592" t="s">
        <v>441</v>
      </c>
      <c r="C24" s="595" t="s">
        <v>447</v>
      </c>
      <c r="D24" s="623" t="s">
        <v>448</v>
      </c>
      <c r="E24" s="595" t="s">
        <v>810</v>
      </c>
      <c r="F24" s="623" t="s">
        <v>811</v>
      </c>
      <c r="G24" s="595" t="s">
        <v>822</v>
      </c>
      <c r="H24" s="595" t="s">
        <v>823</v>
      </c>
      <c r="I24" s="609">
        <v>11.734999656677246</v>
      </c>
      <c r="J24" s="609">
        <v>8</v>
      </c>
      <c r="K24" s="610">
        <v>93.870002746582031</v>
      </c>
    </row>
    <row r="25" spans="1:11" ht="14.45" customHeight="1" x14ac:dyDescent="0.2">
      <c r="A25" s="591" t="s">
        <v>440</v>
      </c>
      <c r="B25" s="592" t="s">
        <v>441</v>
      </c>
      <c r="C25" s="595" t="s">
        <v>447</v>
      </c>
      <c r="D25" s="623" t="s">
        <v>448</v>
      </c>
      <c r="E25" s="595" t="s">
        <v>810</v>
      </c>
      <c r="F25" s="623" t="s">
        <v>811</v>
      </c>
      <c r="G25" s="595" t="s">
        <v>820</v>
      </c>
      <c r="H25" s="595" t="s">
        <v>824</v>
      </c>
      <c r="I25" s="609">
        <v>13.310000419616699</v>
      </c>
      <c r="J25" s="609">
        <v>22</v>
      </c>
      <c r="K25" s="610">
        <v>292.82000923156738</v>
      </c>
    </row>
    <row r="26" spans="1:11" ht="14.45" customHeight="1" x14ac:dyDescent="0.2">
      <c r="A26" s="591" t="s">
        <v>440</v>
      </c>
      <c r="B26" s="592" t="s">
        <v>441</v>
      </c>
      <c r="C26" s="595" t="s">
        <v>447</v>
      </c>
      <c r="D26" s="623" t="s">
        <v>448</v>
      </c>
      <c r="E26" s="595" t="s">
        <v>810</v>
      </c>
      <c r="F26" s="623" t="s">
        <v>811</v>
      </c>
      <c r="G26" s="595" t="s">
        <v>825</v>
      </c>
      <c r="H26" s="595" t="s">
        <v>826</v>
      </c>
      <c r="I26" s="609">
        <v>2.2799999713897705</v>
      </c>
      <c r="J26" s="609">
        <v>50</v>
      </c>
      <c r="K26" s="610">
        <v>114</v>
      </c>
    </row>
    <row r="27" spans="1:11" ht="14.45" customHeight="1" x14ac:dyDescent="0.2">
      <c r="A27" s="591" t="s">
        <v>440</v>
      </c>
      <c r="B27" s="592" t="s">
        <v>441</v>
      </c>
      <c r="C27" s="595" t="s">
        <v>447</v>
      </c>
      <c r="D27" s="623" t="s">
        <v>448</v>
      </c>
      <c r="E27" s="595" t="s">
        <v>810</v>
      </c>
      <c r="F27" s="623" t="s">
        <v>811</v>
      </c>
      <c r="G27" s="595" t="s">
        <v>818</v>
      </c>
      <c r="H27" s="595" t="s">
        <v>827</v>
      </c>
      <c r="I27" s="609">
        <v>2.5699999332427979</v>
      </c>
      <c r="J27" s="609">
        <v>300</v>
      </c>
      <c r="K27" s="610">
        <v>769.55996704101563</v>
      </c>
    </row>
    <row r="28" spans="1:11" ht="14.45" customHeight="1" x14ac:dyDescent="0.2">
      <c r="A28" s="591" t="s">
        <v>440</v>
      </c>
      <c r="B28" s="592" t="s">
        <v>441</v>
      </c>
      <c r="C28" s="595" t="s">
        <v>447</v>
      </c>
      <c r="D28" s="623" t="s">
        <v>448</v>
      </c>
      <c r="E28" s="595" t="s">
        <v>810</v>
      </c>
      <c r="F28" s="623" t="s">
        <v>811</v>
      </c>
      <c r="G28" s="595" t="s">
        <v>828</v>
      </c>
      <c r="H28" s="595" t="s">
        <v>829</v>
      </c>
      <c r="I28" s="609">
        <v>1.6799999475479126</v>
      </c>
      <c r="J28" s="609">
        <v>200</v>
      </c>
      <c r="K28" s="610">
        <v>336</v>
      </c>
    </row>
    <row r="29" spans="1:11" ht="14.45" customHeight="1" x14ac:dyDescent="0.2">
      <c r="A29" s="591" t="s">
        <v>440</v>
      </c>
      <c r="B29" s="592" t="s">
        <v>441</v>
      </c>
      <c r="C29" s="595" t="s">
        <v>447</v>
      </c>
      <c r="D29" s="623" t="s">
        <v>448</v>
      </c>
      <c r="E29" s="595" t="s">
        <v>810</v>
      </c>
      <c r="F29" s="623" t="s">
        <v>811</v>
      </c>
      <c r="G29" s="595" t="s">
        <v>830</v>
      </c>
      <c r="H29" s="595" t="s">
        <v>831</v>
      </c>
      <c r="I29" s="609">
        <v>1.9866666793823242</v>
      </c>
      <c r="J29" s="609">
        <v>300</v>
      </c>
      <c r="K29" s="610">
        <v>596.5</v>
      </c>
    </row>
    <row r="30" spans="1:11" ht="14.45" customHeight="1" x14ac:dyDescent="0.2">
      <c r="A30" s="591" t="s">
        <v>440</v>
      </c>
      <c r="B30" s="592" t="s">
        <v>441</v>
      </c>
      <c r="C30" s="595" t="s">
        <v>447</v>
      </c>
      <c r="D30" s="623" t="s">
        <v>448</v>
      </c>
      <c r="E30" s="595" t="s">
        <v>810</v>
      </c>
      <c r="F30" s="623" t="s">
        <v>811</v>
      </c>
      <c r="G30" s="595" t="s">
        <v>830</v>
      </c>
      <c r="H30" s="595" t="s">
        <v>832</v>
      </c>
      <c r="I30" s="609">
        <v>1.9800000190734863</v>
      </c>
      <c r="J30" s="609">
        <v>150</v>
      </c>
      <c r="K30" s="610">
        <v>297</v>
      </c>
    </row>
    <row r="31" spans="1:11" ht="14.45" customHeight="1" x14ac:dyDescent="0.2">
      <c r="A31" s="591" t="s">
        <v>440</v>
      </c>
      <c r="B31" s="592" t="s">
        <v>441</v>
      </c>
      <c r="C31" s="595" t="s">
        <v>447</v>
      </c>
      <c r="D31" s="623" t="s">
        <v>448</v>
      </c>
      <c r="E31" s="595" t="s">
        <v>810</v>
      </c>
      <c r="F31" s="623" t="s">
        <v>811</v>
      </c>
      <c r="G31" s="595" t="s">
        <v>833</v>
      </c>
      <c r="H31" s="595" t="s">
        <v>834</v>
      </c>
      <c r="I31" s="609">
        <v>1.8999999761581421</v>
      </c>
      <c r="J31" s="609">
        <v>100</v>
      </c>
      <c r="K31" s="610">
        <v>190</v>
      </c>
    </row>
    <row r="32" spans="1:11" ht="14.45" customHeight="1" x14ac:dyDescent="0.2">
      <c r="A32" s="591" t="s">
        <v>440</v>
      </c>
      <c r="B32" s="592" t="s">
        <v>441</v>
      </c>
      <c r="C32" s="595" t="s">
        <v>447</v>
      </c>
      <c r="D32" s="623" t="s">
        <v>448</v>
      </c>
      <c r="E32" s="595" t="s">
        <v>810</v>
      </c>
      <c r="F32" s="623" t="s">
        <v>811</v>
      </c>
      <c r="G32" s="595" t="s">
        <v>835</v>
      </c>
      <c r="H32" s="595" t="s">
        <v>836</v>
      </c>
      <c r="I32" s="609">
        <v>2.7000000476837158</v>
      </c>
      <c r="J32" s="609">
        <v>100</v>
      </c>
      <c r="K32" s="610">
        <v>270</v>
      </c>
    </row>
    <row r="33" spans="1:11" ht="14.45" customHeight="1" x14ac:dyDescent="0.2">
      <c r="A33" s="591" t="s">
        <v>440</v>
      </c>
      <c r="B33" s="592" t="s">
        <v>441</v>
      </c>
      <c r="C33" s="595" t="s">
        <v>447</v>
      </c>
      <c r="D33" s="623" t="s">
        <v>448</v>
      </c>
      <c r="E33" s="595" t="s">
        <v>810</v>
      </c>
      <c r="F33" s="623" t="s">
        <v>811</v>
      </c>
      <c r="G33" s="595" t="s">
        <v>837</v>
      </c>
      <c r="H33" s="595" t="s">
        <v>838</v>
      </c>
      <c r="I33" s="609">
        <v>1.9299999475479126</v>
      </c>
      <c r="J33" s="609">
        <v>100</v>
      </c>
      <c r="K33" s="610">
        <v>193</v>
      </c>
    </row>
    <row r="34" spans="1:11" ht="14.45" customHeight="1" x14ac:dyDescent="0.2">
      <c r="A34" s="591" t="s">
        <v>440</v>
      </c>
      <c r="B34" s="592" t="s">
        <v>441</v>
      </c>
      <c r="C34" s="595" t="s">
        <v>447</v>
      </c>
      <c r="D34" s="623" t="s">
        <v>448</v>
      </c>
      <c r="E34" s="595" t="s">
        <v>810</v>
      </c>
      <c r="F34" s="623" t="s">
        <v>811</v>
      </c>
      <c r="G34" s="595" t="s">
        <v>833</v>
      </c>
      <c r="H34" s="595" t="s">
        <v>839</v>
      </c>
      <c r="I34" s="609">
        <v>1.8999999761581421</v>
      </c>
      <c r="J34" s="609">
        <v>250</v>
      </c>
      <c r="K34" s="610">
        <v>475</v>
      </c>
    </row>
    <row r="35" spans="1:11" ht="14.45" customHeight="1" x14ac:dyDescent="0.2">
      <c r="A35" s="591" t="s">
        <v>440</v>
      </c>
      <c r="B35" s="592" t="s">
        <v>441</v>
      </c>
      <c r="C35" s="595" t="s">
        <v>447</v>
      </c>
      <c r="D35" s="623" t="s">
        <v>448</v>
      </c>
      <c r="E35" s="595" t="s">
        <v>810</v>
      </c>
      <c r="F35" s="623" t="s">
        <v>811</v>
      </c>
      <c r="G35" s="595" t="s">
        <v>835</v>
      </c>
      <c r="H35" s="595" t="s">
        <v>840</v>
      </c>
      <c r="I35" s="609">
        <v>2.6966667175292969</v>
      </c>
      <c r="J35" s="609">
        <v>350</v>
      </c>
      <c r="K35" s="610">
        <v>944</v>
      </c>
    </row>
    <row r="36" spans="1:11" ht="14.45" customHeight="1" x14ac:dyDescent="0.2">
      <c r="A36" s="591" t="s">
        <v>440</v>
      </c>
      <c r="B36" s="592" t="s">
        <v>441</v>
      </c>
      <c r="C36" s="595" t="s">
        <v>447</v>
      </c>
      <c r="D36" s="623" t="s">
        <v>448</v>
      </c>
      <c r="E36" s="595" t="s">
        <v>810</v>
      </c>
      <c r="F36" s="623" t="s">
        <v>811</v>
      </c>
      <c r="G36" s="595" t="s">
        <v>837</v>
      </c>
      <c r="H36" s="595" t="s">
        <v>841</v>
      </c>
      <c r="I36" s="609">
        <v>1.9233332872390747</v>
      </c>
      <c r="J36" s="609">
        <v>900</v>
      </c>
      <c r="K36" s="610">
        <v>1732</v>
      </c>
    </row>
    <row r="37" spans="1:11" ht="14.45" customHeight="1" x14ac:dyDescent="0.2">
      <c r="A37" s="591" t="s">
        <v>440</v>
      </c>
      <c r="B37" s="592" t="s">
        <v>441</v>
      </c>
      <c r="C37" s="595" t="s">
        <v>447</v>
      </c>
      <c r="D37" s="623" t="s">
        <v>448</v>
      </c>
      <c r="E37" s="595" t="s">
        <v>810</v>
      </c>
      <c r="F37" s="623" t="s">
        <v>811</v>
      </c>
      <c r="G37" s="595" t="s">
        <v>842</v>
      </c>
      <c r="H37" s="595" t="s">
        <v>843</v>
      </c>
      <c r="I37" s="609">
        <v>3.0799999237060547</v>
      </c>
      <c r="J37" s="609">
        <v>50</v>
      </c>
      <c r="K37" s="610">
        <v>154</v>
      </c>
    </row>
    <row r="38" spans="1:11" ht="14.45" customHeight="1" x14ac:dyDescent="0.2">
      <c r="A38" s="591" t="s">
        <v>440</v>
      </c>
      <c r="B38" s="592" t="s">
        <v>441</v>
      </c>
      <c r="C38" s="595" t="s">
        <v>447</v>
      </c>
      <c r="D38" s="623" t="s">
        <v>448</v>
      </c>
      <c r="E38" s="595" t="s">
        <v>810</v>
      </c>
      <c r="F38" s="623" t="s">
        <v>811</v>
      </c>
      <c r="G38" s="595" t="s">
        <v>844</v>
      </c>
      <c r="H38" s="595" t="s">
        <v>845</v>
      </c>
      <c r="I38" s="609">
        <v>1.9199999570846558</v>
      </c>
      <c r="J38" s="609">
        <v>100</v>
      </c>
      <c r="K38" s="610">
        <v>192</v>
      </c>
    </row>
    <row r="39" spans="1:11" ht="14.45" customHeight="1" x14ac:dyDescent="0.2">
      <c r="A39" s="591" t="s">
        <v>440</v>
      </c>
      <c r="B39" s="592" t="s">
        <v>441</v>
      </c>
      <c r="C39" s="595" t="s">
        <v>447</v>
      </c>
      <c r="D39" s="623" t="s">
        <v>448</v>
      </c>
      <c r="E39" s="595" t="s">
        <v>810</v>
      </c>
      <c r="F39" s="623" t="s">
        <v>811</v>
      </c>
      <c r="G39" s="595" t="s">
        <v>846</v>
      </c>
      <c r="H39" s="595" t="s">
        <v>847</v>
      </c>
      <c r="I39" s="609">
        <v>2.1600000858306885</v>
      </c>
      <c r="J39" s="609">
        <v>10</v>
      </c>
      <c r="K39" s="610">
        <v>21.600000381469727</v>
      </c>
    </row>
    <row r="40" spans="1:11" ht="14.45" customHeight="1" x14ac:dyDescent="0.2">
      <c r="A40" s="591" t="s">
        <v>440</v>
      </c>
      <c r="B40" s="592" t="s">
        <v>441</v>
      </c>
      <c r="C40" s="595" t="s">
        <v>447</v>
      </c>
      <c r="D40" s="623" t="s">
        <v>448</v>
      </c>
      <c r="E40" s="595" t="s">
        <v>810</v>
      </c>
      <c r="F40" s="623" t="s">
        <v>811</v>
      </c>
      <c r="G40" s="595" t="s">
        <v>846</v>
      </c>
      <c r="H40" s="595" t="s">
        <v>848</v>
      </c>
      <c r="I40" s="609">
        <v>2.1700000762939453</v>
      </c>
      <c r="J40" s="609">
        <v>10</v>
      </c>
      <c r="K40" s="610">
        <v>21.700000762939453</v>
      </c>
    </row>
    <row r="41" spans="1:11" ht="14.45" customHeight="1" x14ac:dyDescent="0.2">
      <c r="A41" s="591" t="s">
        <v>440</v>
      </c>
      <c r="B41" s="592" t="s">
        <v>441</v>
      </c>
      <c r="C41" s="595" t="s">
        <v>447</v>
      </c>
      <c r="D41" s="623" t="s">
        <v>448</v>
      </c>
      <c r="E41" s="595" t="s">
        <v>810</v>
      </c>
      <c r="F41" s="623" t="s">
        <v>811</v>
      </c>
      <c r="G41" s="595" t="s">
        <v>849</v>
      </c>
      <c r="H41" s="595" t="s">
        <v>850</v>
      </c>
      <c r="I41" s="609">
        <v>2.5099999904632568</v>
      </c>
      <c r="J41" s="609">
        <v>50</v>
      </c>
      <c r="K41" s="610">
        <v>125.5</v>
      </c>
    </row>
    <row r="42" spans="1:11" ht="14.45" customHeight="1" x14ac:dyDescent="0.2">
      <c r="A42" s="591" t="s">
        <v>440</v>
      </c>
      <c r="B42" s="592" t="s">
        <v>441</v>
      </c>
      <c r="C42" s="595" t="s">
        <v>447</v>
      </c>
      <c r="D42" s="623" t="s">
        <v>448</v>
      </c>
      <c r="E42" s="595" t="s">
        <v>810</v>
      </c>
      <c r="F42" s="623" t="s">
        <v>811</v>
      </c>
      <c r="G42" s="595" t="s">
        <v>851</v>
      </c>
      <c r="H42" s="595" t="s">
        <v>852</v>
      </c>
      <c r="I42" s="609">
        <v>21.239999771118164</v>
      </c>
      <c r="J42" s="609">
        <v>5</v>
      </c>
      <c r="K42" s="610">
        <v>106.19999694824219</v>
      </c>
    </row>
    <row r="43" spans="1:11" ht="14.45" customHeight="1" x14ac:dyDescent="0.2">
      <c r="A43" s="591" t="s">
        <v>440</v>
      </c>
      <c r="B43" s="592" t="s">
        <v>441</v>
      </c>
      <c r="C43" s="595" t="s">
        <v>447</v>
      </c>
      <c r="D43" s="623" t="s">
        <v>448</v>
      </c>
      <c r="E43" s="595" t="s">
        <v>810</v>
      </c>
      <c r="F43" s="623" t="s">
        <v>811</v>
      </c>
      <c r="G43" s="595" t="s">
        <v>849</v>
      </c>
      <c r="H43" s="595" t="s">
        <v>853</v>
      </c>
      <c r="I43" s="609">
        <v>2.5099999904632568</v>
      </c>
      <c r="J43" s="609">
        <v>250</v>
      </c>
      <c r="K43" s="610">
        <v>627.5</v>
      </c>
    </row>
    <row r="44" spans="1:11" ht="14.45" customHeight="1" x14ac:dyDescent="0.2">
      <c r="A44" s="591" t="s">
        <v>440</v>
      </c>
      <c r="B44" s="592" t="s">
        <v>441</v>
      </c>
      <c r="C44" s="595" t="s">
        <v>447</v>
      </c>
      <c r="D44" s="623" t="s">
        <v>448</v>
      </c>
      <c r="E44" s="595" t="s">
        <v>810</v>
      </c>
      <c r="F44" s="623" t="s">
        <v>811</v>
      </c>
      <c r="G44" s="595" t="s">
        <v>854</v>
      </c>
      <c r="H44" s="595" t="s">
        <v>855</v>
      </c>
      <c r="I44" s="609">
        <v>4.619999885559082</v>
      </c>
      <c r="J44" s="609">
        <v>5</v>
      </c>
      <c r="K44" s="610">
        <v>23.100000381469727</v>
      </c>
    </row>
    <row r="45" spans="1:11" ht="14.45" customHeight="1" x14ac:dyDescent="0.2">
      <c r="A45" s="591" t="s">
        <v>440</v>
      </c>
      <c r="B45" s="592" t="s">
        <v>441</v>
      </c>
      <c r="C45" s="595" t="s">
        <v>447</v>
      </c>
      <c r="D45" s="623" t="s">
        <v>448</v>
      </c>
      <c r="E45" s="595" t="s">
        <v>810</v>
      </c>
      <c r="F45" s="623" t="s">
        <v>811</v>
      </c>
      <c r="G45" s="595" t="s">
        <v>856</v>
      </c>
      <c r="H45" s="595" t="s">
        <v>857</v>
      </c>
      <c r="I45" s="609">
        <v>21.239999771118164</v>
      </c>
      <c r="J45" s="609">
        <v>104</v>
      </c>
      <c r="K45" s="610">
        <v>2208.9599609375</v>
      </c>
    </row>
    <row r="46" spans="1:11" ht="14.45" customHeight="1" x14ac:dyDescent="0.2">
      <c r="A46" s="591" t="s">
        <v>440</v>
      </c>
      <c r="B46" s="592" t="s">
        <v>441</v>
      </c>
      <c r="C46" s="595" t="s">
        <v>447</v>
      </c>
      <c r="D46" s="623" t="s">
        <v>448</v>
      </c>
      <c r="E46" s="595" t="s">
        <v>810</v>
      </c>
      <c r="F46" s="623" t="s">
        <v>811</v>
      </c>
      <c r="G46" s="595" t="s">
        <v>858</v>
      </c>
      <c r="H46" s="595" t="s">
        <v>859</v>
      </c>
      <c r="I46" s="609">
        <v>2</v>
      </c>
      <c r="J46" s="609">
        <v>5</v>
      </c>
      <c r="K46" s="610">
        <v>10</v>
      </c>
    </row>
    <row r="47" spans="1:11" ht="14.45" customHeight="1" x14ac:dyDescent="0.2">
      <c r="A47" s="591" t="s">
        <v>440</v>
      </c>
      <c r="B47" s="592" t="s">
        <v>441</v>
      </c>
      <c r="C47" s="595" t="s">
        <v>447</v>
      </c>
      <c r="D47" s="623" t="s">
        <v>448</v>
      </c>
      <c r="E47" s="595" t="s">
        <v>810</v>
      </c>
      <c r="F47" s="623" t="s">
        <v>811</v>
      </c>
      <c r="G47" s="595" t="s">
        <v>860</v>
      </c>
      <c r="H47" s="595" t="s">
        <v>861</v>
      </c>
      <c r="I47" s="609">
        <v>3.1500000953674316</v>
      </c>
      <c r="J47" s="609">
        <v>5</v>
      </c>
      <c r="K47" s="610">
        <v>15.75</v>
      </c>
    </row>
    <row r="48" spans="1:11" ht="14.45" customHeight="1" x14ac:dyDescent="0.2">
      <c r="A48" s="591" t="s">
        <v>440</v>
      </c>
      <c r="B48" s="592" t="s">
        <v>441</v>
      </c>
      <c r="C48" s="595" t="s">
        <v>447</v>
      </c>
      <c r="D48" s="623" t="s">
        <v>448</v>
      </c>
      <c r="E48" s="595" t="s">
        <v>810</v>
      </c>
      <c r="F48" s="623" t="s">
        <v>811</v>
      </c>
      <c r="G48" s="595" t="s">
        <v>862</v>
      </c>
      <c r="H48" s="595" t="s">
        <v>863</v>
      </c>
      <c r="I48" s="609">
        <v>2.5299999713897705</v>
      </c>
      <c r="J48" s="609">
        <v>5</v>
      </c>
      <c r="K48" s="610">
        <v>12.649999618530273</v>
      </c>
    </row>
    <row r="49" spans="1:11" ht="14.45" customHeight="1" x14ac:dyDescent="0.2">
      <c r="A49" s="591" t="s">
        <v>440</v>
      </c>
      <c r="B49" s="592" t="s">
        <v>441</v>
      </c>
      <c r="C49" s="595" t="s">
        <v>447</v>
      </c>
      <c r="D49" s="623" t="s">
        <v>448</v>
      </c>
      <c r="E49" s="595" t="s">
        <v>864</v>
      </c>
      <c r="F49" s="623" t="s">
        <v>865</v>
      </c>
      <c r="G49" s="595" t="s">
        <v>866</v>
      </c>
      <c r="H49" s="595" t="s">
        <v>867</v>
      </c>
      <c r="I49" s="609">
        <v>10.170000076293945</v>
      </c>
      <c r="J49" s="609">
        <v>630</v>
      </c>
      <c r="K49" s="610">
        <v>6407.0999755859375</v>
      </c>
    </row>
    <row r="50" spans="1:11" ht="14.45" customHeight="1" x14ac:dyDescent="0.2">
      <c r="A50" s="591" t="s">
        <v>440</v>
      </c>
      <c r="B50" s="592" t="s">
        <v>441</v>
      </c>
      <c r="C50" s="595" t="s">
        <v>447</v>
      </c>
      <c r="D50" s="623" t="s">
        <v>448</v>
      </c>
      <c r="E50" s="595" t="s">
        <v>864</v>
      </c>
      <c r="F50" s="623" t="s">
        <v>865</v>
      </c>
      <c r="G50" s="595" t="s">
        <v>866</v>
      </c>
      <c r="H50" s="595" t="s">
        <v>868</v>
      </c>
      <c r="I50" s="609">
        <v>10.163333257039389</v>
      </c>
      <c r="J50" s="609">
        <v>1300</v>
      </c>
      <c r="K50" s="610">
        <v>13211.5</v>
      </c>
    </row>
    <row r="51" spans="1:11" ht="14.45" customHeight="1" x14ac:dyDescent="0.2">
      <c r="A51" s="591" t="s">
        <v>440</v>
      </c>
      <c r="B51" s="592" t="s">
        <v>441</v>
      </c>
      <c r="C51" s="595" t="s">
        <v>447</v>
      </c>
      <c r="D51" s="623" t="s">
        <v>448</v>
      </c>
      <c r="E51" s="595" t="s">
        <v>869</v>
      </c>
      <c r="F51" s="623" t="s">
        <v>870</v>
      </c>
      <c r="G51" s="595" t="s">
        <v>871</v>
      </c>
      <c r="H51" s="595" t="s">
        <v>872</v>
      </c>
      <c r="I51" s="609">
        <v>0.55000001192092896</v>
      </c>
      <c r="J51" s="609">
        <v>200</v>
      </c>
      <c r="K51" s="610">
        <v>110</v>
      </c>
    </row>
    <row r="52" spans="1:11" ht="14.45" customHeight="1" x14ac:dyDescent="0.2">
      <c r="A52" s="591" t="s">
        <v>440</v>
      </c>
      <c r="B52" s="592" t="s">
        <v>441</v>
      </c>
      <c r="C52" s="595" t="s">
        <v>447</v>
      </c>
      <c r="D52" s="623" t="s">
        <v>448</v>
      </c>
      <c r="E52" s="595" t="s">
        <v>869</v>
      </c>
      <c r="F52" s="623" t="s">
        <v>870</v>
      </c>
      <c r="G52" s="595" t="s">
        <v>871</v>
      </c>
      <c r="H52" s="595" t="s">
        <v>873</v>
      </c>
      <c r="I52" s="609">
        <v>0.54000002145767212</v>
      </c>
      <c r="J52" s="609">
        <v>200</v>
      </c>
      <c r="K52" s="610">
        <v>108</v>
      </c>
    </row>
    <row r="53" spans="1:11" ht="14.45" customHeight="1" x14ac:dyDescent="0.2">
      <c r="A53" s="591" t="s">
        <v>440</v>
      </c>
      <c r="B53" s="592" t="s">
        <v>441</v>
      </c>
      <c r="C53" s="595" t="s">
        <v>447</v>
      </c>
      <c r="D53" s="623" t="s">
        <v>448</v>
      </c>
      <c r="E53" s="595" t="s">
        <v>869</v>
      </c>
      <c r="F53" s="623" t="s">
        <v>870</v>
      </c>
      <c r="G53" s="595" t="s">
        <v>874</v>
      </c>
      <c r="H53" s="595" t="s">
        <v>875</v>
      </c>
      <c r="I53" s="609">
        <v>0.97000002861022949</v>
      </c>
      <c r="J53" s="609">
        <v>300</v>
      </c>
      <c r="K53" s="610">
        <v>291</v>
      </c>
    </row>
    <row r="54" spans="1:11" ht="14.45" customHeight="1" x14ac:dyDescent="0.2">
      <c r="A54" s="591" t="s">
        <v>440</v>
      </c>
      <c r="B54" s="592" t="s">
        <v>441</v>
      </c>
      <c r="C54" s="595" t="s">
        <v>447</v>
      </c>
      <c r="D54" s="623" t="s">
        <v>448</v>
      </c>
      <c r="E54" s="595" t="s">
        <v>869</v>
      </c>
      <c r="F54" s="623" t="s">
        <v>870</v>
      </c>
      <c r="G54" s="595" t="s">
        <v>874</v>
      </c>
      <c r="H54" s="595" t="s">
        <v>876</v>
      </c>
      <c r="I54" s="609">
        <v>0.97000002861022949</v>
      </c>
      <c r="J54" s="609">
        <v>600</v>
      </c>
      <c r="K54" s="610">
        <v>582</v>
      </c>
    </row>
    <row r="55" spans="1:11" ht="14.45" customHeight="1" x14ac:dyDescent="0.2">
      <c r="A55" s="591" t="s">
        <v>440</v>
      </c>
      <c r="B55" s="592" t="s">
        <v>441</v>
      </c>
      <c r="C55" s="595" t="s">
        <v>447</v>
      </c>
      <c r="D55" s="623" t="s">
        <v>448</v>
      </c>
      <c r="E55" s="595" t="s">
        <v>869</v>
      </c>
      <c r="F55" s="623" t="s">
        <v>870</v>
      </c>
      <c r="G55" s="595" t="s">
        <v>877</v>
      </c>
      <c r="H55" s="595" t="s">
        <v>878</v>
      </c>
      <c r="I55" s="609">
        <v>1.8079999446868897</v>
      </c>
      <c r="J55" s="609">
        <v>1000</v>
      </c>
      <c r="K55" s="610">
        <v>1808</v>
      </c>
    </row>
    <row r="56" spans="1:11" ht="14.45" customHeight="1" x14ac:dyDescent="0.2">
      <c r="A56" s="591" t="s">
        <v>440</v>
      </c>
      <c r="B56" s="592" t="s">
        <v>441</v>
      </c>
      <c r="C56" s="595" t="s">
        <v>447</v>
      </c>
      <c r="D56" s="623" t="s">
        <v>448</v>
      </c>
      <c r="E56" s="595" t="s">
        <v>869</v>
      </c>
      <c r="F56" s="623" t="s">
        <v>870</v>
      </c>
      <c r="G56" s="595" t="s">
        <v>877</v>
      </c>
      <c r="H56" s="595" t="s">
        <v>879</v>
      </c>
      <c r="I56" s="609">
        <v>1.7999999523162842</v>
      </c>
      <c r="J56" s="609">
        <v>300</v>
      </c>
      <c r="K56" s="610">
        <v>540</v>
      </c>
    </row>
    <row r="57" spans="1:11" ht="14.45" customHeight="1" x14ac:dyDescent="0.2">
      <c r="A57" s="591" t="s">
        <v>440</v>
      </c>
      <c r="B57" s="592" t="s">
        <v>441</v>
      </c>
      <c r="C57" s="595" t="s">
        <v>447</v>
      </c>
      <c r="D57" s="623" t="s">
        <v>448</v>
      </c>
      <c r="E57" s="595" t="s">
        <v>880</v>
      </c>
      <c r="F57" s="623" t="s">
        <v>881</v>
      </c>
      <c r="G57" s="595" t="s">
        <v>882</v>
      </c>
      <c r="H57" s="595" t="s">
        <v>883</v>
      </c>
      <c r="I57" s="609">
        <v>0.62999999523162842</v>
      </c>
      <c r="J57" s="609">
        <v>600</v>
      </c>
      <c r="K57" s="610">
        <v>378</v>
      </c>
    </row>
    <row r="58" spans="1:11" ht="14.45" customHeight="1" x14ac:dyDescent="0.2">
      <c r="A58" s="591" t="s">
        <v>440</v>
      </c>
      <c r="B58" s="592" t="s">
        <v>441</v>
      </c>
      <c r="C58" s="595" t="s">
        <v>447</v>
      </c>
      <c r="D58" s="623" t="s">
        <v>448</v>
      </c>
      <c r="E58" s="595" t="s">
        <v>880</v>
      </c>
      <c r="F58" s="623" t="s">
        <v>881</v>
      </c>
      <c r="G58" s="595" t="s">
        <v>884</v>
      </c>
      <c r="H58" s="595" t="s">
        <v>885</v>
      </c>
      <c r="I58" s="609">
        <v>0.62999999523162842</v>
      </c>
      <c r="J58" s="609">
        <v>200</v>
      </c>
      <c r="K58" s="610">
        <v>126</v>
      </c>
    </row>
    <row r="59" spans="1:11" ht="14.45" customHeight="1" x14ac:dyDescent="0.2">
      <c r="A59" s="591" t="s">
        <v>440</v>
      </c>
      <c r="B59" s="592" t="s">
        <v>441</v>
      </c>
      <c r="C59" s="595" t="s">
        <v>455</v>
      </c>
      <c r="D59" s="623" t="s">
        <v>456</v>
      </c>
      <c r="E59" s="595" t="s">
        <v>789</v>
      </c>
      <c r="F59" s="623" t="s">
        <v>790</v>
      </c>
      <c r="G59" s="595" t="s">
        <v>886</v>
      </c>
      <c r="H59" s="595" t="s">
        <v>887</v>
      </c>
      <c r="I59" s="609">
        <v>30.180000305175781</v>
      </c>
      <c r="J59" s="609">
        <v>4</v>
      </c>
      <c r="K59" s="610">
        <v>120.72000122070313</v>
      </c>
    </row>
    <row r="60" spans="1:11" ht="14.45" customHeight="1" x14ac:dyDescent="0.2">
      <c r="A60" s="591" t="s">
        <v>440</v>
      </c>
      <c r="B60" s="592" t="s">
        <v>441</v>
      </c>
      <c r="C60" s="595" t="s">
        <v>455</v>
      </c>
      <c r="D60" s="623" t="s">
        <v>456</v>
      </c>
      <c r="E60" s="595" t="s">
        <v>789</v>
      </c>
      <c r="F60" s="623" t="s">
        <v>790</v>
      </c>
      <c r="G60" s="595" t="s">
        <v>791</v>
      </c>
      <c r="H60" s="595" t="s">
        <v>792</v>
      </c>
      <c r="I60" s="609">
        <v>13.020000457763672</v>
      </c>
      <c r="J60" s="609">
        <v>11</v>
      </c>
      <c r="K60" s="610">
        <v>143.22000122070313</v>
      </c>
    </row>
    <row r="61" spans="1:11" ht="14.45" customHeight="1" x14ac:dyDescent="0.2">
      <c r="A61" s="591" t="s">
        <v>440</v>
      </c>
      <c r="B61" s="592" t="s">
        <v>441</v>
      </c>
      <c r="C61" s="595" t="s">
        <v>455</v>
      </c>
      <c r="D61" s="623" t="s">
        <v>456</v>
      </c>
      <c r="E61" s="595" t="s">
        <v>789</v>
      </c>
      <c r="F61" s="623" t="s">
        <v>790</v>
      </c>
      <c r="G61" s="595" t="s">
        <v>888</v>
      </c>
      <c r="H61" s="595" t="s">
        <v>889</v>
      </c>
      <c r="I61" s="609">
        <v>7.1100001335144043</v>
      </c>
      <c r="J61" s="609">
        <v>3</v>
      </c>
      <c r="K61" s="610">
        <v>21.329999923706055</v>
      </c>
    </row>
    <row r="62" spans="1:11" ht="14.45" customHeight="1" x14ac:dyDescent="0.2">
      <c r="A62" s="591" t="s">
        <v>440</v>
      </c>
      <c r="B62" s="592" t="s">
        <v>441</v>
      </c>
      <c r="C62" s="595" t="s">
        <v>455</v>
      </c>
      <c r="D62" s="623" t="s">
        <v>456</v>
      </c>
      <c r="E62" s="595" t="s">
        <v>789</v>
      </c>
      <c r="F62" s="623" t="s">
        <v>790</v>
      </c>
      <c r="G62" s="595" t="s">
        <v>799</v>
      </c>
      <c r="H62" s="595" t="s">
        <v>800</v>
      </c>
      <c r="I62" s="609">
        <v>7.6349999904632568</v>
      </c>
      <c r="J62" s="609">
        <v>12</v>
      </c>
      <c r="K62" s="610">
        <v>91.619998931884766</v>
      </c>
    </row>
    <row r="63" spans="1:11" ht="14.45" customHeight="1" x14ac:dyDescent="0.2">
      <c r="A63" s="591" t="s">
        <v>440</v>
      </c>
      <c r="B63" s="592" t="s">
        <v>441</v>
      </c>
      <c r="C63" s="595" t="s">
        <v>455</v>
      </c>
      <c r="D63" s="623" t="s">
        <v>456</v>
      </c>
      <c r="E63" s="595" t="s">
        <v>789</v>
      </c>
      <c r="F63" s="623" t="s">
        <v>790</v>
      </c>
      <c r="G63" s="595" t="s">
        <v>791</v>
      </c>
      <c r="H63" s="595" t="s">
        <v>801</v>
      </c>
      <c r="I63" s="609">
        <v>13.020000457763672</v>
      </c>
      <c r="J63" s="609">
        <v>30</v>
      </c>
      <c r="K63" s="610">
        <v>390.59999084472656</v>
      </c>
    </row>
    <row r="64" spans="1:11" ht="14.45" customHeight="1" x14ac:dyDescent="0.2">
      <c r="A64" s="591" t="s">
        <v>440</v>
      </c>
      <c r="B64" s="592" t="s">
        <v>441</v>
      </c>
      <c r="C64" s="595" t="s">
        <v>455</v>
      </c>
      <c r="D64" s="623" t="s">
        <v>456</v>
      </c>
      <c r="E64" s="595" t="s">
        <v>789</v>
      </c>
      <c r="F64" s="623" t="s">
        <v>790</v>
      </c>
      <c r="G64" s="595" t="s">
        <v>799</v>
      </c>
      <c r="H64" s="595" t="s">
        <v>804</v>
      </c>
      <c r="I64" s="609">
        <v>7.630000114440918</v>
      </c>
      <c r="J64" s="609">
        <v>15</v>
      </c>
      <c r="K64" s="610">
        <v>114.45000076293945</v>
      </c>
    </row>
    <row r="65" spans="1:11" ht="14.45" customHeight="1" x14ac:dyDescent="0.2">
      <c r="A65" s="591" t="s">
        <v>440</v>
      </c>
      <c r="B65" s="592" t="s">
        <v>441</v>
      </c>
      <c r="C65" s="595" t="s">
        <v>455</v>
      </c>
      <c r="D65" s="623" t="s">
        <v>456</v>
      </c>
      <c r="E65" s="595" t="s">
        <v>789</v>
      </c>
      <c r="F65" s="623" t="s">
        <v>790</v>
      </c>
      <c r="G65" s="595" t="s">
        <v>807</v>
      </c>
      <c r="H65" s="595" t="s">
        <v>890</v>
      </c>
      <c r="I65" s="609">
        <v>30.5</v>
      </c>
      <c r="J65" s="609">
        <v>4</v>
      </c>
      <c r="K65" s="610">
        <v>122</v>
      </c>
    </row>
    <row r="66" spans="1:11" ht="14.45" customHeight="1" x14ac:dyDescent="0.2">
      <c r="A66" s="591" t="s">
        <v>440</v>
      </c>
      <c r="B66" s="592" t="s">
        <v>441</v>
      </c>
      <c r="C66" s="595" t="s">
        <v>455</v>
      </c>
      <c r="D66" s="623" t="s">
        <v>456</v>
      </c>
      <c r="E66" s="595" t="s">
        <v>789</v>
      </c>
      <c r="F66" s="623" t="s">
        <v>790</v>
      </c>
      <c r="G66" s="595" t="s">
        <v>805</v>
      </c>
      <c r="H66" s="595" t="s">
        <v>806</v>
      </c>
      <c r="I66" s="609">
        <v>29.88499927520752</v>
      </c>
      <c r="J66" s="609">
        <v>6</v>
      </c>
      <c r="K66" s="610">
        <v>179.31999588012695</v>
      </c>
    </row>
    <row r="67" spans="1:11" ht="14.45" customHeight="1" x14ac:dyDescent="0.2">
      <c r="A67" s="591" t="s">
        <v>440</v>
      </c>
      <c r="B67" s="592" t="s">
        <v>441</v>
      </c>
      <c r="C67" s="595" t="s">
        <v>455</v>
      </c>
      <c r="D67" s="623" t="s">
        <v>456</v>
      </c>
      <c r="E67" s="595" t="s">
        <v>789</v>
      </c>
      <c r="F67" s="623" t="s">
        <v>790</v>
      </c>
      <c r="G67" s="595" t="s">
        <v>807</v>
      </c>
      <c r="H67" s="595" t="s">
        <v>808</v>
      </c>
      <c r="I67" s="609">
        <v>29.723333358764648</v>
      </c>
      <c r="J67" s="609">
        <v>4</v>
      </c>
      <c r="K67" s="610">
        <v>118.5</v>
      </c>
    </row>
    <row r="68" spans="1:11" ht="14.45" customHeight="1" x14ac:dyDescent="0.2">
      <c r="A68" s="591" t="s">
        <v>440</v>
      </c>
      <c r="B68" s="592" t="s">
        <v>441</v>
      </c>
      <c r="C68" s="595" t="s">
        <v>455</v>
      </c>
      <c r="D68" s="623" t="s">
        <v>456</v>
      </c>
      <c r="E68" s="595" t="s">
        <v>789</v>
      </c>
      <c r="F68" s="623" t="s">
        <v>790</v>
      </c>
      <c r="G68" s="595" t="s">
        <v>805</v>
      </c>
      <c r="H68" s="595" t="s">
        <v>809</v>
      </c>
      <c r="I68" s="609">
        <v>28.729999542236328</v>
      </c>
      <c r="J68" s="609">
        <v>7</v>
      </c>
      <c r="K68" s="610">
        <v>201.11000061035156</v>
      </c>
    </row>
    <row r="69" spans="1:11" ht="14.45" customHeight="1" x14ac:dyDescent="0.2">
      <c r="A69" s="591" t="s">
        <v>440</v>
      </c>
      <c r="B69" s="592" t="s">
        <v>441</v>
      </c>
      <c r="C69" s="595" t="s">
        <v>455</v>
      </c>
      <c r="D69" s="623" t="s">
        <v>456</v>
      </c>
      <c r="E69" s="595" t="s">
        <v>810</v>
      </c>
      <c r="F69" s="623" t="s">
        <v>811</v>
      </c>
      <c r="G69" s="595" t="s">
        <v>812</v>
      </c>
      <c r="H69" s="595" t="s">
        <v>813</v>
      </c>
      <c r="I69" s="609">
        <v>1.4999999664723873E-2</v>
      </c>
      <c r="J69" s="609">
        <v>400</v>
      </c>
      <c r="K69" s="610">
        <v>6</v>
      </c>
    </row>
    <row r="70" spans="1:11" ht="14.45" customHeight="1" x14ac:dyDescent="0.2">
      <c r="A70" s="591" t="s">
        <v>440</v>
      </c>
      <c r="B70" s="592" t="s">
        <v>441</v>
      </c>
      <c r="C70" s="595" t="s">
        <v>455</v>
      </c>
      <c r="D70" s="623" t="s">
        <v>456</v>
      </c>
      <c r="E70" s="595" t="s">
        <v>810</v>
      </c>
      <c r="F70" s="623" t="s">
        <v>811</v>
      </c>
      <c r="G70" s="595" t="s">
        <v>812</v>
      </c>
      <c r="H70" s="595" t="s">
        <v>814</v>
      </c>
      <c r="I70" s="609">
        <v>1.7499999608844519E-2</v>
      </c>
      <c r="J70" s="609">
        <v>900</v>
      </c>
      <c r="K70" s="610">
        <v>13</v>
      </c>
    </row>
    <row r="71" spans="1:11" ht="14.45" customHeight="1" x14ac:dyDescent="0.2">
      <c r="A71" s="591" t="s">
        <v>440</v>
      </c>
      <c r="B71" s="592" t="s">
        <v>441</v>
      </c>
      <c r="C71" s="595" t="s">
        <v>455</v>
      </c>
      <c r="D71" s="623" t="s">
        <v>456</v>
      </c>
      <c r="E71" s="595" t="s">
        <v>810</v>
      </c>
      <c r="F71" s="623" t="s">
        <v>811</v>
      </c>
      <c r="G71" s="595" t="s">
        <v>815</v>
      </c>
      <c r="H71" s="595" t="s">
        <v>816</v>
      </c>
      <c r="I71" s="609">
        <v>1.7999999523162842</v>
      </c>
      <c r="J71" s="609">
        <v>250</v>
      </c>
      <c r="K71" s="610">
        <v>450</v>
      </c>
    </row>
    <row r="72" spans="1:11" ht="14.45" customHeight="1" x14ac:dyDescent="0.2">
      <c r="A72" s="591" t="s">
        <v>440</v>
      </c>
      <c r="B72" s="592" t="s">
        <v>441</v>
      </c>
      <c r="C72" s="595" t="s">
        <v>455</v>
      </c>
      <c r="D72" s="623" t="s">
        <v>456</v>
      </c>
      <c r="E72" s="595" t="s">
        <v>810</v>
      </c>
      <c r="F72" s="623" t="s">
        <v>811</v>
      </c>
      <c r="G72" s="595" t="s">
        <v>815</v>
      </c>
      <c r="H72" s="595" t="s">
        <v>817</v>
      </c>
      <c r="I72" s="609">
        <v>1.8049999475479126</v>
      </c>
      <c r="J72" s="609">
        <v>200</v>
      </c>
      <c r="K72" s="610">
        <v>361</v>
      </c>
    </row>
    <row r="73" spans="1:11" ht="14.45" customHeight="1" x14ac:dyDescent="0.2">
      <c r="A73" s="591" t="s">
        <v>440</v>
      </c>
      <c r="B73" s="592" t="s">
        <v>441</v>
      </c>
      <c r="C73" s="595" t="s">
        <v>455</v>
      </c>
      <c r="D73" s="623" t="s">
        <v>456</v>
      </c>
      <c r="E73" s="595" t="s">
        <v>810</v>
      </c>
      <c r="F73" s="623" t="s">
        <v>811</v>
      </c>
      <c r="G73" s="595" t="s">
        <v>891</v>
      </c>
      <c r="H73" s="595" t="s">
        <v>892</v>
      </c>
      <c r="I73" s="609">
        <v>2.0499999523162842</v>
      </c>
      <c r="J73" s="609">
        <v>10</v>
      </c>
      <c r="K73" s="610">
        <v>20.5</v>
      </c>
    </row>
    <row r="74" spans="1:11" ht="14.45" customHeight="1" x14ac:dyDescent="0.2">
      <c r="A74" s="591" t="s">
        <v>440</v>
      </c>
      <c r="B74" s="592" t="s">
        <v>441</v>
      </c>
      <c r="C74" s="595" t="s">
        <v>455</v>
      </c>
      <c r="D74" s="623" t="s">
        <v>456</v>
      </c>
      <c r="E74" s="595" t="s">
        <v>810</v>
      </c>
      <c r="F74" s="623" t="s">
        <v>811</v>
      </c>
      <c r="G74" s="595" t="s">
        <v>893</v>
      </c>
      <c r="H74" s="595" t="s">
        <v>894</v>
      </c>
      <c r="I74" s="609">
        <v>0.25</v>
      </c>
      <c r="J74" s="609">
        <v>200</v>
      </c>
      <c r="K74" s="610">
        <v>50</v>
      </c>
    </row>
    <row r="75" spans="1:11" ht="14.45" customHeight="1" x14ac:dyDescent="0.2">
      <c r="A75" s="591" t="s">
        <v>440</v>
      </c>
      <c r="B75" s="592" t="s">
        <v>441</v>
      </c>
      <c r="C75" s="595" t="s">
        <v>455</v>
      </c>
      <c r="D75" s="623" t="s">
        <v>456</v>
      </c>
      <c r="E75" s="595" t="s">
        <v>810</v>
      </c>
      <c r="F75" s="623" t="s">
        <v>811</v>
      </c>
      <c r="G75" s="595" t="s">
        <v>818</v>
      </c>
      <c r="H75" s="595" t="s">
        <v>819</v>
      </c>
      <c r="I75" s="609">
        <v>3.1700000762939453</v>
      </c>
      <c r="J75" s="609">
        <v>200</v>
      </c>
      <c r="K75" s="610">
        <v>634.04998779296875</v>
      </c>
    </row>
    <row r="76" spans="1:11" ht="14.45" customHeight="1" x14ac:dyDescent="0.2">
      <c r="A76" s="591" t="s">
        <v>440</v>
      </c>
      <c r="B76" s="592" t="s">
        <v>441</v>
      </c>
      <c r="C76" s="595" t="s">
        <v>455</v>
      </c>
      <c r="D76" s="623" t="s">
        <v>456</v>
      </c>
      <c r="E76" s="595" t="s">
        <v>810</v>
      </c>
      <c r="F76" s="623" t="s">
        <v>811</v>
      </c>
      <c r="G76" s="595" t="s">
        <v>822</v>
      </c>
      <c r="H76" s="595" t="s">
        <v>895</v>
      </c>
      <c r="I76" s="609">
        <v>11.739999771118164</v>
      </c>
      <c r="J76" s="609">
        <v>6</v>
      </c>
      <c r="K76" s="610">
        <v>70.44000244140625</v>
      </c>
    </row>
    <row r="77" spans="1:11" ht="14.45" customHeight="1" x14ac:dyDescent="0.2">
      <c r="A77" s="591" t="s">
        <v>440</v>
      </c>
      <c r="B77" s="592" t="s">
        <v>441</v>
      </c>
      <c r="C77" s="595" t="s">
        <v>455</v>
      </c>
      <c r="D77" s="623" t="s">
        <v>456</v>
      </c>
      <c r="E77" s="595" t="s">
        <v>810</v>
      </c>
      <c r="F77" s="623" t="s">
        <v>811</v>
      </c>
      <c r="G77" s="595" t="s">
        <v>820</v>
      </c>
      <c r="H77" s="595" t="s">
        <v>821</v>
      </c>
      <c r="I77" s="609">
        <v>13.310000419616699</v>
      </c>
      <c r="J77" s="609">
        <v>6</v>
      </c>
      <c r="K77" s="610">
        <v>79.860000610351563</v>
      </c>
    </row>
    <row r="78" spans="1:11" ht="14.45" customHeight="1" x14ac:dyDescent="0.2">
      <c r="A78" s="591" t="s">
        <v>440</v>
      </c>
      <c r="B78" s="592" t="s">
        <v>441</v>
      </c>
      <c r="C78" s="595" t="s">
        <v>455</v>
      </c>
      <c r="D78" s="623" t="s">
        <v>456</v>
      </c>
      <c r="E78" s="595" t="s">
        <v>810</v>
      </c>
      <c r="F78" s="623" t="s">
        <v>811</v>
      </c>
      <c r="G78" s="595" t="s">
        <v>825</v>
      </c>
      <c r="H78" s="595" t="s">
        <v>896</v>
      </c>
      <c r="I78" s="609">
        <v>2.2799999713897705</v>
      </c>
      <c r="J78" s="609">
        <v>50</v>
      </c>
      <c r="K78" s="610">
        <v>114</v>
      </c>
    </row>
    <row r="79" spans="1:11" ht="14.45" customHeight="1" x14ac:dyDescent="0.2">
      <c r="A79" s="591" t="s">
        <v>440</v>
      </c>
      <c r="B79" s="592" t="s">
        <v>441</v>
      </c>
      <c r="C79" s="595" t="s">
        <v>455</v>
      </c>
      <c r="D79" s="623" t="s">
        <v>456</v>
      </c>
      <c r="E79" s="595" t="s">
        <v>810</v>
      </c>
      <c r="F79" s="623" t="s">
        <v>811</v>
      </c>
      <c r="G79" s="595" t="s">
        <v>822</v>
      </c>
      <c r="H79" s="595" t="s">
        <v>823</v>
      </c>
      <c r="I79" s="609">
        <v>11.729999542236328</v>
      </c>
      <c r="J79" s="609">
        <v>30</v>
      </c>
      <c r="K79" s="610">
        <v>351.89999389648438</v>
      </c>
    </row>
    <row r="80" spans="1:11" ht="14.45" customHeight="1" x14ac:dyDescent="0.2">
      <c r="A80" s="591" t="s">
        <v>440</v>
      </c>
      <c r="B80" s="592" t="s">
        <v>441</v>
      </c>
      <c r="C80" s="595" t="s">
        <v>455</v>
      </c>
      <c r="D80" s="623" t="s">
        <v>456</v>
      </c>
      <c r="E80" s="595" t="s">
        <v>810</v>
      </c>
      <c r="F80" s="623" t="s">
        <v>811</v>
      </c>
      <c r="G80" s="595" t="s">
        <v>820</v>
      </c>
      <c r="H80" s="595" t="s">
        <v>824</v>
      </c>
      <c r="I80" s="609">
        <v>13.310000419616699</v>
      </c>
      <c r="J80" s="609">
        <v>5</v>
      </c>
      <c r="K80" s="610">
        <v>66.550003051757813</v>
      </c>
    </row>
    <row r="81" spans="1:11" ht="14.45" customHeight="1" x14ac:dyDescent="0.2">
      <c r="A81" s="591" t="s">
        <v>440</v>
      </c>
      <c r="B81" s="592" t="s">
        <v>441</v>
      </c>
      <c r="C81" s="595" t="s">
        <v>455</v>
      </c>
      <c r="D81" s="623" t="s">
        <v>456</v>
      </c>
      <c r="E81" s="595" t="s">
        <v>810</v>
      </c>
      <c r="F81" s="623" t="s">
        <v>811</v>
      </c>
      <c r="G81" s="595" t="s">
        <v>825</v>
      </c>
      <c r="H81" s="595" t="s">
        <v>826</v>
      </c>
      <c r="I81" s="609">
        <v>2.2899999618530273</v>
      </c>
      <c r="J81" s="609">
        <v>150</v>
      </c>
      <c r="K81" s="610">
        <v>343.5</v>
      </c>
    </row>
    <row r="82" spans="1:11" ht="14.45" customHeight="1" x14ac:dyDescent="0.2">
      <c r="A82" s="591" t="s">
        <v>440</v>
      </c>
      <c r="B82" s="592" t="s">
        <v>441</v>
      </c>
      <c r="C82" s="595" t="s">
        <v>455</v>
      </c>
      <c r="D82" s="623" t="s">
        <v>456</v>
      </c>
      <c r="E82" s="595" t="s">
        <v>810</v>
      </c>
      <c r="F82" s="623" t="s">
        <v>811</v>
      </c>
      <c r="G82" s="595" t="s">
        <v>818</v>
      </c>
      <c r="H82" s="595" t="s">
        <v>827</v>
      </c>
      <c r="I82" s="609">
        <v>2.5699999332427979</v>
      </c>
      <c r="J82" s="609">
        <v>400</v>
      </c>
      <c r="K82" s="610">
        <v>1026.0799560546875</v>
      </c>
    </row>
    <row r="83" spans="1:11" ht="14.45" customHeight="1" x14ac:dyDescent="0.2">
      <c r="A83" s="591" t="s">
        <v>440</v>
      </c>
      <c r="B83" s="592" t="s">
        <v>441</v>
      </c>
      <c r="C83" s="595" t="s">
        <v>455</v>
      </c>
      <c r="D83" s="623" t="s">
        <v>456</v>
      </c>
      <c r="E83" s="595" t="s">
        <v>810</v>
      </c>
      <c r="F83" s="623" t="s">
        <v>811</v>
      </c>
      <c r="G83" s="595" t="s">
        <v>897</v>
      </c>
      <c r="H83" s="595" t="s">
        <v>898</v>
      </c>
      <c r="I83" s="609">
        <v>0.81999999284744263</v>
      </c>
      <c r="J83" s="609">
        <v>5</v>
      </c>
      <c r="K83" s="610">
        <v>4.0999999046325684</v>
      </c>
    </row>
    <row r="84" spans="1:11" ht="14.45" customHeight="1" x14ac:dyDescent="0.2">
      <c r="A84" s="591" t="s">
        <v>440</v>
      </c>
      <c r="B84" s="592" t="s">
        <v>441</v>
      </c>
      <c r="C84" s="595" t="s">
        <v>455</v>
      </c>
      <c r="D84" s="623" t="s">
        <v>456</v>
      </c>
      <c r="E84" s="595" t="s">
        <v>810</v>
      </c>
      <c r="F84" s="623" t="s">
        <v>811</v>
      </c>
      <c r="G84" s="595" t="s">
        <v>899</v>
      </c>
      <c r="H84" s="595" t="s">
        <v>900</v>
      </c>
      <c r="I84" s="609">
        <v>1.1100000143051147</v>
      </c>
      <c r="J84" s="609">
        <v>100</v>
      </c>
      <c r="K84" s="610">
        <v>111</v>
      </c>
    </row>
    <row r="85" spans="1:11" ht="14.45" customHeight="1" x14ac:dyDescent="0.2">
      <c r="A85" s="591" t="s">
        <v>440</v>
      </c>
      <c r="B85" s="592" t="s">
        <v>441</v>
      </c>
      <c r="C85" s="595" t="s">
        <v>455</v>
      </c>
      <c r="D85" s="623" t="s">
        <v>456</v>
      </c>
      <c r="E85" s="595" t="s">
        <v>810</v>
      </c>
      <c r="F85" s="623" t="s">
        <v>811</v>
      </c>
      <c r="G85" s="595" t="s">
        <v>828</v>
      </c>
      <c r="H85" s="595" t="s">
        <v>901</v>
      </c>
      <c r="I85" s="609">
        <v>1.6699999570846558</v>
      </c>
      <c r="J85" s="609">
        <v>100</v>
      </c>
      <c r="K85" s="610">
        <v>167</v>
      </c>
    </row>
    <row r="86" spans="1:11" ht="14.45" customHeight="1" x14ac:dyDescent="0.2">
      <c r="A86" s="591" t="s">
        <v>440</v>
      </c>
      <c r="B86" s="592" t="s">
        <v>441</v>
      </c>
      <c r="C86" s="595" t="s">
        <v>455</v>
      </c>
      <c r="D86" s="623" t="s">
        <v>456</v>
      </c>
      <c r="E86" s="595" t="s">
        <v>810</v>
      </c>
      <c r="F86" s="623" t="s">
        <v>811</v>
      </c>
      <c r="G86" s="595" t="s">
        <v>902</v>
      </c>
      <c r="H86" s="595" t="s">
        <v>903</v>
      </c>
      <c r="I86" s="609">
        <v>0.57999998331069946</v>
      </c>
      <c r="J86" s="609">
        <v>5</v>
      </c>
      <c r="K86" s="610">
        <v>2.9000000953674316</v>
      </c>
    </row>
    <row r="87" spans="1:11" ht="14.45" customHeight="1" x14ac:dyDescent="0.2">
      <c r="A87" s="591" t="s">
        <v>440</v>
      </c>
      <c r="B87" s="592" t="s">
        <v>441</v>
      </c>
      <c r="C87" s="595" t="s">
        <v>455</v>
      </c>
      <c r="D87" s="623" t="s">
        <v>456</v>
      </c>
      <c r="E87" s="595" t="s">
        <v>810</v>
      </c>
      <c r="F87" s="623" t="s">
        <v>811</v>
      </c>
      <c r="G87" s="595" t="s">
        <v>828</v>
      </c>
      <c r="H87" s="595" t="s">
        <v>829</v>
      </c>
      <c r="I87" s="609">
        <v>1.6799999475479126</v>
      </c>
      <c r="J87" s="609">
        <v>200</v>
      </c>
      <c r="K87" s="610">
        <v>336</v>
      </c>
    </row>
    <row r="88" spans="1:11" ht="14.45" customHeight="1" x14ac:dyDescent="0.2">
      <c r="A88" s="591" t="s">
        <v>440</v>
      </c>
      <c r="B88" s="592" t="s">
        <v>441</v>
      </c>
      <c r="C88" s="595" t="s">
        <v>455</v>
      </c>
      <c r="D88" s="623" t="s">
        <v>456</v>
      </c>
      <c r="E88" s="595" t="s">
        <v>810</v>
      </c>
      <c r="F88" s="623" t="s">
        <v>811</v>
      </c>
      <c r="G88" s="595" t="s">
        <v>904</v>
      </c>
      <c r="H88" s="595" t="s">
        <v>905</v>
      </c>
      <c r="I88" s="609">
        <v>35.090000152587891</v>
      </c>
      <c r="J88" s="609">
        <v>1</v>
      </c>
      <c r="K88" s="610">
        <v>35.090000152587891</v>
      </c>
    </row>
    <row r="89" spans="1:11" ht="14.45" customHeight="1" x14ac:dyDescent="0.2">
      <c r="A89" s="591" t="s">
        <v>440</v>
      </c>
      <c r="B89" s="592" t="s">
        <v>441</v>
      </c>
      <c r="C89" s="595" t="s">
        <v>455</v>
      </c>
      <c r="D89" s="623" t="s">
        <v>456</v>
      </c>
      <c r="E89" s="595" t="s">
        <v>810</v>
      </c>
      <c r="F89" s="623" t="s">
        <v>811</v>
      </c>
      <c r="G89" s="595" t="s">
        <v>906</v>
      </c>
      <c r="H89" s="595" t="s">
        <v>907</v>
      </c>
      <c r="I89" s="609">
        <v>30.25</v>
      </c>
      <c r="J89" s="609">
        <v>1</v>
      </c>
      <c r="K89" s="610">
        <v>30.25</v>
      </c>
    </row>
    <row r="90" spans="1:11" ht="14.45" customHeight="1" x14ac:dyDescent="0.2">
      <c r="A90" s="591" t="s">
        <v>440</v>
      </c>
      <c r="B90" s="592" t="s">
        <v>441</v>
      </c>
      <c r="C90" s="595" t="s">
        <v>455</v>
      </c>
      <c r="D90" s="623" t="s">
        <v>456</v>
      </c>
      <c r="E90" s="595" t="s">
        <v>810</v>
      </c>
      <c r="F90" s="623" t="s">
        <v>811</v>
      </c>
      <c r="G90" s="595" t="s">
        <v>830</v>
      </c>
      <c r="H90" s="595" t="s">
        <v>831</v>
      </c>
      <c r="I90" s="609">
        <v>1.9866666793823242</v>
      </c>
      <c r="J90" s="609">
        <v>300</v>
      </c>
      <c r="K90" s="610">
        <v>595.5</v>
      </c>
    </row>
    <row r="91" spans="1:11" ht="14.45" customHeight="1" x14ac:dyDescent="0.2">
      <c r="A91" s="591" t="s">
        <v>440</v>
      </c>
      <c r="B91" s="592" t="s">
        <v>441</v>
      </c>
      <c r="C91" s="595" t="s">
        <v>455</v>
      </c>
      <c r="D91" s="623" t="s">
        <v>456</v>
      </c>
      <c r="E91" s="595" t="s">
        <v>810</v>
      </c>
      <c r="F91" s="623" t="s">
        <v>811</v>
      </c>
      <c r="G91" s="595" t="s">
        <v>830</v>
      </c>
      <c r="H91" s="595" t="s">
        <v>832</v>
      </c>
      <c r="I91" s="609">
        <v>1.9800000190734863</v>
      </c>
      <c r="J91" s="609">
        <v>250</v>
      </c>
      <c r="K91" s="610">
        <v>495</v>
      </c>
    </row>
    <row r="92" spans="1:11" ht="14.45" customHeight="1" x14ac:dyDescent="0.2">
      <c r="A92" s="591" t="s">
        <v>440</v>
      </c>
      <c r="B92" s="592" t="s">
        <v>441</v>
      </c>
      <c r="C92" s="595" t="s">
        <v>455</v>
      </c>
      <c r="D92" s="623" t="s">
        <v>456</v>
      </c>
      <c r="E92" s="595" t="s">
        <v>810</v>
      </c>
      <c r="F92" s="623" t="s">
        <v>811</v>
      </c>
      <c r="G92" s="595" t="s">
        <v>833</v>
      </c>
      <c r="H92" s="595" t="s">
        <v>834</v>
      </c>
      <c r="I92" s="609">
        <v>1.8999999761581421</v>
      </c>
      <c r="J92" s="609">
        <v>250</v>
      </c>
      <c r="K92" s="610">
        <v>475</v>
      </c>
    </row>
    <row r="93" spans="1:11" ht="14.45" customHeight="1" x14ac:dyDescent="0.2">
      <c r="A93" s="591" t="s">
        <v>440</v>
      </c>
      <c r="B93" s="592" t="s">
        <v>441</v>
      </c>
      <c r="C93" s="595" t="s">
        <v>455</v>
      </c>
      <c r="D93" s="623" t="s">
        <v>456</v>
      </c>
      <c r="E93" s="595" t="s">
        <v>810</v>
      </c>
      <c r="F93" s="623" t="s">
        <v>811</v>
      </c>
      <c r="G93" s="595" t="s">
        <v>835</v>
      </c>
      <c r="H93" s="595" t="s">
        <v>836</v>
      </c>
      <c r="I93" s="609">
        <v>2.6950000524520874</v>
      </c>
      <c r="J93" s="609">
        <v>200</v>
      </c>
      <c r="K93" s="610">
        <v>539.5</v>
      </c>
    </row>
    <row r="94" spans="1:11" ht="14.45" customHeight="1" x14ac:dyDescent="0.2">
      <c r="A94" s="591" t="s">
        <v>440</v>
      </c>
      <c r="B94" s="592" t="s">
        <v>441</v>
      </c>
      <c r="C94" s="595" t="s">
        <v>455</v>
      </c>
      <c r="D94" s="623" t="s">
        <v>456</v>
      </c>
      <c r="E94" s="595" t="s">
        <v>810</v>
      </c>
      <c r="F94" s="623" t="s">
        <v>811</v>
      </c>
      <c r="G94" s="595" t="s">
        <v>837</v>
      </c>
      <c r="H94" s="595" t="s">
        <v>838</v>
      </c>
      <c r="I94" s="609">
        <v>1.9199999570846558</v>
      </c>
      <c r="J94" s="609">
        <v>150</v>
      </c>
      <c r="K94" s="610">
        <v>288</v>
      </c>
    </row>
    <row r="95" spans="1:11" ht="14.45" customHeight="1" x14ac:dyDescent="0.2">
      <c r="A95" s="591" t="s">
        <v>440</v>
      </c>
      <c r="B95" s="592" t="s">
        <v>441</v>
      </c>
      <c r="C95" s="595" t="s">
        <v>455</v>
      </c>
      <c r="D95" s="623" t="s">
        <v>456</v>
      </c>
      <c r="E95" s="595" t="s">
        <v>810</v>
      </c>
      <c r="F95" s="623" t="s">
        <v>811</v>
      </c>
      <c r="G95" s="595" t="s">
        <v>833</v>
      </c>
      <c r="H95" s="595" t="s">
        <v>839</v>
      </c>
      <c r="I95" s="609">
        <v>1.8999999761581421</v>
      </c>
      <c r="J95" s="609">
        <v>250</v>
      </c>
      <c r="K95" s="610">
        <v>475</v>
      </c>
    </row>
    <row r="96" spans="1:11" ht="14.45" customHeight="1" x14ac:dyDescent="0.2">
      <c r="A96" s="591" t="s">
        <v>440</v>
      </c>
      <c r="B96" s="592" t="s">
        <v>441</v>
      </c>
      <c r="C96" s="595" t="s">
        <v>455</v>
      </c>
      <c r="D96" s="623" t="s">
        <v>456</v>
      </c>
      <c r="E96" s="595" t="s">
        <v>810</v>
      </c>
      <c r="F96" s="623" t="s">
        <v>811</v>
      </c>
      <c r="G96" s="595" t="s">
        <v>835</v>
      </c>
      <c r="H96" s="595" t="s">
        <v>840</v>
      </c>
      <c r="I96" s="609">
        <v>2.6950000524520874</v>
      </c>
      <c r="J96" s="609">
        <v>150</v>
      </c>
      <c r="K96" s="610">
        <v>404.5</v>
      </c>
    </row>
    <row r="97" spans="1:11" ht="14.45" customHeight="1" x14ac:dyDescent="0.2">
      <c r="A97" s="591" t="s">
        <v>440</v>
      </c>
      <c r="B97" s="592" t="s">
        <v>441</v>
      </c>
      <c r="C97" s="595" t="s">
        <v>455</v>
      </c>
      <c r="D97" s="623" t="s">
        <v>456</v>
      </c>
      <c r="E97" s="595" t="s">
        <v>810</v>
      </c>
      <c r="F97" s="623" t="s">
        <v>811</v>
      </c>
      <c r="G97" s="595" t="s">
        <v>837</v>
      </c>
      <c r="H97" s="595" t="s">
        <v>841</v>
      </c>
      <c r="I97" s="609">
        <v>1.9249999523162842</v>
      </c>
      <c r="J97" s="609">
        <v>500</v>
      </c>
      <c r="K97" s="610">
        <v>964</v>
      </c>
    </row>
    <row r="98" spans="1:11" ht="14.45" customHeight="1" x14ac:dyDescent="0.2">
      <c r="A98" s="591" t="s">
        <v>440</v>
      </c>
      <c r="B98" s="592" t="s">
        <v>441</v>
      </c>
      <c r="C98" s="595" t="s">
        <v>455</v>
      </c>
      <c r="D98" s="623" t="s">
        <v>456</v>
      </c>
      <c r="E98" s="595" t="s">
        <v>810</v>
      </c>
      <c r="F98" s="623" t="s">
        <v>811</v>
      </c>
      <c r="G98" s="595" t="s">
        <v>842</v>
      </c>
      <c r="H98" s="595" t="s">
        <v>843</v>
      </c>
      <c r="I98" s="609">
        <v>3.0699999332427979</v>
      </c>
      <c r="J98" s="609">
        <v>100</v>
      </c>
      <c r="K98" s="610">
        <v>307</v>
      </c>
    </row>
    <row r="99" spans="1:11" ht="14.45" customHeight="1" x14ac:dyDescent="0.2">
      <c r="A99" s="591" t="s">
        <v>440</v>
      </c>
      <c r="B99" s="592" t="s">
        <v>441</v>
      </c>
      <c r="C99" s="595" t="s">
        <v>455</v>
      </c>
      <c r="D99" s="623" t="s">
        <v>456</v>
      </c>
      <c r="E99" s="595" t="s">
        <v>810</v>
      </c>
      <c r="F99" s="623" t="s">
        <v>811</v>
      </c>
      <c r="G99" s="595" t="s">
        <v>908</v>
      </c>
      <c r="H99" s="595" t="s">
        <v>909</v>
      </c>
      <c r="I99" s="609">
        <v>3.0999999046325684</v>
      </c>
      <c r="J99" s="609">
        <v>10</v>
      </c>
      <c r="K99" s="610">
        <v>31</v>
      </c>
    </row>
    <row r="100" spans="1:11" ht="14.45" customHeight="1" x14ac:dyDescent="0.2">
      <c r="A100" s="591" t="s">
        <v>440</v>
      </c>
      <c r="B100" s="592" t="s">
        <v>441</v>
      </c>
      <c r="C100" s="595" t="s">
        <v>455</v>
      </c>
      <c r="D100" s="623" t="s">
        <v>456</v>
      </c>
      <c r="E100" s="595" t="s">
        <v>810</v>
      </c>
      <c r="F100" s="623" t="s">
        <v>811</v>
      </c>
      <c r="G100" s="595" t="s">
        <v>846</v>
      </c>
      <c r="H100" s="595" t="s">
        <v>847</v>
      </c>
      <c r="I100" s="609">
        <v>2.1700000762939453</v>
      </c>
      <c r="J100" s="609">
        <v>5</v>
      </c>
      <c r="K100" s="610">
        <v>10.850000381469727</v>
      </c>
    </row>
    <row r="101" spans="1:11" ht="14.45" customHeight="1" x14ac:dyDescent="0.2">
      <c r="A101" s="591" t="s">
        <v>440</v>
      </c>
      <c r="B101" s="592" t="s">
        <v>441</v>
      </c>
      <c r="C101" s="595" t="s">
        <v>455</v>
      </c>
      <c r="D101" s="623" t="s">
        <v>456</v>
      </c>
      <c r="E101" s="595" t="s">
        <v>810</v>
      </c>
      <c r="F101" s="623" t="s">
        <v>811</v>
      </c>
      <c r="G101" s="595" t="s">
        <v>849</v>
      </c>
      <c r="H101" s="595" t="s">
        <v>850</v>
      </c>
      <c r="I101" s="609">
        <v>2.5199999809265137</v>
      </c>
      <c r="J101" s="609">
        <v>100</v>
      </c>
      <c r="K101" s="610">
        <v>252</v>
      </c>
    </row>
    <row r="102" spans="1:11" ht="14.45" customHeight="1" x14ac:dyDescent="0.2">
      <c r="A102" s="591" t="s">
        <v>440</v>
      </c>
      <c r="B102" s="592" t="s">
        <v>441</v>
      </c>
      <c r="C102" s="595" t="s">
        <v>455</v>
      </c>
      <c r="D102" s="623" t="s">
        <v>456</v>
      </c>
      <c r="E102" s="595" t="s">
        <v>810</v>
      </c>
      <c r="F102" s="623" t="s">
        <v>811</v>
      </c>
      <c r="G102" s="595" t="s">
        <v>849</v>
      </c>
      <c r="H102" s="595" t="s">
        <v>853</v>
      </c>
      <c r="I102" s="609">
        <v>2.5199999809265137</v>
      </c>
      <c r="J102" s="609">
        <v>50</v>
      </c>
      <c r="K102" s="610">
        <v>126</v>
      </c>
    </row>
    <row r="103" spans="1:11" ht="14.45" customHeight="1" x14ac:dyDescent="0.2">
      <c r="A103" s="591" t="s">
        <v>440</v>
      </c>
      <c r="B103" s="592" t="s">
        <v>441</v>
      </c>
      <c r="C103" s="595" t="s">
        <v>455</v>
      </c>
      <c r="D103" s="623" t="s">
        <v>456</v>
      </c>
      <c r="E103" s="595" t="s">
        <v>810</v>
      </c>
      <c r="F103" s="623" t="s">
        <v>811</v>
      </c>
      <c r="G103" s="595" t="s">
        <v>854</v>
      </c>
      <c r="H103" s="595" t="s">
        <v>855</v>
      </c>
      <c r="I103" s="609">
        <v>4.625</v>
      </c>
      <c r="J103" s="609">
        <v>10</v>
      </c>
      <c r="K103" s="610">
        <v>46.25</v>
      </c>
    </row>
    <row r="104" spans="1:11" ht="14.45" customHeight="1" x14ac:dyDescent="0.2">
      <c r="A104" s="591" t="s">
        <v>440</v>
      </c>
      <c r="B104" s="592" t="s">
        <v>441</v>
      </c>
      <c r="C104" s="595" t="s">
        <v>455</v>
      </c>
      <c r="D104" s="623" t="s">
        <v>456</v>
      </c>
      <c r="E104" s="595" t="s">
        <v>810</v>
      </c>
      <c r="F104" s="623" t="s">
        <v>811</v>
      </c>
      <c r="G104" s="595" t="s">
        <v>856</v>
      </c>
      <c r="H104" s="595" t="s">
        <v>857</v>
      </c>
      <c r="I104" s="609">
        <v>21.239999771118164</v>
      </c>
      <c r="J104" s="609">
        <v>10</v>
      </c>
      <c r="K104" s="610">
        <v>212.39999389648438</v>
      </c>
    </row>
    <row r="105" spans="1:11" ht="14.45" customHeight="1" x14ac:dyDescent="0.2">
      <c r="A105" s="591" t="s">
        <v>440</v>
      </c>
      <c r="B105" s="592" t="s">
        <v>441</v>
      </c>
      <c r="C105" s="595" t="s">
        <v>455</v>
      </c>
      <c r="D105" s="623" t="s">
        <v>456</v>
      </c>
      <c r="E105" s="595" t="s">
        <v>810</v>
      </c>
      <c r="F105" s="623" t="s">
        <v>811</v>
      </c>
      <c r="G105" s="595" t="s">
        <v>862</v>
      </c>
      <c r="H105" s="595" t="s">
        <v>863</v>
      </c>
      <c r="I105" s="609">
        <v>2.5199999809265137</v>
      </c>
      <c r="J105" s="609">
        <v>5</v>
      </c>
      <c r="K105" s="610">
        <v>12.600000381469727</v>
      </c>
    </row>
    <row r="106" spans="1:11" ht="14.45" customHeight="1" x14ac:dyDescent="0.2">
      <c r="A106" s="591" t="s">
        <v>440</v>
      </c>
      <c r="B106" s="592" t="s">
        <v>441</v>
      </c>
      <c r="C106" s="595" t="s">
        <v>455</v>
      </c>
      <c r="D106" s="623" t="s">
        <v>456</v>
      </c>
      <c r="E106" s="595" t="s">
        <v>864</v>
      </c>
      <c r="F106" s="623" t="s">
        <v>865</v>
      </c>
      <c r="G106" s="595" t="s">
        <v>866</v>
      </c>
      <c r="H106" s="595" t="s">
        <v>867</v>
      </c>
      <c r="I106" s="609">
        <v>10.170000076293945</v>
      </c>
      <c r="J106" s="609">
        <v>70</v>
      </c>
      <c r="K106" s="610">
        <v>711.9000244140625</v>
      </c>
    </row>
    <row r="107" spans="1:11" ht="14.45" customHeight="1" x14ac:dyDescent="0.2">
      <c r="A107" s="591" t="s">
        <v>440</v>
      </c>
      <c r="B107" s="592" t="s">
        <v>441</v>
      </c>
      <c r="C107" s="595" t="s">
        <v>455</v>
      </c>
      <c r="D107" s="623" t="s">
        <v>456</v>
      </c>
      <c r="E107" s="595" t="s">
        <v>864</v>
      </c>
      <c r="F107" s="623" t="s">
        <v>865</v>
      </c>
      <c r="G107" s="595" t="s">
        <v>866</v>
      </c>
      <c r="H107" s="595" t="s">
        <v>868</v>
      </c>
      <c r="I107" s="609">
        <v>10.164999961853027</v>
      </c>
      <c r="J107" s="609">
        <v>100</v>
      </c>
      <c r="K107" s="610">
        <v>1016.5</v>
      </c>
    </row>
    <row r="108" spans="1:11" ht="14.45" customHeight="1" x14ac:dyDescent="0.2">
      <c r="A108" s="591" t="s">
        <v>440</v>
      </c>
      <c r="B108" s="592" t="s">
        <v>441</v>
      </c>
      <c r="C108" s="595" t="s">
        <v>455</v>
      </c>
      <c r="D108" s="623" t="s">
        <v>456</v>
      </c>
      <c r="E108" s="595" t="s">
        <v>869</v>
      </c>
      <c r="F108" s="623" t="s">
        <v>870</v>
      </c>
      <c r="G108" s="595" t="s">
        <v>871</v>
      </c>
      <c r="H108" s="595" t="s">
        <v>872</v>
      </c>
      <c r="I108" s="609">
        <v>0.54000002145767212</v>
      </c>
      <c r="J108" s="609">
        <v>200</v>
      </c>
      <c r="K108" s="610">
        <v>108</v>
      </c>
    </row>
    <row r="109" spans="1:11" ht="14.45" customHeight="1" x14ac:dyDescent="0.2">
      <c r="A109" s="591" t="s">
        <v>440</v>
      </c>
      <c r="B109" s="592" t="s">
        <v>441</v>
      </c>
      <c r="C109" s="595" t="s">
        <v>455</v>
      </c>
      <c r="D109" s="623" t="s">
        <v>456</v>
      </c>
      <c r="E109" s="595" t="s">
        <v>869</v>
      </c>
      <c r="F109" s="623" t="s">
        <v>870</v>
      </c>
      <c r="G109" s="595" t="s">
        <v>874</v>
      </c>
      <c r="H109" s="595" t="s">
        <v>875</v>
      </c>
      <c r="I109" s="609">
        <v>0.95999997854232788</v>
      </c>
      <c r="J109" s="609">
        <v>300</v>
      </c>
      <c r="K109" s="610">
        <v>288</v>
      </c>
    </row>
    <row r="110" spans="1:11" ht="14.45" customHeight="1" x14ac:dyDescent="0.2">
      <c r="A110" s="591" t="s">
        <v>440</v>
      </c>
      <c r="B110" s="592" t="s">
        <v>441</v>
      </c>
      <c r="C110" s="595" t="s">
        <v>455</v>
      </c>
      <c r="D110" s="623" t="s">
        <v>456</v>
      </c>
      <c r="E110" s="595" t="s">
        <v>869</v>
      </c>
      <c r="F110" s="623" t="s">
        <v>870</v>
      </c>
      <c r="G110" s="595" t="s">
        <v>874</v>
      </c>
      <c r="H110" s="595" t="s">
        <v>876</v>
      </c>
      <c r="I110" s="609">
        <v>0.97000002861022949</v>
      </c>
      <c r="J110" s="609">
        <v>1200</v>
      </c>
      <c r="K110" s="610">
        <v>1164</v>
      </c>
    </row>
    <row r="111" spans="1:11" ht="14.45" customHeight="1" x14ac:dyDescent="0.2">
      <c r="A111" s="591" t="s">
        <v>440</v>
      </c>
      <c r="B111" s="592" t="s">
        <v>441</v>
      </c>
      <c r="C111" s="595" t="s">
        <v>455</v>
      </c>
      <c r="D111" s="623" t="s">
        <v>456</v>
      </c>
      <c r="E111" s="595" t="s">
        <v>869</v>
      </c>
      <c r="F111" s="623" t="s">
        <v>870</v>
      </c>
      <c r="G111" s="595" t="s">
        <v>877</v>
      </c>
      <c r="H111" s="595" t="s">
        <v>878</v>
      </c>
      <c r="I111" s="609">
        <v>1.8049999475479126</v>
      </c>
      <c r="J111" s="609">
        <v>600</v>
      </c>
      <c r="K111" s="610">
        <v>1083</v>
      </c>
    </row>
    <row r="112" spans="1:11" ht="14.45" customHeight="1" x14ac:dyDescent="0.2">
      <c r="A112" s="591" t="s">
        <v>440</v>
      </c>
      <c r="B112" s="592" t="s">
        <v>441</v>
      </c>
      <c r="C112" s="595" t="s">
        <v>455</v>
      </c>
      <c r="D112" s="623" t="s">
        <v>456</v>
      </c>
      <c r="E112" s="595" t="s">
        <v>869</v>
      </c>
      <c r="F112" s="623" t="s">
        <v>870</v>
      </c>
      <c r="G112" s="595" t="s">
        <v>877</v>
      </c>
      <c r="H112" s="595" t="s">
        <v>879</v>
      </c>
      <c r="I112" s="609">
        <v>1.8049999475479126</v>
      </c>
      <c r="J112" s="609">
        <v>300</v>
      </c>
      <c r="K112" s="610">
        <v>542</v>
      </c>
    </row>
    <row r="113" spans="1:11" ht="14.45" customHeight="1" x14ac:dyDescent="0.2">
      <c r="A113" s="591" t="s">
        <v>440</v>
      </c>
      <c r="B113" s="592" t="s">
        <v>441</v>
      </c>
      <c r="C113" s="595" t="s">
        <v>455</v>
      </c>
      <c r="D113" s="623" t="s">
        <v>456</v>
      </c>
      <c r="E113" s="595" t="s">
        <v>880</v>
      </c>
      <c r="F113" s="623" t="s">
        <v>881</v>
      </c>
      <c r="G113" s="595" t="s">
        <v>882</v>
      </c>
      <c r="H113" s="595" t="s">
        <v>910</v>
      </c>
      <c r="I113" s="609">
        <v>0.62999999523162842</v>
      </c>
      <c r="J113" s="609">
        <v>600</v>
      </c>
      <c r="K113" s="610">
        <v>378</v>
      </c>
    </row>
    <row r="114" spans="1:11" ht="14.45" customHeight="1" thickBot="1" x14ac:dyDescent="0.25">
      <c r="A114" s="599" t="s">
        <v>440</v>
      </c>
      <c r="B114" s="600" t="s">
        <v>441</v>
      </c>
      <c r="C114" s="603" t="s">
        <v>455</v>
      </c>
      <c r="D114" s="624" t="s">
        <v>456</v>
      </c>
      <c r="E114" s="603" t="s">
        <v>880</v>
      </c>
      <c r="F114" s="624" t="s">
        <v>881</v>
      </c>
      <c r="G114" s="603" t="s">
        <v>882</v>
      </c>
      <c r="H114" s="603" t="s">
        <v>883</v>
      </c>
      <c r="I114" s="611">
        <v>0.62999999523162842</v>
      </c>
      <c r="J114" s="611">
        <v>800</v>
      </c>
      <c r="K114" s="612">
        <v>504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2AB951A3-9BCB-42EF-B9E9-D3B69F1CD90A}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4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77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31" customWidth="1"/>
    <col min="18" max="18" width="7.28515625" style="276" customWidth="1"/>
    <col min="19" max="19" width="8" style="231" customWidth="1"/>
    <col min="21" max="21" width="11.28515625" bestFit="1" customWidth="1"/>
  </cols>
  <sheetData>
    <row r="1" spans="1:19" ht="19.5" thickBot="1" x14ac:dyDescent="0.35">
      <c r="A1" s="415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.75" thickBot="1" x14ac:dyDescent="0.3">
      <c r="A2" s="232" t="s">
        <v>270</v>
      </c>
      <c r="B2" s="233"/>
    </row>
    <row r="3" spans="1:19" x14ac:dyDescent="0.25">
      <c r="A3" s="427" t="s">
        <v>191</v>
      </c>
      <c r="B3" s="428"/>
      <c r="C3" s="429" t="s">
        <v>180</v>
      </c>
      <c r="D3" s="430"/>
      <c r="E3" s="430"/>
      <c r="F3" s="431"/>
      <c r="G3" s="432" t="s">
        <v>181</v>
      </c>
      <c r="H3" s="433"/>
      <c r="I3" s="433"/>
      <c r="J3" s="434"/>
      <c r="K3" s="435" t="s">
        <v>190</v>
      </c>
      <c r="L3" s="436"/>
      <c r="M3" s="436"/>
      <c r="N3" s="436"/>
      <c r="O3" s="437"/>
      <c r="P3" s="433" t="s">
        <v>245</v>
      </c>
      <c r="Q3" s="433"/>
      <c r="R3" s="433"/>
      <c r="S3" s="434"/>
    </row>
    <row r="4" spans="1:19" ht="15.75" thickBot="1" x14ac:dyDescent="0.3">
      <c r="A4" s="407">
        <v>2019</v>
      </c>
      <c r="B4" s="408"/>
      <c r="C4" s="409" t="s">
        <v>244</v>
      </c>
      <c r="D4" s="411" t="s">
        <v>106</v>
      </c>
      <c r="E4" s="411" t="s">
        <v>74</v>
      </c>
      <c r="F4" s="413" t="s">
        <v>67</v>
      </c>
      <c r="G4" s="401" t="s">
        <v>182</v>
      </c>
      <c r="H4" s="403" t="s">
        <v>186</v>
      </c>
      <c r="I4" s="403" t="s">
        <v>243</v>
      </c>
      <c r="J4" s="405" t="s">
        <v>183</v>
      </c>
      <c r="K4" s="424" t="s">
        <v>242</v>
      </c>
      <c r="L4" s="425"/>
      <c r="M4" s="425"/>
      <c r="N4" s="426"/>
      <c r="O4" s="413" t="s">
        <v>241</v>
      </c>
      <c r="P4" s="416" t="s">
        <v>240</v>
      </c>
      <c r="Q4" s="416" t="s">
        <v>193</v>
      </c>
      <c r="R4" s="418" t="s">
        <v>74</v>
      </c>
      <c r="S4" s="420" t="s">
        <v>192</v>
      </c>
    </row>
    <row r="5" spans="1:19" s="311" customFormat="1" ht="19.149999999999999" customHeight="1" x14ac:dyDescent="0.25">
      <c r="A5" s="422" t="s">
        <v>239</v>
      </c>
      <c r="B5" s="423"/>
      <c r="C5" s="410"/>
      <c r="D5" s="412"/>
      <c r="E5" s="412"/>
      <c r="F5" s="414"/>
      <c r="G5" s="402"/>
      <c r="H5" s="404"/>
      <c r="I5" s="404"/>
      <c r="J5" s="406"/>
      <c r="K5" s="314" t="s">
        <v>184</v>
      </c>
      <c r="L5" s="313" t="s">
        <v>185</v>
      </c>
      <c r="M5" s="313" t="s">
        <v>238</v>
      </c>
      <c r="N5" s="312" t="s">
        <v>3</v>
      </c>
      <c r="O5" s="414"/>
      <c r="P5" s="417"/>
      <c r="Q5" s="417"/>
      <c r="R5" s="419"/>
      <c r="S5" s="421"/>
    </row>
    <row r="6" spans="1:19" ht="15.75" thickBot="1" x14ac:dyDescent="0.3">
      <c r="A6" s="399" t="s">
        <v>179</v>
      </c>
      <c r="B6" s="400"/>
      <c r="C6" s="310">
        <f ca="1">SUM(Tabulka[01 uv_sk])/2</f>
        <v>12.094444444444443</v>
      </c>
      <c r="D6" s="308"/>
      <c r="E6" s="308"/>
      <c r="F6" s="307"/>
      <c r="G6" s="309">
        <f ca="1">SUM(Tabulka[05 h_vram])/2</f>
        <v>16052.4</v>
      </c>
      <c r="H6" s="308">
        <f ca="1">SUM(Tabulka[06 h_naduv])/2</f>
        <v>0</v>
      </c>
      <c r="I6" s="308">
        <f ca="1">SUM(Tabulka[07 h_nadzk])/2</f>
        <v>0</v>
      </c>
      <c r="J6" s="307">
        <f ca="1">SUM(Tabulka[08 h_oon])/2</f>
        <v>0</v>
      </c>
      <c r="K6" s="309">
        <f ca="1">SUM(Tabulka[09 m_kl])/2</f>
        <v>0</v>
      </c>
      <c r="L6" s="308">
        <f ca="1">SUM(Tabulka[10 m_gr])/2</f>
        <v>0</v>
      </c>
      <c r="M6" s="308">
        <f ca="1">SUM(Tabulka[11 m_jo])/2</f>
        <v>496258</v>
      </c>
      <c r="N6" s="308">
        <f ca="1">SUM(Tabulka[12 m_oc])/2</f>
        <v>496258</v>
      </c>
      <c r="O6" s="307">
        <f ca="1">SUM(Tabulka[13 m_sk])/2</f>
        <v>5639581</v>
      </c>
      <c r="P6" s="306">
        <f ca="1">SUM(Tabulka[14_vzsk])/2</f>
        <v>0</v>
      </c>
      <c r="Q6" s="306">
        <f ca="1">SUM(Tabulka[15_vzpl])/2</f>
        <v>11420.454545454546</v>
      </c>
      <c r="R6" s="305">
        <f ca="1">IF(Q6=0,0,P6/Q6)</f>
        <v>0</v>
      </c>
      <c r="S6" s="304">
        <f ca="1">Q6-P6</f>
        <v>11420.454545454546</v>
      </c>
    </row>
    <row r="7" spans="1:19" hidden="1" x14ac:dyDescent="0.25">
      <c r="A7" s="303" t="s">
        <v>237</v>
      </c>
      <c r="B7" s="302" t="s">
        <v>236</v>
      </c>
      <c r="C7" s="301" t="s">
        <v>235</v>
      </c>
      <c r="D7" s="300" t="s">
        <v>234</v>
      </c>
      <c r="E7" s="299" t="s">
        <v>233</v>
      </c>
      <c r="F7" s="298" t="s">
        <v>232</v>
      </c>
      <c r="G7" s="297" t="s">
        <v>231</v>
      </c>
      <c r="H7" s="295" t="s">
        <v>230</v>
      </c>
      <c r="I7" s="295" t="s">
        <v>229</v>
      </c>
      <c r="J7" s="294" t="s">
        <v>228</v>
      </c>
      <c r="K7" s="296" t="s">
        <v>227</v>
      </c>
      <c r="L7" s="295" t="s">
        <v>226</v>
      </c>
      <c r="M7" s="295" t="s">
        <v>225</v>
      </c>
      <c r="N7" s="294" t="s">
        <v>224</v>
      </c>
      <c r="O7" s="293" t="s">
        <v>223</v>
      </c>
      <c r="P7" s="292" t="s">
        <v>222</v>
      </c>
      <c r="Q7" s="291" t="s">
        <v>221</v>
      </c>
      <c r="R7" s="290" t="s">
        <v>220</v>
      </c>
      <c r="S7" s="289" t="s">
        <v>219</v>
      </c>
    </row>
    <row r="8" spans="1:19" x14ac:dyDescent="0.25">
      <c r="A8" s="286" t="s">
        <v>218</v>
      </c>
      <c r="B8" s="285"/>
      <c r="C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4.6499999999999995</v>
      </c>
      <c r="D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6292.4</v>
      </c>
      <c r="H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283325</v>
      </c>
      <c r="N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283325</v>
      </c>
      <c r="O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3117142</v>
      </c>
      <c r="P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9920.454545454546</v>
      </c>
      <c r="R8" s="288">
        <f ca="1">IF(Tabulka[[#This Row],[15_vzpl]]=0,"",Tabulka[[#This Row],[14_vzsk]]/Tabulka[[#This Row],[15_vzpl]])</f>
        <v>0</v>
      </c>
      <c r="S8" s="287">
        <f ca="1">IF(Tabulka[[#This Row],[15_vzpl]]-Tabulka[[#This Row],[14_vzsk]]=0,"",Tabulka[[#This Row],[15_vzpl]]-Tabulka[[#This Row],[14_vzsk]])</f>
        <v>9920.454545454546</v>
      </c>
    </row>
    <row r="9" spans="1:19" x14ac:dyDescent="0.25">
      <c r="A9" s="286">
        <v>99</v>
      </c>
      <c r="B9" s="285" t="s">
        <v>924</v>
      </c>
      <c r="C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9920.454545454546</v>
      </c>
      <c r="R9" s="288">
        <f ca="1">IF(Tabulka[[#This Row],[15_vzpl]]=0,"",Tabulka[[#This Row],[14_vzsk]]/Tabulka[[#This Row],[15_vzpl]])</f>
        <v>0</v>
      </c>
      <c r="S9" s="287">
        <f ca="1">IF(Tabulka[[#This Row],[15_vzpl]]-Tabulka[[#This Row],[14_vzsk]]=0,"",Tabulka[[#This Row],[15_vzpl]]-Tabulka[[#This Row],[14_vzsk]])</f>
        <v>9920.454545454546</v>
      </c>
    </row>
    <row r="10" spans="1:19" x14ac:dyDescent="0.25">
      <c r="A10" s="286">
        <v>100</v>
      </c>
      <c r="B10" s="285" t="s">
        <v>925</v>
      </c>
      <c r="C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0.27777777777777779</v>
      </c>
      <c r="D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408</v>
      </c>
      <c r="H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98900</v>
      </c>
      <c r="P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8" t="str">
        <f ca="1">IF(Tabulka[[#This Row],[15_vzpl]]=0,"",Tabulka[[#This Row],[14_vzsk]]/Tabulka[[#This Row],[15_vzpl]])</f>
        <v/>
      </c>
      <c r="S10" s="287" t="str">
        <f ca="1">IF(Tabulka[[#This Row],[15_vzpl]]-Tabulka[[#This Row],[14_vzsk]]=0,"",Tabulka[[#This Row],[15_vzpl]]-Tabulka[[#This Row],[14_vzsk]])</f>
        <v/>
      </c>
    </row>
    <row r="11" spans="1:19" x14ac:dyDescent="0.25">
      <c r="A11" s="286">
        <v>101</v>
      </c>
      <c r="B11" s="285" t="s">
        <v>926</v>
      </c>
      <c r="C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4.3722222222222218</v>
      </c>
      <c r="D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5884.4</v>
      </c>
      <c r="H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283325</v>
      </c>
      <c r="N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283325</v>
      </c>
      <c r="O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3018242</v>
      </c>
      <c r="P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88" t="str">
        <f ca="1">IF(Tabulka[[#This Row],[15_vzpl]]=0,"",Tabulka[[#This Row],[14_vzsk]]/Tabulka[[#This Row],[15_vzpl]])</f>
        <v/>
      </c>
      <c r="S11" s="287" t="str">
        <f ca="1">IF(Tabulka[[#This Row],[15_vzpl]]-Tabulka[[#This Row],[14_vzsk]]=0,"",Tabulka[[#This Row],[15_vzpl]]-Tabulka[[#This Row],[14_vzsk]])</f>
        <v/>
      </c>
    </row>
    <row r="12" spans="1:19" x14ac:dyDescent="0.25">
      <c r="A12" s="286" t="s">
        <v>912</v>
      </c>
      <c r="B12" s="285"/>
      <c r="C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5.4444444444444446</v>
      </c>
      <c r="D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7512</v>
      </c>
      <c r="H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161441</v>
      </c>
      <c r="N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161441</v>
      </c>
      <c r="O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2040636</v>
      </c>
      <c r="P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1500</v>
      </c>
      <c r="R12" s="288">
        <f ca="1">IF(Tabulka[[#This Row],[15_vzpl]]=0,"",Tabulka[[#This Row],[14_vzsk]]/Tabulka[[#This Row],[15_vzpl]])</f>
        <v>0</v>
      </c>
      <c r="S12" s="287">
        <f ca="1">IF(Tabulka[[#This Row],[15_vzpl]]-Tabulka[[#This Row],[14_vzsk]]=0,"",Tabulka[[#This Row],[15_vzpl]]-Tabulka[[#This Row],[14_vzsk]])</f>
        <v>1500</v>
      </c>
    </row>
    <row r="13" spans="1:19" x14ac:dyDescent="0.25">
      <c r="A13" s="286">
        <v>303</v>
      </c>
      <c r="B13" s="285" t="s">
        <v>927</v>
      </c>
      <c r="C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1384</v>
      </c>
      <c r="H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43285</v>
      </c>
      <c r="N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43285</v>
      </c>
      <c r="O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346958</v>
      </c>
      <c r="P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1500</v>
      </c>
      <c r="R13" s="288">
        <f ca="1">IF(Tabulka[[#This Row],[15_vzpl]]=0,"",Tabulka[[#This Row],[14_vzsk]]/Tabulka[[#This Row],[15_vzpl]])</f>
        <v>0</v>
      </c>
      <c r="S13" s="287">
        <f ca="1">IF(Tabulka[[#This Row],[15_vzpl]]-Tabulka[[#This Row],[14_vzsk]]=0,"",Tabulka[[#This Row],[15_vzpl]]-Tabulka[[#This Row],[14_vzsk]])</f>
        <v>1500</v>
      </c>
    </row>
    <row r="14" spans="1:19" x14ac:dyDescent="0.25">
      <c r="A14" s="286">
        <v>304</v>
      </c>
      <c r="B14" s="285" t="s">
        <v>928</v>
      </c>
      <c r="C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4148</v>
      </c>
      <c r="H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75154</v>
      </c>
      <c r="N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75154</v>
      </c>
      <c r="O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1076883</v>
      </c>
      <c r="P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88" t="str">
        <f ca="1">IF(Tabulka[[#This Row],[15_vzpl]]=0,"",Tabulka[[#This Row],[14_vzsk]]/Tabulka[[#This Row],[15_vzpl]])</f>
        <v/>
      </c>
      <c r="S14" s="287" t="str">
        <f ca="1">IF(Tabulka[[#This Row],[15_vzpl]]-Tabulka[[#This Row],[14_vzsk]]=0,"",Tabulka[[#This Row],[15_vzpl]]-Tabulka[[#This Row],[14_vzsk]])</f>
        <v/>
      </c>
    </row>
    <row r="15" spans="1:19" x14ac:dyDescent="0.25">
      <c r="A15" s="286">
        <v>305</v>
      </c>
      <c r="B15" s="285" t="s">
        <v>929</v>
      </c>
      <c r="C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1400</v>
      </c>
      <c r="H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43002</v>
      </c>
      <c r="N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43002</v>
      </c>
      <c r="O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501302</v>
      </c>
      <c r="P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88" t="str">
        <f ca="1">IF(Tabulka[[#This Row],[15_vzpl]]=0,"",Tabulka[[#This Row],[14_vzsk]]/Tabulka[[#This Row],[15_vzpl]])</f>
        <v/>
      </c>
      <c r="S15" s="287" t="str">
        <f ca="1">IF(Tabulka[[#This Row],[15_vzpl]]-Tabulka[[#This Row],[14_vzsk]]=0,"",Tabulka[[#This Row],[15_vzpl]]-Tabulka[[#This Row],[14_vzsk]])</f>
        <v/>
      </c>
    </row>
    <row r="16" spans="1:19" x14ac:dyDescent="0.25">
      <c r="A16" s="286">
        <v>424</v>
      </c>
      <c r="B16" s="285" t="s">
        <v>930</v>
      </c>
      <c r="C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0.44444444444444442</v>
      </c>
      <c r="D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580</v>
      </c>
      <c r="H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115493</v>
      </c>
      <c r="P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88" t="str">
        <f ca="1">IF(Tabulka[[#This Row],[15_vzpl]]=0,"",Tabulka[[#This Row],[14_vzsk]]/Tabulka[[#This Row],[15_vzpl]])</f>
        <v/>
      </c>
      <c r="S16" s="287" t="str">
        <f ca="1">IF(Tabulka[[#This Row],[15_vzpl]]-Tabulka[[#This Row],[14_vzsk]]=0,"",Tabulka[[#This Row],[15_vzpl]]-Tabulka[[#This Row],[14_vzsk]])</f>
        <v/>
      </c>
    </row>
    <row r="17" spans="1:19" x14ac:dyDescent="0.25">
      <c r="A17" s="286" t="s">
        <v>913</v>
      </c>
      <c r="B17" s="285"/>
      <c r="C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2248</v>
      </c>
      <c r="H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51492</v>
      </c>
      <c r="N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51492</v>
      </c>
      <c r="O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481803</v>
      </c>
      <c r="P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8" t="str">
        <f ca="1">IF(Tabulka[[#This Row],[15_vzpl]]=0,"",Tabulka[[#This Row],[14_vzsk]]/Tabulka[[#This Row],[15_vzpl]])</f>
        <v/>
      </c>
      <c r="S17" s="287" t="str">
        <f ca="1">IF(Tabulka[[#This Row],[15_vzpl]]-Tabulka[[#This Row],[14_vzsk]]=0,"",Tabulka[[#This Row],[15_vzpl]]-Tabulka[[#This Row],[14_vzsk]])</f>
        <v/>
      </c>
    </row>
    <row r="18" spans="1:19" x14ac:dyDescent="0.25">
      <c r="A18" s="286">
        <v>30</v>
      </c>
      <c r="B18" s="285" t="s">
        <v>931</v>
      </c>
      <c r="C1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2248</v>
      </c>
      <c r="H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51492</v>
      </c>
      <c r="N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51492</v>
      </c>
      <c r="O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481803</v>
      </c>
      <c r="P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88" t="str">
        <f ca="1">IF(Tabulka[[#This Row],[15_vzpl]]=0,"",Tabulka[[#This Row],[14_vzsk]]/Tabulka[[#This Row],[15_vzpl]])</f>
        <v/>
      </c>
      <c r="S18" s="287" t="str">
        <f ca="1">IF(Tabulka[[#This Row],[15_vzpl]]-Tabulka[[#This Row],[14_vzsk]]=0,"",Tabulka[[#This Row],[15_vzpl]]-Tabulka[[#This Row],[14_vzsk]])</f>
        <v/>
      </c>
    </row>
    <row r="19" spans="1:19" x14ac:dyDescent="0.25">
      <c r="A19" t="s">
        <v>247</v>
      </c>
    </row>
    <row r="20" spans="1:19" x14ac:dyDescent="0.25">
      <c r="A20" s="113" t="s">
        <v>160</v>
      </c>
    </row>
    <row r="21" spans="1:19" x14ac:dyDescent="0.25">
      <c r="A21" s="114" t="s">
        <v>217</v>
      </c>
    </row>
    <row r="22" spans="1:19" x14ac:dyDescent="0.25">
      <c r="A22" s="278" t="s">
        <v>216</v>
      </c>
    </row>
    <row r="23" spans="1:19" x14ac:dyDescent="0.25">
      <c r="A23" s="235" t="s">
        <v>189</v>
      </c>
    </row>
    <row r="24" spans="1:19" x14ac:dyDescent="0.25">
      <c r="A24" s="237" t="s">
        <v>194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18">
    <cfRule type="cellIs" dxfId="4" priority="3" operator="lessThan">
      <formula>0</formula>
    </cfRule>
  </conditionalFormatting>
  <conditionalFormatting sqref="R6:R18">
    <cfRule type="cellIs" dxfId="3" priority="4" operator="greaterThan">
      <formula>1</formula>
    </cfRule>
  </conditionalFormatting>
  <conditionalFormatting sqref="A8:S18">
    <cfRule type="expression" dxfId="2" priority="2">
      <formula>$B8=""</formula>
    </cfRule>
  </conditionalFormatting>
  <conditionalFormatting sqref="P8:S18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7A998429-C694-4AB0-BF52-791ABCB93F08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7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50" bestFit="1" customWidth="1"/>
    <col min="2" max="2" width="11.7109375" style="150" hidden="1" customWidth="1"/>
    <col min="3" max="4" width="11" style="152" customWidth="1"/>
    <col min="5" max="5" width="11" style="153" customWidth="1"/>
    <col min="6" max="16384" width="8.85546875" style="150"/>
  </cols>
  <sheetData>
    <row r="1" spans="1:5" ht="19.5" thickBot="1" x14ac:dyDescent="0.35">
      <c r="A1" s="329" t="s">
        <v>120</v>
      </c>
      <c r="B1" s="329"/>
      <c r="C1" s="330"/>
      <c r="D1" s="330"/>
      <c r="E1" s="330"/>
    </row>
    <row r="2" spans="1:5" ht="14.45" customHeight="1" thickBot="1" x14ac:dyDescent="0.25">
      <c r="A2" s="232" t="s">
        <v>270</v>
      </c>
      <c r="B2" s="151"/>
    </row>
    <row r="3" spans="1:5" ht="14.45" customHeight="1" thickBot="1" x14ac:dyDescent="0.25">
      <c r="A3" s="154"/>
      <c r="C3" s="155" t="s">
        <v>106</v>
      </c>
      <c r="D3" s="156" t="s">
        <v>72</v>
      </c>
      <c r="E3" s="157" t="s">
        <v>74</v>
      </c>
    </row>
    <row r="4" spans="1:5" ht="14.45" customHeight="1" thickBot="1" x14ac:dyDescent="0.2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9430.5936925430287</v>
      </c>
      <c r="D4" s="160">
        <f ca="1">IF(ISERROR(VLOOKUP("Náklady celkem",INDIRECT("HI!$A:$G"),5,0)),0,VLOOKUP("Náklady celkem",INDIRECT("HI!$A:$G"),5,0))</f>
        <v>10278.979599999999</v>
      </c>
      <c r="E4" s="161">
        <f ca="1">IF(C4=0,0,D4/C4)</f>
        <v>1.0899610284480612</v>
      </c>
    </row>
    <row r="5" spans="1:5" ht="14.45" customHeight="1" x14ac:dyDescent="0.2">
      <c r="A5" s="162" t="s">
        <v>152</v>
      </c>
      <c r="B5" s="163"/>
      <c r="C5" s="164"/>
      <c r="D5" s="164"/>
      <c r="E5" s="165"/>
    </row>
    <row r="6" spans="1:5" ht="14.45" customHeight="1" x14ac:dyDescent="0.2">
      <c r="A6" s="166" t="s">
        <v>157</v>
      </c>
      <c r="B6" s="167"/>
      <c r="C6" s="168"/>
      <c r="D6" s="168"/>
      <c r="E6" s="165"/>
    </row>
    <row r="7" spans="1:5" ht="14.45" customHeight="1" x14ac:dyDescent="0.25">
      <c r="A7" s="2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836.24454687499997</v>
      </c>
      <c r="D7" s="168">
        <f>IF(ISERROR(HI!E5),"",HI!E5)</f>
        <v>953.11535000000003</v>
      </c>
      <c r="E7" s="165">
        <f t="shared" ref="E7:E15" si="0">IF(C7=0,0,D7/C7)</f>
        <v>1.1397567297290485</v>
      </c>
    </row>
    <row r="8" spans="1:5" ht="14.45" customHeight="1" x14ac:dyDescent="0.25">
      <c r="A8" s="257" t="str">
        <f>HYPERLINK("#'LŽ PL'!A1","Plnění pozitivního listu (min. 90%)")</f>
        <v>Plnění pozitivního listu (min. 90%)</v>
      </c>
      <c r="B8" s="167" t="s">
        <v>144</v>
      </c>
      <c r="C8" s="169">
        <v>0.9</v>
      </c>
      <c r="D8" s="169">
        <f>IF(ISERROR(VLOOKUP("celkem",'LŽ PL'!$A:$F,5,0)),0,VLOOKUP("celkem",'LŽ PL'!$A:$F,5,0))</f>
        <v>1</v>
      </c>
      <c r="E8" s="165">
        <f t="shared" si="0"/>
        <v>1.1111111111111112</v>
      </c>
    </row>
    <row r="9" spans="1:5" ht="14.45" customHeight="1" x14ac:dyDescent="0.25">
      <c r="A9" s="257" t="str">
        <f>HYPERLINK("#'LŽ Statim'!A1","Podíl statimových žádanek (max. 30%)")</f>
        <v>Podíl statimových žádanek (max. 30%)</v>
      </c>
      <c r="B9" s="255" t="s">
        <v>206</v>
      </c>
      <c r="C9" s="256">
        <v>0.3</v>
      </c>
      <c r="D9" s="256">
        <f>IF('LŽ Statim'!G3="",0,'LŽ Statim'!G3)</f>
        <v>0</v>
      </c>
      <c r="E9" s="165">
        <f>IF(C9=0,0,D9/C9)</f>
        <v>0</v>
      </c>
    </row>
    <row r="10" spans="1:5" ht="14.45" customHeight="1" x14ac:dyDescent="0.2">
      <c r="A10" s="170" t="s">
        <v>153</v>
      </c>
      <c r="B10" s="167"/>
      <c r="C10" s="168"/>
      <c r="D10" s="168"/>
      <c r="E10" s="165"/>
    </row>
    <row r="11" spans="1:5" ht="14.45" customHeight="1" x14ac:dyDescent="0.25">
      <c r="A11" s="257" t="str">
        <f>HYPERLINK("#'Léky Recepty'!A1","Záchyt v lékárně (Úhrada Kč, min. 60%)")</f>
        <v>Záchyt v lékárně (Úhrada Kč, min. 60%)</v>
      </c>
      <c r="B11" s="167" t="s">
        <v>115</v>
      </c>
      <c r="C11" s="169">
        <v>0.6</v>
      </c>
      <c r="D11" s="169">
        <f>IF(ISERROR(VLOOKUP("Celkem",'Léky Recepty'!B:H,5,0)),0,VLOOKUP("Celkem",'Léky Recepty'!B:H,5,0))</f>
        <v>0.85856384347922132</v>
      </c>
      <c r="E11" s="165">
        <f t="shared" si="0"/>
        <v>1.4309397391320355</v>
      </c>
    </row>
    <row r="12" spans="1:5" ht="14.45" customHeight="1" x14ac:dyDescent="0.25">
      <c r="A12" s="257" t="str">
        <f>HYPERLINK("#'LRp PL'!A1","Plnění pozitivního listu (min. 80%)")</f>
        <v>Plnění pozitivního listu (min. 80%)</v>
      </c>
      <c r="B12" s="167" t="s">
        <v>145</v>
      </c>
      <c r="C12" s="169">
        <v>0.8</v>
      </c>
      <c r="D12" s="169">
        <f>IF(ISERROR(VLOOKUP("Celkem",'LRp PL'!A:F,5,0)),0,VLOOKUP("Celkem",'LRp PL'!A:F,5,0))</f>
        <v>0.68398328956488019</v>
      </c>
      <c r="E12" s="165">
        <f t="shared" si="0"/>
        <v>0.85497911195610021</v>
      </c>
    </row>
    <row r="13" spans="1:5" ht="14.45" customHeight="1" x14ac:dyDescent="0.2">
      <c r="A13" s="170" t="s">
        <v>154</v>
      </c>
      <c r="B13" s="167"/>
      <c r="C13" s="168"/>
      <c r="D13" s="168"/>
      <c r="E13" s="165"/>
    </row>
    <row r="14" spans="1:5" ht="14.45" customHeight="1" x14ac:dyDescent="0.2">
      <c r="A14" s="171" t="s">
        <v>158</v>
      </c>
      <c r="B14" s="167"/>
      <c r="C14" s="164"/>
      <c r="D14" s="164"/>
      <c r="E14" s="165"/>
    </row>
    <row r="15" spans="1:5" ht="14.45" customHeight="1" x14ac:dyDescent="0.2">
      <c r="A15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7" t="s">
        <v>110</v>
      </c>
      <c r="C15" s="168">
        <f>IF(ISERROR(HI!F6),"",HI!F6)</f>
        <v>69.749999694824226</v>
      </c>
      <c r="D15" s="168">
        <f>IF(ISERROR(HI!E6),"",HI!E6)</f>
        <v>63.788689999999988</v>
      </c>
      <c r="E15" s="165">
        <f t="shared" si="0"/>
        <v>0.91453319396549626</v>
      </c>
    </row>
    <row r="16" spans="1:5" ht="14.45" customHeight="1" thickBot="1" x14ac:dyDescent="0.25">
      <c r="A16" s="173" t="str">
        <f>HYPERLINK("#HI!A1","Osobní náklady")</f>
        <v>Osobní náklady</v>
      </c>
      <c r="B16" s="167"/>
      <c r="C16" s="164">
        <f ca="1">IF(ISERROR(VLOOKUP("Osobní náklady (Kč) *",INDIRECT("HI!$A:$G"),6,0)),0,VLOOKUP("Osobní náklady (Kč) *",INDIRECT("HI!$A:$G"),6,0))</f>
        <v>6958.4472734374995</v>
      </c>
      <c r="D16" s="164">
        <f ca="1">IF(ISERROR(VLOOKUP("Osobní náklady (Kč) *",INDIRECT("HI!$A:$G"),5,0)),0,VLOOKUP("Osobní náklady (Kč) *",INDIRECT("HI!$A:$G"),5,0))</f>
        <v>7663.9858300000005</v>
      </c>
      <c r="E16" s="165">
        <f ca="1">IF(C16=0,0,D16/C16)</f>
        <v>1.1013931023456562</v>
      </c>
    </row>
    <row r="17" spans="1:5" ht="14.45" customHeight="1" thickBot="1" x14ac:dyDescent="0.25">
      <c r="A17" s="177"/>
      <c r="B17" s="178"/>
      <c r="C17" s="179"/>
      <c r="D17" s="179"/>
      <c r="E17" s="180"/>
    </row>
    <row r="18" spans="1:5" ht="14.45" customHeight="1" thickBot="1" x14ac:dyDescent="0.25">
      <c r="A18" s="181" t="str">
        <f>HYPERLINK("#HI!A1","VÝNOSY CELKEM (v tisících)")</f>
        <v>VÝNOSY CELKEM (v tisících)</v>
      </c>
      <c r="B18" s="182"/>
      <c r="C18" s="183">
        <f ca="1">IF(ISERROR(VLOOKUP("Výnosy celkem",INDIRECT("HI!$A:$G"),6,0)),0,VLOOKUP("Výnosy celkem",INDIRECT("HI!$A:$G"),6,0))</f>
        <v>1923.5743399999999</v>
      </c>
      <c r="D18" s="183">
        <f ca="1">IF(ISERROR(VLOOKUP("Výnosy celkem",INDIRECT("HI!$A:$G"),5,0)),0,VLOOKUP("Výnosy celkem",INDIRECT("HI!$A:$G"),5,0))</f>
        <v>2107.14066</v>
      </c>
      <c r="E18" s="184">
        <f t="shared" ref="E18:E23" ca="1" si="1">IF(C18=0,0,D18/C18)</f>
        <v>1.0954298028325749</v>
      </c>
    </row>
    <row r="19" spans="1:5" ht="14.45" customHeight="1" x14ac:dyDescent="0.2">
      <c r="A19" s="185" t="str">
        <f>HYPERLINK("#HI!A1","Ambulance (body za výkony + Kč za ZUM a ZULP)")</f>
        <v>Ambulance (body za výkony + Kč za ZUM a ZULP)</v>
      </c>
      <c r="B19" s="163"/>
      <c r="C19" s="164">
        <f ca="1">IF(ISERROR(VLOOKUP("Ambulance *",INDIRECT("HI!$A:$G"),6,0)),0,VLOOKUP("Ambulance *",INDIRECT("HI!$A:$G"),6,0))</f>
        <v>1923.5743399999999</v>
      </c>
      <c r="D19" s="164">
        <f ca="1">IF(ISERROR(VLOOKUP("Ambulance *",INDIRECT("HI!$A:$G"),5,0)),0,VLOOKUP("Ambulance *",INDIRECT("HI!$A:$G"),5,0))</f>
        <v>2107.14066</v>
      </c>
      <c r="E19" s="165">
        <f t="shared" ca="1" si="1"/>
        <v>1.0954298028325749</v>
      </c>
    </row>
    <row r="20" spans="1:5" ht="14.45" customHeight="1" x14ac:dyDescent="0.25">
      <c r="A20" s="264" t="str">
        <f>HYPERLINK("#'ZV Vykáz.-A'!A1","Zdravotní výkony vykázané u ambulantních pacientů (min. 100 % 2016)")</f>
        <v>Zdravotní výkony vykázané u ambulantních pacientů (min. 100 % 2016)</v>
      </c>
      <c r="B20" s="265" t="s">
        <v>122</v>
      </c>
      <c r="C20" s="169">
        <v>1</v>
      </c>
      <c r="D20" s="169">
        <f>IF(ISERROR(VLOOKUP("Celkem:",'ZV Vykáz.-A'!$A:$AB,10,0)),"",VLOOKUP("Celkem:",'ZV Vykáz.-A'!$A:$AB,10,0))</f>
        <v>1.0954298028325749</v>
      </c>
      <c r="E20" s="165">
        <f t="shared" si="1"/>
        <v>1.0954298028325749</v>
      </c>
    </row>
    <row r="21" spans="1:5" ht="14.45" customHeight="1" x14ac:dyDescent="0.25">
      <c r="A21" s="263" t="str">
        <f>HYPERLINK("#'ZV Vykáz.-A'!A1","Specializovaná ambulantní péče")</f>
        <v>Specializovaná ambulantní péče</v>
      </c>
      <c r="B21" s="265" t="s">
        <v>122</v>
      </c>
      <c r="C21" s="169">
        <v>1</v>
      </c>
      <c r="D21" s="256">
        <f>IF(ISERROR(VLOOKUP("Specializovaná ambulantní péče",'ZV Vykáz.-A'!$A:$AB,10,0)),"",VLOOKUP("Specializovaná ambulantní péče",'ZV Vykáz.-A'!$A:$AB,10,0))</f>
        <v>1.0954298028325746</v>
      </c>
      <c r="E21" s="165">
        <f t="shared" si="1"/>
        <v>1.0954298028325746</v>
      </c>
    </row>
    <row r="22" spans="1:5" ht="14.45" customHeight="1" x14ac:dyDescent="0.25">
      <c r="A22" s="263" t="str">
        <f>HYPERLINK("#'ZV Vykáz.-A'!A1","Ambulantní péče ve vyjmenovaných odbornostech (§9)")</f>
        <v>Ambulantní péče ve vyjmenovaných odbornostech (§9)</v>
      </c>
      <c r="B22" s="265" t="s">
        <v>122</v>
      </c>
      <c r="C22" s="169">
        <v>1</v>
      </c>
      <c r="D22" s="256" t="str">
        <f>IF(ISERROR(VLOOKUP("Ambulantní péče ve vyjmenovaných odbornostech (§9) *",'ZV Vykáz.-A'!$A:$AB,10,0)),"",VLOOKUP("Ambulantní péče ve vyjmenovaných odbornostech (§9) *",'ZV Vykáz.-A'!$A:$AB,10,0))</f>
        <v/>
      </c>
      <c r="E22" s="165">
        <f>IF(OR(C22=0,D22=""),0,IF(C22="","",D22/C22))</f>
        <v>0</v>
      </c>
    </row>
    <row r="23" spans="1:5" ht="14.45" customHeight="1" x14ac:dyDescent="0.2">
      <c r="A23" s="186" t="str">
        <f>HYPERLINK("#'ZV Vykáz.-H'!A1","Zdravotní výkony vykázané u hospitalizovaných pacientů (max. 85 %)")</f>
        <v>Zdravotní výkony vykázané u hospitalizovaných pacientů (max. 85 %)</v>
      </c>
      <c r="B23" s="265" t="s">
        <v>124</v>
      </c>
      <c r="C23" s="169">
        <v>0.85</v>
      </c>
      <c r="D23" s="169">
        <f>IF(ISERROR(VLOOKUP("Celkem:",'ZV Vykáz.-H'!$A:$S,7,0)),"",VLOOKUP("Celkem:",'ZV Vykáz.-H'!$A:$S,7,0))</f>
        <v>0</v>
      </c>
      <c r="E23" s="165">
        <f t="shared" si="1"/>
        <v>0</v>
      </c>
    </row>
    <row r="24" spans="1:5" ht="14.45" customHeight="1" x14ac:dyDescent="0.2">
      <c r="A24" s="187" t="str">
        <f>HYPERLINK("#HI!A1","Hospitalizace (casemix * 30000)")</f>
        <v>Hospitalizace (casemix * 30000)</v>
      </c>
      <c r="B24" s="167"/>
      <c r="C24" s="164">
        <f ca="1">IF(ISERROR(VLOOKUP("Hospitalizace *",INDIRECT("HI!$A:$G"),6,0)),0,VLOOKUP("Hospitalizace *",INDIRECT("HI!$A:$G"),6,0))</f>
        <v>0</v>
      </c>
      <c r="D24" s="164">
        <f ca="1">IF(ISERROR(VLOOKUP("Hospitalizace *",INDIRECT("HI!$A:$G"),5,0)),0,VLOOKUP("Hospitalizace *",INDIRECT("HI!$A:$G"),5,0))</f>
        <v>0</v>
      </c>
      <c r="E24" s="165">
        <f ca="1">IF(C24=0,0,D24/C24)</f>
        <v>0</v>
      </c>
    </row>
    <row r="25" spans="1:5" ht="14.45" customHeight="1" thickBot="1" x14ac:dyDescent="0.25">
      <c r="A25" s="188" t="s">
        <v>155</v>
      </c>
      <c r="B25" s="174"/>
      <c r="C25" s="175"/>
      <c r="D25" s="175"/>
      <c r="E25" s="176"/>
    </row>
    <row r="26" spans="1:5" ht="14.45" customHeight="1" thickBot="1" x14ac:dyDescent="0.25">
      <c r="A26" s="189"/>
      <c r="B26" s="190"/>
      <c r="C26" s="191"/>
      <c r="D26" s="191"/>
      <c r="E26" s="192"/>
    </row>
    <row r="27" spans="1:5" ht="14.45" customHeight="1" thickBot="1" x14ac:dyDescent="0.25">
      <c r="A27" s="193" t="s">
        <v>156</v>
      </c>
      <c r="B27" s="194"/>
      <c r="C27" s="195"/>
      <c r="D27" s="195"/>
      <c r="E27" s="196"/>
    </row>
  </sheetData>
  <mergeCells count="1">
    <mergeCell ref="A1:E1"/>
  </mergeCells>
  <conditionalFormatting sqref="E5">
    <cfRule type="cellIs" dxfId="69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68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67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66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65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4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63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8 E8 E11:E12 E20:E21">
    <cfRule type="cellIs" dxfId="62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5 E22:E23">
    <cfRule type="cellIs" dxfId="61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9FB6CE5A-F105-4240-8DE9-E663619BF55F}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106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923</v>
      </c>
    </row>
    <row r="2" spans="1:19" x14ac:dyDescent="0.25">
      <c r="A2" s="232" t="s">
        <v>270</v>
      </c>
    </row>
    <row r="3" spans="1:19" x14ac:dyDescent="0.25">
      <c r="A3" s="324" t="s">
        <v>166</v>
      </c>
      <c r="B3" s="323">
        <v>2019</v>
      </c>
      <c r="C3" t="s">
        <v>246</v>
      </c>
      <c r="D3" t="s">
        <v>237</v>
      </c>
      <c r="E3" t="s">
        <v>235</v>
      </c>
      <c r="F3" t="s">
        <v>234</v>
      </c>
      <c r="G3" t="s">
        <v>233</v>
      </c>
      <c r="H3" t="s">
        <v>232</v>
      </c>
      <c r="I3" t="s">
        <v>231</v>
      </c>
      <c r="J3" t="s">
        <v>230</v>
      </c>
      <c r="K3" t="s">
        <v>229</v>
      </c>
      <c r="L3" t="s">
        <v>228</v>
      </c>
      <c r="M3" t="s">
        <v>227</v>
      </c>
      <c r="N3" t="s">
        <v>226</v>
      </c>
      <c r="O3" t="s">
        <v>225</v>
      </c>
      <c r="P3" t="s">
        <v>224</v>
      </c>
      <c r="Q3" t="s">
        <v>223</v>
      </c>
      <c r="R3" t="s">
        <v>222</v>
      </c>
      <c r="S3" t="s">
        <v>221</v>
      </c>
    </row>
    <row r="4" spans="1:19" x14ac:dyDescent="0.25">
      <c r="A4" s="322" t="s">
        <v>167</v>
      </c>
      <c r="B4" s="321">
        <v>1</v>
      </c>
      <c r="C4" s="316">
        <v>1</v>
      </c>
      <c r="D4" s="316" t="s">
        <v>218</v>
      </c>
      <c r="E4" s="315">
        <v>4.6500000000000004</v>
      </c>
      <c r="F4" s="315"/>
      <c r="G4" s="315"/>
      <c r="H4" s="315"/>
      <c r="I4" s="315">
        <v>776.4</v>
      </c>
      <c r="J4" s="315"/>
      <c r="K4" s="315"/>
      <c r="L4" s="315"/>
      <c r="M4" s="315"/>
      <c r="N4" s="315"/>
      <c r="O4" s="315"/>
      <c r="P4" s="315"/>
      <c r="Q4" s="315">
        <v>305383</v>
      </c>
      <c r="R4" s="315"/>
      <c r="S4" s="315">
        <v>1102.2727272727273</v>
      </c>
    </row>
    <row r="5" spans="1:19" x14ac:dyDescent="0.25">
      <c r="A5" s="320" t="s">
        <v>168</v>
      </c>
      <c r="B5" s="319">
        <v>2</v>
      </c>
      <c r="C5">
        <v>1</v>
      </c>
      <c r="D5">
        <v>99</v>
      </c>
      <c r="S5">
        <v>1102.2727272727273</v>
      </c>
    </row>
    <row r="6" spans="1:19" x14ac:dyDescent="0.25">
      <c r="A6" s="322" t="s">
        <v>169</v>
      </c>
      <c r="B6" s="321">
        <v>3</v>
      </c>
      <c r="C6">
        <v>1</v>
      </c>
      <c r="D6">
        <v>100</v>
      </c>
      <c r="E6">
        <v>0.5</v>
      </c>
      <c r="I6">
        <v>96</v>
      </c>
      <c r="Q6">
        <v>18030</v>
      </c>
    </row>
    <row r="7" spans="1:19" x14ac:dyDescent="0.25">
      <c r="A7" s="320" t="s">
        <v>170</v>
      </c>
      <c r="B7" s="319">
        <v>4</v>
      </c>
      <c r="C7">
        <v>1</v>
      </c>
      <c r="D7">
        <v>101</v>
      </c>
      <c r="E7">
        <v>4.1500000000000004</v>
      </c>
      <c r="I7">
        <v>680.4</v>
      </c>
      <c r="Q7">
        <v>287353</v>
      </c>
    </row>
    <row r="8" spans="1:19" x14ac:dyDescent="0.25">
      <c r="A8" s="322" t="s">
        <v>171</v>
      </c>
      <c r="B8" s="321">
        <v>5</v>
      </c>
      <c r="C8">
        <v>1</v>
      </c>
      <c r="D8" t="s">
        <v>912</v>
      </c>
      <c r="E8">
        <v>5.5</v>
      </c>
      <c r="I8">
        <v>944</v>
      </c>
      <c r="Q8">
        <v>208352</v>
      </c>
      <c r="S8">
        <v>166.66666666666666</v>
      </c>
    </row>
    <row r="9" spans="1:19" x14ac:dyDescent="0.25">
      <c r="A9" s="320" t="s">
        <v>172</v>
      </c>
      <c r="B9" s="319">
        <v>6</v>
      </c>
      <c r="C9">
        <v>1</v>
      </c>
      <c r="D9">
        <v>303</v>
      </c>
      <c r="E9">
        <v>1</v>
      </c>
      <c r="I9">
        <v>184</v>
      </c>
      <c r="Q9">
        <v>34450</v>
      </c>
      <c r="S9">
        <v>166.66666666666666</v>
      </c>
    </row>
    <row r="10" spans="1:19" x14ac:dyDescent="0.25">
      <c r="A10" s="322" t="s">
        <v>173</v>
      </c>
      <c r="B10" s="321">
        <v>7</v>
      </c>
      <c r="C10">
        <v>1</v>
      </c>
      <c r="D10">
        <v>304</v>
      </c>
      <c r="E10">
        <v>3</v>
      </c>
      <c r="I10">
        <v>504</v>
      </c>
      <c r="Q10">
        <v>110712</v>
      </c>
    </row>
    <row r="11" spans="1:19" x14ac:dyDescent="0.25">
      <c r="A11" s="320" t="s">
        <v>174</v>
      </c>
      <c r="B11" s="319">
        <v>8</v>
      </c>
      <c r="C11">
        <v>1</v>
      </c>
      <c r="D11">
        <v>305</v>
      </c>
      <c r="E11">
        <v>1</v>
      </c>
      <c r="I11">
        <v>176</v>
      </c>
      <c r="Q11">
        <v>49557</v>
      </c>
    </row>
    <row r="12" spans="1:19" x14ac:dyDescent="0.25">
      <c r="A12" s="322" t="s">
        <v>175</v>
      </c>
      <c r="B12" s="321">
        <v>9</v>
      </c>
      <c r="C12">
        <v>1</v>
      </c>
      <c r="D12">
        <v>424</v>
      </c>
      <c r="E12">
        <v>0.5</v>
      </c>
      <c r="I12">
        <v>80</v>
      </c>
      <c r="Q12">
        <v>13633</v>
      </c>
    </row>
    <row r="13" spans="1:19" x14ac:dyDescent="0.25">
      <c r="A13" s="320" t="s">
        <v>176</v>
      </c>
      <c r="B13" s="319">
        <v>10</v>
      </c>
      <c r="C13">
        <v>1</v>
      </c>
      <c r="D13" t="s">
        <v>913</v>
      </c>
      <c r="E13">
        <v>2</v>
      </c>
      <c r="I13">
        <v>336</v>
      </c>
      <c r="Q13">
        <v>57055</v>
      </c>
    </row>
    <row r="14" spans="1:19" x14ac:dyDescent="0.25">
      <c r="A14" s="322" t="s">
        <v>177</v>
      </c>
      <c r="B14" s="321">
        <v>11</v>
      </c>
      <c r="C14">
        <v>1</v>
      </c>
      <c r="D14">
        <v>30</v>
      </c>
      <c r="E14">
        <v>2</v>
      </c>
      <c r="I14">
        <v>336</v>
      </c>
      <c r="Q14">
        <v>57055</v>
      </c>
    </row>
    <row r="15" spans="1:19" x14ac:dyDescent="0.25">
      <c r="A15" s="320" t="s">
        <v>178</v>
      </c>
      <c r="B15" s="319">
        <v>12</v>
      </c>
      <c r="C15" t="s">
        <v>914</v>
      </c>
      <c r="E15">
        <v>12.15</v>
      </c>
      <c r="I15">
        <v>2056.4</v>
      </c>
      <c r="Q15">
        <v>570790</v>
      </c>
      <c r="S15">
        <v>1268.939393939394</v>
      </c>
    </row>
    <row r="16" spans="1:19" x14ac:dyDescent="0.25">
      <c r="A16" s="318" t="s">
        <v>166</v>
      </c>
      <c r="B16" s="317">
        <v>2019</v>
      </c>
      <c r="C16">
        <v>2</v>
      </c>
      <c r="D16" t="s">
        <v>218</v>
      </c>
      <c r="E16">
        <v>4.6500000000000004</v>
      </c>
      <c r="I16">
        <v>736</v>
      </c>
      <c r="Q16">
        <v>305179</v>
      </c>
      <c r="S16">
        <v>1102.2727272727273</v>
      </c>
    </row>
    <row r="17" spans="3:19" x14ac:dyDescent="0.25">
      <c r="C17">
        <v>2</v>
      </c>
      <c r="D17">
        <v>99</v>
      </c>
      <c r="S17">
        <v>1102.2727272727273</v>
      </c>
    </row>
    <row r="18" spans="3:19" x14ac:dyDescent="0.25">
      <c r="C18">
        <v>2</v>
      </c>
      <c r="D18">
        <v>100</v>
      </c>
      <c r="E18">
        <v>0.5</v>
      </c>
      <c r="I18">
        <v>80</v>
      </c>
      <c r="Q18">
        <v>18030</v>
      </c>
    </row>
    <row r="19" spans="3:19" x14ac:dyDescent="0.25">
      <c r="C19">
        <v>2</v>
      </c>
      <c r="D19">
        <v>101</v>
      </c>
      <c r="E19">
        <v>4.1500000000000004</v>
      </c>
      <c r="I19">
        <v>656</v>
      </c>
      <c r="Q19">
        <v>287149</v>
      </c>
    </row>
    <row r="20" spans="3:19" x14ac:dyDescent="0.25">
      <c r="C20">
        <v>2</v>
      </c>
      <c r="D20" t="s">
        <v>912</v>
      </c>
      <c r="E20">
        <v>5.5</v>
      </c>
      <c r="I20">
        <v>844</v>
      </c>
      <c r="Q20">
        <v>208201</v>
      </c>
      <c r="S20">
        <v>166.66666666666666</v>
      </c>
    </row>
    <row r="21" spans="3:19" x14ac:dyDescent="0.25">
      <c r="C21">
        <v>2</v>
      </c>
      <c r="D21">
        <v>303</v>
      </c>
      <c r="E21">
        <v>1</v>
      </c>
      <c r="I21">
        <v>136</v>
      </c>
      <c r="Q21">
        <v>34244</v>
      </c>
      <c r="S21">
        <v>166.66666666666666</v>
      </c>
    </row>
    <row r="22" spans="3:19" x14ac:dyDescent="0.25">
      <c r="C22">
        <v>2</v>
      </c>
      <c r="D22">
        <v>304</v>
      </c>
      <c r="E22">
        <v>3</v>
      </c>
      <c r="I22">
        <v>476</v>
      </c>
      <c r="Q22">
        <v>109827</v>
      </c>
    </row>
    <row r="23" spans="3:19" x14ac:dyDescent="0.25">
      <c r="C23">
        <v>2</v>
      </c>
      <c r="D23">
        <v>305</v>
      </c>
      <c r="E23">
        <v>1</v>
      </c>
      <c r="I23">
        <v>152</v>
      </c>
      <c r="Q23">
        <v>50490</v>
      </c>
    </row>
    <row r="24" spans="3:19" x14ac:dyDescent="0.25">
      <c r="C24">
        <v>2</v>
      </c>
      <c r="D24">
        <v>424</v>
      </c>
      <c r="E24">
        <v>0.5</v>
      </c>
      <c r="I24">
        <v>80</v>
      </c>
      <c r="Q24">
        <v>13640</v>
      </c>
    </row>
    <row r="25" spans="3:19" x14ac:dyDescent="0.25">
      <c r="C25">
        <v>2</v>
      </c>
      <c r="D25" t="s">
        <v>913</v>
      </c>
      <c r="E25">
        <v>2</v>
      </c>
      <c r="I25">
        <v>160</v>
      </c>
      <c r="Q25">
        <v>38228</v>
      </c>
    </row>
    <row r="26" spans="3:19" x14ac:dyDescent="0.25">
      <c r="C26">
        <v>2</v>
      </c>
      <c r="D26">
        <v>30</v>
      </c>
      <c r="E26">
        <v>2</v>
      </c>
      <c r="I26">
        <v>160</v>
      </c>
      <c r="Q26">
        <v>38228</v>
      </c>
    </row>
    <row r="27" spans="3:19" x14ac:dyDescent="0.25">
      <c r="C27" t="s">
        <v>915</v>
      </c>
      <c r="E27">
        <v>12.15</v>
      </c>
      <c r="I27">
        <v>1740</v>
      </c>
      <c r="Q27">
        <v>551608</v>
      </c>
      <c r="S27">
        <v>1268.939393939394</v>
      </c>
    </row>
    <row r="28" spans="3:19" x14ac:dyDescent="0.25">
      <c r="C28">
        <v>3</v>
      </c>
      <c r="D28" t="s">
        <v>218</v>
      </c>
      <c r="E28">
        <v>4.6500000000000004</v>
      </c>
      <c r="I28">
        <v>686</v>
      </c>
      <c r="O28">
        <v>102470</v>
      </c>
      <c r="P28">
        <v>102470</v>
      </c>
      <c r="Q28">
        <v>419565</v>
      </c>
      <c r="S28">
        <v>1102.2727272727273</v>
      </c>
    </row>
    <row r="29" spans="3:19" x14ac:dyDescent="0.25">
      <c r="C29">
        <v>3</v>
      </c>
      <c r="D29">
        <v>99</v>
      </c>
      <c r="S29">
        <v>1102.2727272727273</v>
      </c>
    </row>
    <row r="30" spans="3:19" x14ac:dyDescent="0.25">
      <c r="C30">
        <v>3</v>
      </c>
      <c r="D30">
        <v>100</v>
      </c>
      <c r="E30">
        <v>0.5</v>
      </c>
      <c r="I30">
        <v>84</v>
      </c>
      <c r="Q30">
        <v>25030</v>
      </c>
    </row>
    <row r="31" spans="3:19" x14ac:dyDescent="0.25">
      <c r="C31">
        <v>3</v>
      </c>
      <c r="D31">
        <v>101</v>
      </c>
      <c r="E31">
        <v>4.1500000000000004</v>
      </c>
      <c r="I31">
        <v>602</v>
      </c>
      <c r="O31">
        <v>102470</v>
      </c>
      <c r="P31">
        <v>102470</v>
      </c>
      <c r="Q31">
        <v>394535</v>
      </c>
    </row>
    <row r="32" spans="3:19" x14ac:dyDescent="0.25">
      <c r="C32">
        <v>3</v>
      </c>
      <c r="D32" t="s">
        <v>912</v>
      </c>
      <c r="E32">
        <v>5.5</v>
      </c>
      <c r="I32">
        <v>868</v>
      </c>
      <c r="O32">
        <v>76000</v>
      </c>
      <c r="P32">
        <v>76000</v>
      </c>
      <c r="Q32">
        <v>284352</v>
      </c>
      <c r="S32">
        <v>166.66666666666666</v>
      </c>
    </row>
    <row r="33" spans="3:19" x14ac:dyDescent="0.25">
      <c r="C33">
        <v>3</v>
      </c>
      <c r="D33">
        <v>303</v>
      </c>
      <c r="E33">
        <v>1</v>
      </c>
      <c r="I33">
        <v>168</v>
      </c>
      <c r="O33">
        <v>25000</v>
      </c>
      <c r="P33">
        <v>25000</v>
      </c>
      <c r="Q33">
        <v>54450</v>
      </c>
      <c r="S33">
        <v>166.66666666666666</v>
      </c>
    </row>
    <row r="34" spans="3:19" x14ac:dyDescent="0.25">
      <c r="C34">
        <v>3</v>
      </c>
      <c r="D34">
        <v>304</v>
      </c>
      <c r="E34">
        <v>3</v>
      </c>
      <c r="I34">
        <v>468</v>
      </c>
      <c r="O34">
        <v>36000</v>
      </c>
      <c r="P34">
        <v>36000</v>
      </c>
      <c r="Q34">
        <v>145828</v>
      </c>
    </row>
    <row r="35" spans="3:19" x14ac:dyDescent="0.25">
      <c r="C35">
        <v>3</v>
      </c>
      <c r="D35">
        <v>305</v>
      </c>
      <c r="E35">
        <v>1</v>
      </c>
      <c r="I35">
        <v>160</v>
      </c>
      <c r="O35">
        <v>15000</v>
      </c>
      <c r="P35">
        <v>15000</v>
      </c>
      <c r="Q35">
        <v>65610</v>
      </c>
    </row>
    <row r="36" spans="3:19" x14ac:dyDescent="0.25">
      <c r="C36">
        <v>3</v>
      </c>
      <c r="D36">
        <v>424</v>
      </c>
      <c r="E36">
        <v>0.5</v>
      </c>
      <c r="I36">
        <v>72</v>
      </c>
      <c r="Q36">
        <v>18464</v>
      </c>
    </row>
    <row r="37" spans="3:19" x14ac:dyDescent="0.25">
      <c r="C37">
        <v>3</v>
      </c>
      <c r="D37" t="s">
        <v>913</v>
      </c>
      <c r="E37">
        <v>2</v>
      </c>
      <c r="I37">
        <v>168</v>
      </c>
      <c r="O37">
        <v>30600</v>
      </c>
      <c r="P37">
        <v>30600</v>
      </c>
      <c r="Q37">
        <v>59361</v>
      </c>
    </row>
    <row r="38" spans="3:19" x14ac:dyDescent="0.25">
      <c r="C38">
        <v>3</v>
      </c>
      <c r="D38">
        <v>30</v>
      </c>
      <c r="E38">
        <v>2</v>
      </c>
      <c r="I38">
        <v>168</v>
      </c>
      <c r="O38">
        <v>30600</v>
      </c>
      <c r="P38">
        <v>30600</v>
      </c>
      <c r="Q38">
        <v>59361</v>
      </c>
    </row>
    <row r="39" spans="3:19" x14ac:dyDescent="0.25">
      <c r="C39" t="s">
        <v>916</v>
      </c>
      <c r="E39">
        <v>12.15</v>
      </c>
      <c r="I39">
        <v>1722</v>
      </c>
      <c r="O39">
        <v>209070</v>
      </c>
      <c r="P39">
        <v>209070</v>
      </c>
      <c r="Q39">
        <v>763278</v>
      </c>
      <c r="S39">
        <v>1268.939393939394</v>
      </c>
    </row>
    <row r="40" spans="3:19" x14ac:dyDescent="0.25">
      <c r="C40">
        <v>4</v>
      </c>
      <c r="D40" t="s">
        <v>218</v>
      </c>
      <c r="E40">
        <v>4.6500000000000004</v>
      </c>
      <c r="I40">
        <v>738</v>
      </c>
      <c r="Q40">
        <v>311692</v>
      </c>
      <c r="S40">
        <v>1102.2727272727273</v>
      </c>
    </row>
    <row r="41" spans="3:19" x14ac:dyDescent="0.25">
      <c r="C41">
        <v>4</v>
      </c>
      <c r="D41">
        <v>99</v>
      </c>
      <c r="S41">
        <v>1102.2727272727273</v>
      </c>
    </row>
    <row r="42" spans="3:19" x14ac:dyDescent="0.25">
      <c r="C42">
        <v>4</v>
      </c>
      <c r="D42">
        <v>100</v>
      </c>
      <c r="E42">
        <v>0.5</v>
      </c>
      <c r="I42">
        <v>80</v>
      </c>
      <c r="Q42">
        <v>18030</v>
      </c>
    </row>
    <row r="43" spans="3:19" x14ac:dyDescent="0.25">
      <c r="C43">
        <v>4</v>
      </c>
      <c r="D43">
        <v>101</v>
      </c>
      <c r="E43">
        <v>4.1500000000000004</v>
      </c>
      <c r="I43">
        <v>658</v>
      </c>
      <c r="Q43">
        <v>293662</v>
      </c>
    </row>
    <row r="44" spans="3:19" x14ac:dyDescent="0.25">
      <c r="C44">
        <v>4</v>
      </c>
      <c r="D44" t="s">
        <v>912</v>
      </c>
      <c r="E44">
        <v>5.5</v>
      </c>
      <c r="I44">
        <v>876</v>
      </c>
      <c r="O44">
        <v>4600</v>
      </c>
      <c r="P44">
        <v>4600</v>
      </c>
      <c r="Q44">
        <v>217630</v>
      </c>
      <c r="S44">
        <v>166.66666666666666</v>
      </c>
    </row>
    <row r="45" spans="3:19" x14ac:dyDescent="0.25">
      <c r="C45">
        <v>4</v>
      </c>
      <c r="D45">
        <v>303</v>
      </c>
      <c r="E45">
        <v>1</v>
      </c>
      <c r="I45">
        <v>176</v>
      </c>
      <c r="O45">
        <v>1600</v>
      </c>
      <c r="P45">
        <v>1600</v>
      </c>
      <c r="Q45">
        <v>35550</v>
      </c>
      <c r="S45">
        <v>166.66666666666666</v>
      </c>
    </row>
    <row r="46" spans="3:19" x14ac:dyDescent="0.25">
      <c r="C46">
        <v>4</v>
      </c>
      <c r="D46">
        <v>304</v>
      </c>
      <c r="E46">
        <v>3</v>
      </c>
      <c r="I46">
        <v>468</v>
      </c>
      <c r="O46">
        <v>3000</v>
      </c>
      <c r="P46">
        <v>3000</v>
      </c>
      <c r="Q46">
        <v>115409</v>
      </c>
    </row>
    <row r="47" spans="3:19" x14ac:dyDescent="0.25">
      <c r="C47">
        <v>4</v>
      </c>
      <c r="D47">
        <v>305</v>
      </c>
      <c r="E47">
        <v>1</v>
      </c>
      <c r="I47">
        <v>144</v>
      </c>
      <c r="Q47">
        <v>52531</v>
      </c>
    </row>
    <row r="48" spans="3:19" x14ac:dyDescent="0.25">
      <c r="C48">
        <v>4</v>
      </c>
      <c r="D48">
        <v>424</v>
      </c>
      <c r="E48">
        <v>0.5</v>
      </c>
      <c r="I48">
        <v>88</v>
      </c>
      <c r="Q48">
        <v>14140</v>
      </c>
    </row>
    <row r="49" spans="3:19" x14ac:dyDescent="0.25">
      <c r="C49">
        <v>4</v>
      </c>
      <c r="D49" t="s">
        <v>913</v>
      </c>
      <c r="E49">
        <v>2</v>
      </c>
      <c r="I49">
        <v>176</v>
      </c>
      <c r="O49">
        <v>6000</v>
      </c>
      <c r="P49">
        <v>6000</v>
      </c>
      <c r="Q49">
        <v>34010</v>
      </c>
    </row>
    <row r="50" spans="3:19" x14ac:dyDescent="0.25">
      <c r="C50">
        <v>4</v>
      </c>
      <c r="D50">
        <v>30</v>
      </c>
      <c r="E50">
        <v>2</v>
      </c>
      <c r="I50">
        <v>176</v>
      </c>
      <c r="O50">
        <v>6000</v>
      </c>
      <c r="P50">
        <v>6000</v>
      </c>
      <c r="Q50">
        <v>34010</v>
      </c>
    </row>
    <row r="51" spans="3:19" x14ac:dyDescent="0.25">
      <c r="C51" t="s">
        <v>917</v>
      </c>
      <c r="E51">
        <v>12.15</v>
      </c>
      <c r="I51">
        <v>1790</v>
      </c>
      <c r="O51">
        <v>10600</v>
      </c>
      <c r="P51">
        <v>10600</v>
      </c>
      <c r="Q51">
        <v>563332</v>
      </c>
      <c r="S51">
        <v>1268.939393939394</v>
      </c>
    </row>
    <row r="52" spans="3:19" x14ac:dyDescent="0.25">
      <c r="C52">
        <v>5</v>
      </c>
      <c r="D52" t="s">
        <v>218</v>
      </c>
      <c r="E52">
        <v>4.6500000000000004</v>
      </c>
      <c r="I52">
        <v>760</v>
      </c>
      <c r="Q52">
        <v>312763</v>
      </c>
      <c r="S52">
        <v>1102.2727272727273</v>
      </c>
    </row>
    <row r="53" spans="3:19" x14ac:dyDescent="0.25">
      <c r="C53">
        <v>5</v>
      </c>
      <c r="D53">
        <v>99</v>
      </c>
      <c r="S53">
        <v>1102.2727272727273</v>
      </c>
    </row>
    <row r="54" spans="3:19" x14ac:dyDescent="0.25">
      <c r="C54">
        <v>5</v>
      </c>
      <c r="D54">
        <v>100</v>
      </c>
      <c r="E54">
        <v>0.5</v>
      </c>
      <c r="I54">
        <v>68</v>
      </c>
      <c r="Q54">
        <v>19780</v>
      </c>
    </row>
    <row r="55" spans="3:19" x14ac:dyDescent="0.25">
      <c r="C55">
        <v>5</v>
      </c>
      <c r="D55">
        <v>101</v>
      </c>
      <c r="E55">
        <v>4.1500000000000004</v>
      </c>
      <c r="I55">
        <v>692</v>
      </c>
      <c r="Q55">
        <v>292983</v>
      </c>
    </row>
    <row r="56" spans="3:19" x14ac:dyDescent="0.25">
      <c r="C56">
        <v>5</v>
      </c>
      <c r="D56" t="s">
        <v>912</v>
      </c>
      <c r="E56">
        <v>5.5</v>
      </c>
      <c r="I56">
        <v>872</v>
      </c>
      <c r="Q56">
        <v>211180</v>
      </c>
      <c r="S56">
        <v>166.66666666666666</v>
      </c>
    </row>
    <row r="57" spans="3:19" x14ac:dyDescent="0.25">
      <c r="C57">
        <v>5</v>
      </c>
      <c r="D57">
        <v>303</v>
      </c>
      <c r="E57">
        <v>1</v>
      </c>
      <c r="I57">
        <v>152</v>
      </c>
      <c r="Q57">
        <v>36561</v>
      </c>
      <c r="S57">
        <v>166.66666666666666</v>
      </c>
    </row>
    <row r="58" spans="3:19" x14ac:dyDescent="0.25">
      <c r="C58">
        <v>5</v>
      </c>
      <c r="D58">
        <v>304</v>
      </c>
      <c r="E58">
        <v>3</v>
      </c>
      <c r="I58">
        <v>496</v>
      </c>
      <c r="Q58">
        <v>112805</v>
      </c>
    </row>
    <row r="59" spans="3:19" x14ac:dyDescent="0.25">
      <c r="C59">
        <v>5</v>
      </c>
      <c r="D59">
        <v>305</v>
      </c>
      <c r="E59">
        <v>1</v>
      </c>
      <c r="I59">
        <v>160</v>
      </c>
      <c r="Q59">
        <v>52325</v>
      </c>
    </row>
    <row r="60" spans="3:19" x14ac:dyDescent="0.25">
      <c r="C60">
        <v>5</v>
      </c>
      <c r="D60">
        <v>424</v>
      </c>
      <c r="E60">
        <v>0.5</v>
      </c>
      <c r="I60">
        <v>64</v>
      </c>
      <c r="Q60">
        <v>9489</v>
      </c>
    </row>
    <row r="61" spans="3:19" x14ac:dyDescent="0.25">
      <c r="C61">
        <v>5</v>
      </c>
      <c r="D61" t="s">
        <v>913</v>
      </c>
      <c r="E61">
        <v>2</v>
      </c>
      <c r="I61">
        <v>348</v>
      </c>
      <c r="Q61">
        <v>57876</v>
      </c>
    </row>
    <row r="62" spans="3:19" x14ac:dyDescent="0.25">
      <c r="C62">
        <v>5</v>
      </c>
      <c r="D62">
        <v>30</v>
      </c>
      <c r="E62">
        <v>2</v>
      </c>
      <c r="I62">
        <v>348</v>
      </c>
      <c r="Q62">
        <v>57876</v>
      </c>
    </row>
    <row r="63" spans="3:19" x14ac:dyDescent="0.25">
      <c r="C63" t="s">
        <v>918</v>
      </c>
      <c r="E63">
        <v>12.15</v>
      </c>
      <c r="I63">
        <v>1980</v>
      </c>
      <c r="Q63">
        <v>581819</v>
      </c>
      <c r="S63">
        <v>1268.939393939394</v>
      </c>
    </row>
    <row r="64" spans="3:19" x14ac:dyDescent="0.25">
      <c r="C64">
        <v>6</v>
      </c>
      <c r="D64" t="s">
        <v>218</v>
      </c>
      <c r="E64">
        <v>4.6500000000000004</v>
      </c>
      <c r="I64">
        <v>738</v>
      </c>
      <c r="Q64">
        <v>309470</v>
      </c>
      <c r="S64">
        <v>1102.2727272727273</v>
      </c>
    </row>
    <row r="65" spans="3:19" x14ac:dyDescent="0.25">
      <c r="C65">
        <v>6</v>
      </c>
      <c r="D65">
        <v>99</v>
      </c>
      <c r="S65">
        <v>1102.2727272727273</v>
      </c>
    </row>
    <row r="66" spans="3:19" x14ac:dyDescent="0.25">
      <c r="C66">
        <v>6</v>
      </c>
      <c r="D66">
        <v>101</v>
      </c>
      <c r="E66">
        <v>4.6500000000000004</v>
      </c>
      <c r="I66">
        <v>738</v>
      </c>
      <c r="Q66">
        <v>309470</v>
      </c>
    </row>
    <row r="67" spans="3:19" x14ac:dyDescent="0.25">
      <c r="C67">
        <v>6</v>
      </c>
      <c r="D67" t="s">
        <v>912</v>
      </c>
      <c r="E67">
        <v>5.5</v>
      </c>
      <c r="I67">
        <v>792</v>
      </c>
      <c r="Q67">
        <v>211009</v>
      </c>
      <c r="S67">
        <v>166.66666666666666</v>
      </c>
    </row>
    <row r="68" spans="3:19" x14ac:dyDescent="0.25">
      <c r="C68">
        <v>6</v>
      </c>
      <c r="D68">
        <v>303</v>
      </c>
      <c r="E68">
        <v>1</v>
      </c>
      <c r="I68">
        <v>120</v>
      </c>
      <c r="Q68">
        <v>35966</v>
      </c>
      <c r="S68">
        <v>166.66666666666666</v>
      </c>
    </row>
    <row r="69" spans="3:19" x14ac:dyDescent="0.25">
      <c r="C69">
        <v>6</v>
      </c>
      <c r="D69">
        <v>304</v>
      </c>
      <c r="E69">
        <v>3</v>
      </c>
      <c r="I69">
        <v>432</v>
      </c>
      <c r="Q69">
        <v>110893</v>
      </c>
    </row>
    <row r="70" spans="3:19" x14ac:dyDescent="0.25">
      <c r="C70">
        <v>6</v>
      </c>
      <c r="D70">
        <v>305</v>
      </c>
      <c r="E70">
        <v>1</v>
      </c>
      <c r="I70">
        <v>160</v>
      </c>
      <c r="Q70">
        <v>50510</v>
      </c>
    </row>
    <row r="71" spans="3:19" x14ac:dyDescent="0.25">
      <c r="C71">
        <v>6</v>
      </c>
      <c r="D71">
        <v>424</v>
      </c>
      <c r="E71">
        <v>0.5</v>
      </c>
      <c r="I71">
        <v>80</v>
      </c>
      <c r="Q71">
        <v>13640</v>
      </c>
    </row>
    <row r="72" spans="3:19" x14ac:dyDescent="0.25">
      <c r="C72">
        <v>6</v>
      </c>
      <c r="D72" t="s">
        <v>913</v>
      </c>
      <c r="E72">
        <v>2</v>
      </c>
      <c r="I72">
        <v>280</v>
      </c>
      <c r="Q72">
        <v>57897</v>
      </c>
    </row>
    <row r="73" spans="3:19" x14ac:dyDescent="0.25">
      <c r="C73">
        <v>6</v>
      </c>
      <c r="D73">
        <v>30</v>
      </c>
      <c r="E73">
        <v>2</v>
      </c>
      <c r="I73">
        <v>280</v>
      </c>
      <c r="Q73">
        <v>57897</v>
      </c>
    </row>
    <row r="74" spans="3:19" x14ac:dyDescent="0.25">
      <c r="C74" t="s">
        <v>919</v>
      </c>
      <c r="E74">
        <v>12.15</v>
      </c>
      <c r="I74">
        <v>1810</v>
      </c>
      <c r="Q74">
        <v>578376</v>
      </c>
      <c r="S74">
        <v>1268.939393939394</v>
      </c>
    </row>
    <row r="75" spans="3:19" x14ac:dyDescent="0.25">
      <c r="C75">
        <v>7</v>
      </c>
      <c r="D75" t="s">
        <v>218</v>
      </c>
      <c r="E75">
        <v>4.6500000000000004</v>
      </c>
      <c r="I75">
        <v>594</v>
      </c>
      <c r="O75">
        <v>180855</v>
      </c>
      <c r="P75">
        <v>180855</v>
      </c>
      <c r="Q75">
        <v>534915</v>
      </c>
      <c r="S75">
        <v>1102.2727272727273</v>
      </c>
    </row>
    <row r="76" spans="3:19" x14ac:dyDescent="0.25">
      <c r="C76">
        <v>7</v>
      </c>
      <c r="D76">
        <v>99</v>
      </c>
      <c r="S76">
        <v>1102.2727272727273</v>
      </c>
    </row>
    <row r="77" spans="3:19" x14ac:dyDescent="0.25">
      <c r="C77">
        <v>7</v>
      </c>
      <c r="D77">
        <v>101</v>
      </c>
      <c r="E77">
        <v>4.6500000000000004</v>
      </c>
      <c r="I77">
        <v>594</v>
      </c>
      <c r="O77">
        <v>180855</v>
      </c>
      <c r="P77">
        <v>180855</v>
      </c>
      <c r="Q77">
        <v>534915</v>
      </c>
    </row>
    <row r="78" spans="3:19" x14ac:dyDescent="0.25">
      <c r="C78">
        <v>7</v>
      </c>
      <c r="D78" t="s">
        <v>912</v>
      </c>
      <c r="E78">
        <v>5.5</v>
      </c>
      <c r="I78">
        <v>844</v>
      </c>
      <c r="O78">
        <v>80841</v>
      </c>
      <c r="P78">
        <v>80841</v>
      </c>
      <c r="Q78">
        <v>292979</v>
      </c>
      <c r="S78">
        <v>166.66666666666666</v>
      </c>
    </row>
    <row r="79" spans="3:19" x14ac:dyDescent="0.25">
      <c r="C79">
        <v>7</v>
      </c>
      <c r="D79">
        <v>303</v>
      </c>
      <c r="E79">
        <v>1</v>
      </c>
      <c r="I79">
        <v>184</v>
      </c>
      <c r="O79">
        <v>16685</v>
      </c>
      <c r="P79">
        <v>16685</v>
      </c>
      <c r="Q79">
        <v>46452</v>
      </c>
      <c r="S79">
        <v>166.66666666666666</v>
      </c>
    </row>
    <row r="80" spans="3:19" x14ac:dyDescent="0.25">
      <c r="C80">
        <v>7</v>
      </c>
      <c r="D80">
        <v>304</v>
      </c>
      <c r="E80">
        <v>3</v>
      </c>
      <c r="I80">
        <v>432</v>
      </c>
      <c r="O80">
        <v>36154</v>
      </c>
      <c r="P80">
        <v>36154</v>
      </c>
      <c r="Q80">
        <v>148960</v>
      </c>
    </row>
    <row r="81" spans="3:19" x14ac:dyDescent="0.25">
      <c r="C81">
        <v>7</v>
      </c>
      <c r="D81">
        <v>305</v>
      </c>
      <c r="E81">
        <v>1</v>
      </c>
      <c r="I81">
        <v>160</v>
      </c>
      <c r="O81">
        <v>28002</v>
      </c>
      <c r="P81">
        <v>28002</v>
      </c>
      <c r="Q81">
        <v>78946</v>
      </c>
    </row>
    <row r="82" spans="3:19" x14ac:dyDescent="0.25">
      <c r="C82">
        <v>7</v>
      </c>
      <c r="D82">
        <v>424</v>
      </c>
      <c r="E82">
        <v>0.5</v>
      </c>
      <c r="I82">
        <v>68</v>
      </c>
      <c r="Q82">
        <v>18621</v>
      </c>
    </row>
    <row r="83" spans="3:19" x14ac:dyDescent="0.25">
      <c r="C83">
        <v>7</v>
      </c>
      <c r="D83" t="s">
        <v>913</v>
      </c>
      <c r="E83">
        <v>2</v>
      </c>
      <c r="I83">
        <v>312</v>
      </c>
      <c r="O83">
        <v>14892</v>
      </c>
      <c r="P83">
        <v>14892</v>
      </c>
      <c r="Q83">
        <v>72327</v>
      </c>
    </row>
    <row r="84" spans="3:19" x14ac:dyDescent="0.25">
      <c r="C84">
        <v>7</v>
      </c>
      <c r="D84">
        <v>30</v>
      </c>
      <c r="E84">
        <v>2</v>
      </c>
      <c r="I84">
        <v>312</v>
      </c>
      <c r="O84">
        <v>14892</v>
      </c>
      <c r="P84">
        <v>14892</v>
      </c>
      <c r="Q84">
        <v>72327</v>
      </c>
    </row>
    <row r="85" spans="3:19" x14ac:dyDescent="0.25">
      <c r="C85" t="s">
        <v>920</v>
      </c>
      <c r="E85">
        <v>12.15</v>
      </c>
      <c r="I85">
        <v>1750</v>
      </c>
      <c r="O85">
        <v>276588</v>
      </c>
      <c r="P85">
        <v>276588</v>
      </c>
      <c r="Q85">
        <v>900221</v>
      </c>
      <c r="S85">
        <v>1268.939393939394</v>
      </c>
    </row>
    <row r="86" spans="3:19" x14ac:dyDescent="0.25">
      <c r="C86">
        <v>8</v>
      </c>
      <c r="D86" t="s">
        <v>218</v>
      </c>
      <c r="E86">
        <v>4.6500000000000004</v>
      </c>
      <c r="I86">
        <v>570</v>
      </c>
      <c r="Q86">
        <v>309693</v>
      </c>
      <c r="S86">
        <v>1102.2727272727273</v>
      </c>
    </row>
    <row r="87" spans="3:19" x14ac:dyDescent="0.25">
      <c r="C87">
        <v>8</v>
      </c>
      <c r="D87">
        <v>99</v>
      </c>
      <c r="S87">
        <v>1102.2727272727273</v>
      </c>
    </row>
    <row r="88" spans="3:19" x14ac:dyDescent="0.25">
      <c r="C88">
        <v>8</v>
      </c>
      <c r="D88">
        <v>101</v>
      </c>
      <c r="E88">
        <v>4.6500000000000004</v>
      </c>
      <c r="I88">
        <v>570</v>
      </c>
      <c r="Q88">
        <v>309693</v>
      </c>
    </row>
    <row r="89" spans="3:19" x14ac:dyDescent="0.25">
      <c r="C89">
        <v>8</v>
      </c>
      <c r="D89" t="s">
        <v>912</v>
      </c>
      <c r="E89">
        <v>5.5</v>
      </c>
      <c r="I89">
        <v>648</v>
      </c>
      <c r="Q89">
        <v>210898</v>
      </c>
      <c r="S89">
        <v>166.66666666666666</v>
      </c>
    </row>
    <row r="90" spans="3:19" x14ac:dyDescent="0.25">
      <c r="C90">
        <v>8</v>
      </c>
      <c r="D90">
        <v>303</v>
      </c>
      <c r="E90">
        <v>1</v>
      </c>
      <c r="I90">
        <v>96</v>
      </c>
      <c r="Q90">
        <v>34835</v>
      </c>
      <c r="S90">
        <v>166.66666666666666</v>
      </c>
    </row>
    <row r="91" spans="3:19" x14ac:dyDescent="0.25">
      <c r="C91">
        <v>8</v>
      </c>
      <c r="D91">
        <v>304</v>
      </c>
      <c r="E91">
        <v>3</v>
      </c>
      <c r="I91">
        <v>384</v>
      </c>
      <c r="Q91">
        <v>111374</v>
      </c>
    </row>
    <row r="92" spans="3:19" x14ac:dyDescent="0.25">
      <c r="C92">
        <v>8</v>
      </c>
      <c r="D92">
        <v>305</v>
      </c>
      <c r="E92">
        <v>1</v>
      </c>
      <c r="I92">
        <v>120</v>
      </c>
      <c r="Q92">
        <v>50823</v>
      </c>
    </row>
    <row r="93" spans="3:19" x14ac:dyDescent="0.25">
      <c r="C93">
        <v>8</v>
      </c>
      <c r="D93">
        <v>424</v>
      </c>
      <c r="E93">
        <v>0.5</v>
      </c>
      <c r="I93">
        <v>48</v>
      </c>
      <c r="Q93">
        <v>13866</v>
      </c>
    </row>
    <row r="94" spans="3:19" x14ac:dyDescent="0.25">
      <c r="C94">
        <v>8</v>
      </c>
      <c r="D94" t="s">
        <v>913</v>
      </c>
      <c r="E94">
        <v>2</v>
      </c>
      <c r="I94">
        <v>192</v>
      </c>
      <c r="Q94">
        <v>57895</v>
      </c>
    </row>
    <row r="95" spans="3:19" x14ac:dyDescent="0.25">
      <c r="C95">
        <v>8</v>
      </c>
      <c r="D95">
        <v>30</v>
      </c>
      <c r="E95">
        <v>2</v>
      </c>
      <c r="I95">
        <v>192</v>
      </c>
      <c r="Q95">
        <v>57895</v>
      </c>
    </row>
    <row r="96" spans="3:19" x14ac:dyDescent="0.25">
      <c r="C96" t="s">
        <v>921</v>
      </c>
      <c r="E96">
        <v>12.15</v>
      </c>
      <c r="I96">
        <v>1410</v>
      </c>
      <c r="Q96">
        <v>578486</v>
      </c>
      <c r="S96">
        <v>1268.939393939394</v>
      </c>
    </row>
    <row r="97" spans="3:19" x14ac:dyDescent="0.25">
      <c r="C97">
        <v>9</v>
      </c>
      <c r="D97" t="s">
        <v>218</v>
      </c>
      <c r="E97">
        <v>4.6500000000000004</v>
      </c>
      <c r="I97">
        <v>694</v>
      </c>
      <c r="Q97">
        <v>308482</v>
      </c>
      <c r="S97">
        <v>1102.2727272727273</v>
      </c>
    </row>
    <row r="98" spans="3:19" x14ac:dyDescent="0.25">
      <c r="C98">
        <v>9</v>
      </c>
      <c r="D98">
        <v>99</v>
      </c>
      <c r="S98">
        <v>1102.2727272727273</v>
      </c>
    </row>
    <row r="99" spans="3:19" x14ac:dyDescent="0.25">
      <c r="C99">
        <v>9</v>
      </c>
      <c r="D99">
        <v>101</v>
      </c>
      <c r="E99">
        <v>4.6500000000000004</v>
      </c>
      <c r="I99">
        <v>694</v>
      </c>
      <c r="Q99">
        <v>308482</v>
      </c>
    </row>
    <row r="100" spans="3:19" x14ac:dyDescent="0.25">
      <c r="C100">
        <v>9</v>
      </c>
      <c r="D100" t="s">
        <v>912</v>
      </c>
      <c r="E100">
        <v>5</v>
      </c>
      <c r="I100">
        <v>824</v>
      </c>
      <c r="Q100">
        <v>196035</v>
      </c>
      <c r="S100">
        <v>166.66666666666666</v>
      </c>
    </row>
    <row r="101" spans="3:19" x14ac:dyDescent="0.25">
      <c r="C101">
        <v>9</v>
      </c>
      <c r="D101">
        <v>303</v>
      </c>
      <c r="E101">
        <v>1</v>
      </c>
      <c r="I101">
        <v>168</v>
      </c>
      <c r="Q101">
        <v>34450</v>
      </c>
      <c r="S101">
        <v>166.66666666666666</v>
      </c>
    </row>
    <row r="102" spans="3:19" x14ac:dyDescent="0.25">
      <c r="C102">
        <v>9</v>
      </c>
      <c r="D102">
        <v>304</v>
      </c>
      <c r="E102">
        <v>3</v>
      </c>
      <c r="I102">
        <v>488</v>
      </c>
      <c r="Q102">
        <v>111075</v>
      </c>
    </row>
    <row r="103" spans="3:19" x14ac:dyDescent="0.25">
      <c r="C103">
        <v>9</v>
      </c>
      <c r="D103">
        <v>305</v>
      </c>
      <c r="E103">
        <v>1</v>
      </c>
      <c r="I103">
        <v>168</v>
      </c>
      <c r="Q103">
        <v>50510</v>
      </c>
    </row>
    <row r="104" spans="3:19" x14ac:dyDescent="0.25">
      <c r="C104">
        <v>9</v>
      </c>
      <c r="D104" t="s">
        <v>913</v>
      </c>
      <c r="E104">
        <v>2</v>
      </c>
      <c r="I104">
        <v>276</v>
      </c>
      <c r="Q104">
        <v>47154</v>
      </c>
    </row>
    <row r="105" spans="3:19" x14ac:dyDescent="0.25">
      <c r="C105">
        <v>9</v>
      </c>
      <c r="D105">
        <v>30</v>
      </c>
      <c r="E105">
        <v>2</v>
      </c>
      <c r="I105">
        <v>276</v>
      </c>
      <c r="Q105">
        <v>47154</v>
      </c>
    </row>
    <row r="106" spans="3:19" x14ac:dyDescent="0.25">
      <c r="C106" t="s">
        <v>922</v>
      </c>
      <c r="E106">
        <v>11.65</v>
      </c>
      <c r="I106">
        <v>1794</v>
      </c>
      <c r="Q106">
        <v>551671</v>
      </c>
      <c r="S106">
        <v>1268.939393939394</v>
      </c>
    </row>
  </sheetData>
  <hyperlinks>
    <hyperlink ref="A2" location="Obsah!A1" display="Zpět na Obsah  KL 01  1.-4.měsíc" xr:uid="{A7B94873-448F-4798-955C-505A35F48034}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9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29" customWidth="1" collapsed="1"/>
    <col min="2" max="2" width="7.7109375" style="106" hidden="1" customWidth="1" outlineLevel="1"/>
    <col min="3" max="4" width="5.42578125" style="129" hidden="1" customWidth="1"/>
    <col min="5" max="5" width="7.7109375" style="106" customWidth="1"/>
    <col min="6" max="6" width="7.7109375" style="106" hidden="1" customWidth="1"/>
    <col min="7" max="7" width="5.42578125" style="129" hidden="1" customWidth="1"/>
    <col min="8" max="8" width="7.7109375" style="106" customWidth="1" collapsed="1"/>
    <col min="9" max="9" width="7.7109375" style="210" hidden="1" customWidth="1" outlineLevel="1"/>
    <col min="10" max="10" width="7.7109375" style="210" customWidth="1" collapsed="1"/>
    <col min="11" max="12" width="7.7109375" style="106" hidden="1" customWidth="1"/>
    <col min="13" max="13" width="5.42578125" style="129" hidden="1" customWidth="1"/>
    <col min="14" max="14" width="7.7109375" style="106" customWidth="1"/>
    <col min="15" max="15" width="7.7109375" style="106" hidden="1" customWidth="1"/>
    <col min="16" max="16" width="5.42578125" style="129" hidden="1" customWidth="1"/>
    <col min="17" max="17" width="7.7109375" style="106" customWidth="1" collapsed="1"/>
    <col min="18" max="18" width="7.7109375" style="210" hidden="1" customWidth="1" outlineLevel="1"/>
    <col min="19" max="19" width="7.7109375" style="210" customWidth="1" collapsed="1"/>
    <col min="20" max="21" width="7.7109375" style="106" hidden="1" customWidth="1"/>
    <col min="22" max="22" width="5" style="129" hidden="1" customWidth="1"/>
    <col min="23" max="23" width="7.7109375" style="106" customWidth="1"/>
    <col min="24" max="24" width="7.7109375" style="106" hidden="1" customWidth="1"/>
    <col min="25" max="25" width="5" style="129" hidden="1" customWidth="1"/>
    <col min="26" max="26" width="7.7109375" style="106" customWidth="1" collapsed="1"/>
    <col min="27" max="27" width="7.7109375" style="210" hidden="1" customWidth="1" outlineLevel="1"/>
    <col min="28" max="28" width="7.7109375" style="210" customWidth="1" collapsed="1"/>
    <col min="29" max="16384" width="8.85546875" style="129"/>
  </cols>
  <sheetData>
    <row r="1" spans="1:28" ht="18.600000000000001" customHeight="1" thickBot="1" x14ac:dyDescent="0.35">
      <c r="A1" s="438" t="s">
        <v>935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5" customHeight="1" thickBot="1" x14ac:dyDescent="0.25">
      <c r="A2" s="232" t="s">
        <v>270</v>
      </c>
      <c r="B2" s="111"/>
      <c r="C2" s="111"/>
      <c r="D2" s="111"/>
      <c r="E2" s="111"/>
      <c r="F2" s="111"/>
      <c r="G2" s="111"/>
      <c r="H2" s="111"/>
      <c r="I2" s="227"/>
      <c r="J2" s="227"/>
      <c r="K2" s="111"/>
      <c r="L2" s="111"/>
      <c r="M2" s="111"/>
      <c r="N2" s="111"/>
      <c r="O2" s="111"/>
      <c r="P2" s="111"/>
      <c r="Q2" s="111"/>
      <c r="R2" s="227"/>
      <c r="S2" s="227"/>
      <c r="T2" s="111"/>
      <c r="U2" s="111"/>
      <c r="V2" s="111"/>
      <c r="W2" s="111"/>
      <c r="X2" s="111"/>
      <c r="Y2" s="111"/>
      <c r="Z2" s="111"/>
      <c r="AA2" s="227"/>
      <c r="AB2" s="227"/>
    </row>
    <row r="3" spans="1:28" ht="14.45" customHeight="1" thickBot="1" x14ac:dyDescent="0.25">
      <c r="A3" s="220" t="s">
        <v>127</v>
      </c>
      <c r="B3" s="221">
        <f>SUBTOTAL(9,B6:B1048576)/4</f>
        <v>1996142.9900000002</v>
      </c>
      <c r="C3" s="222">
        <f t="shared" ref="C3:Z3" si="0">SUBTOTAL(9,C6:C1048576)</f>
        <v>6</v>
      </c>
      <c r="D3" s="222"/>
      <c r="E3" s="222">
        <f>SUBTOTAL(9,E6:E1048576)/4</f>
        <v>1923574.3399999999</v>
      </c>
      <c r="F3" s="222"/>
      <c r="G3" s="222">
        <f t="shared" si="0"/>
        <v>8</v>
      </c>
      <c r="H3" s="222">
        <f>SUBTOTAL(9,H6:H1048576)/4</f>
        <v>2107140.66</v>
      </c>
      <c r="I3" s="225">
        <f>IF(B3&lt;&gt;0,H3/B3,"")</f>
        <v>1.0556060715870861</v>
      </c>
      <c r="J3" s="223">
        <f>IF(E3&lt;&gt;0,H3/E3,"")</f>
        <v>1.0954298028325749</v>
      </c>
      <c r="K3" s="224">
        <f t="shared" si="0"/>
        <v>65970.62</v>
      </c>
      <c r="L3" s="224"/>
      <c r="M3" s="222">
        <f t="shared" si="0"/>
        <v>1.9947086443516593</v>
      </c>
      <c r="N3" s="222">
        <f t="shared" si="0"/>
        <v>66145.62</v>
      </c>
      <c r="O3" s="222"/>
      <c r="P3" s="222">
        <f t="shared" si="0"/>
        <v>2</v>
      </c>
      <c r="Q3" s="222">
        <f t="shared" si="0"/>
        <v>50462.620000000017</v>
      </c>
      <c r="R3" s="225">
        <f>IF(K3&lt;&gt;0,Q3/K3,"")</f>
        <v>0.76492565933138146</v>
      </c>
      <c r="S3" s="225">
        <f>IF(N3&lt;&gt;0,Q3/N3,"")</f>
        <v>0.76290191247734951</v>
      </c>
      <c r="T3" s="221">
        <f t="shared" si="0"/>
        <v>0</v>
      </c>
      <c r="U3" s="224"/>
      <c r="V3" s="222">
        <f t="shared" si="0"/>
        <v>0</v>
      </c>
      <c r="W3" s="222">
        <f t="shared" si="0"/>
        <v>0</v>
      </c>
      <c r="X3" s="222"/>
      <c r="Y3" s="222">
        <f t="shared" si="0"/>
        <v>0</v>
      </c>
      <c r="Z3" s="222">
        <f t="shared" si="0"/>
        <v>0</v>
      </c>
      <c r="AA3" s="225" t="str">
        <f>IF(T3&lt;&gt;0,Z3/T3,"")</f>
        <v/>
      </c>
      <c r="AB3" s="223" t="str">
        <f>IF(W3&lt;&gt;0,Z3/W3,"")</f>
        <v/>
      </c>
    </row>
    <row r="4" spans="1:28" ht="14.45" customHeight="1" x14ac:dyDescent="0.2">
      <c r="A4" s="439" t="s">
        <v>210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5" customHeight="1" thickBot="1" x14ac:dyDescent="0.25">
      <c r="A5" s="625"/>
      <c r="B5" s="626">
        <v>2015</v>
      </c>
      <c r="C5" s="627"/>
      <c r="D5" s="627"/>
      <c r="E5" s="627">
        <v>2018</v>
      </c>
      <c r="F5" s="627"/>
      <c r="G5" s="627"/>
      <c r="H5" s="627">
        <v>2019</v>
      </c>
      <c r="I5" s="628" t="s">
        <v>211</v>
      </c>
      <c r="J5" s="629" t="s">
        <v>2</v>
      </c>
      <c r="K5" s="626">
        <v>2015</v>
      </c>
      <c r="L5" s="627"/>
      <c r="M5" s="627"/>
      <c r="N5" s="627">
        <v>2018</v>
      </c>
      <c r="O5" s="627"/>
      <c r="P5" s="627"/>
      <c r="Q5" s="627">
        <v>2019</v>
      </c>
      <c r="R5" s="628" t="s">
        <v>211</v>
      </c>
      <c r="S5" s="629" t="s">
        <v>2</v>
      </c>
      <c r="T5" s="626">
        <v>2015</v>
      </c>
      <c r="U5" s="627"/>
      <c r="V5" s="627"/>
      <c r="W5" s="627">
        <v>2018</v>
      </c>
      <c r="X5" s="627"/>
      <c r="Y5" s="627"/>
      <c r="Z5" s="627">
        <v>2019</v>
      </c>
      <c r="AA5" s="628" t="s">
        <v>211</v>
      </c>
      <c r="AB5" s="629" t="s">
        <v>2</v>
      </c>
    </row>
    <row r="6" spans="1:28" ht="14.45" customHeight="1" x14ac:dyDescent="0.25">
      <c r="A6" s="630" t="s">
        <v>932</v>
      </c>
      <c r="B6" s="631">
        <v>1996142.9900000002</v>
      </c>
      <c r="C6" s="632">
        <v>1</v>
      </c>
      <c r="D6" s="632">
        <v>1.0377259399291012</v>
      </c>
      <c r="E6" s="631">
        <v>1923574.3399999999</v>
      </c>
      <c r="F6" s="632">
        <v>0.96364556529089118</v>
      </c>
      <c r="G6" s="632">
        <v>1</v>
      </c>
      <c r="H6" s="631">
        <v>2107140.6599999997</v>
      </c>
      <c r="I6" s="632">
        <v>1.0556060715870859</v>
      </c>
      <c r="J6" s="632">
        <v>1.0954298028325746</v>
      </c>
      <c r="K6" s="631">
        <v>32985.31</v>
      </c>
      <c r="L6" s="632">
        <v>1</v>
      </c>
      <c r="M6" s="632">
        <v>0.99735432217582964</v>
      </c>
      <c r="N6" s="631">
        <v>33072.81</v>
      </c>
      <c r="O6" s="632">
        <v>1.0026526960031601</v>
      </c>
      <c r="P6" s="632">
        <v>1</v>
      </c>
      <c r="Q6" s="631">
        <v>25231.310000000009</v>
      </c>
      <c r="R6" s="632">
        <v>0.76492565933138146</v>
      </c>
      <c r="S6" s="632">
        <v>0.76290191247734951</v>
      </c>
      <c r="T6" s="631"/>
      <c r="U6" s="632"/>
      <c r="V6" s="632"/>
      <c r="W6" s="631"/>
      <c r="X6" s="632"/>
      <c r="Y6" s="632"/>
      <c r="Z6" s="631"/>
      <c r="AA6" s="632"/>
      <c r="AB6" s="633"/>
    </row>
    <row r="7" spans="1:28" ht="14.45" customHeight="1" x14ac:dyDescent="0.25">
      <c r="A7" s="640" t="s">
        <v>933</v>
      </c>
      <c r="B7" s="634">
        <v>1927777.9900000002</v>
      </c>
      <c r="C7" s="635">
        <v>1</v>
      </c>
      <c r="D7" s="635">
        <v>1.0539297206183997</v>
      </c>
      <c r="E7" s="634">
        <v>1829133.3399999999</v>
      </c>
      <c r="F7" s="635">
        <v>0.94882987018645215</v>
      </c>
      <c r="G7" s="635">
        <v>1</v>
      </c>
      <c r="H7" s="634">
        <v>2026101.6599999997</v>
      </c>
      <c r="I7" s="635">
        <v>1.0510036272382171</v>
      </c>
      <c r="J7" s="635">
        <v>1.107683959224099</v>
      </c>
      <c r="K7" s="634">
        <v>32985.31</v>
      </c>
      <c r="L7" s="635">
        <v>1</v>
      </c>
      <c r="M7" s="635">
        <v>0.99735432217582964</v>
      </c>
      <c r="N7" s="634">
        <v>33072.81</v>
      </c>
      <c r="O7" s="635">
        <v>1.0026526960031601</v>
      </c>
      <c r="P7" s="635">
        <v>1</v>
      </c>
      <c r="Q7" s="634">
        <v>25231.310000000009</v>
      </c>
      <c r="R7" s="635">
        <v>0.76492565933138146</v>
      </c>
      <c r="S7" s="635">
        <v>0.76290191247734951</v>
      </c>
      <c r="T7" s="634"/>
      <c r="U7" s="635"/>
      <c r="V7" s="635"/>
      <c r="W7" s="634"/>
      <c r="X7" s="635"/>
      <c r="Y7" s="635"/>
      <c r="Z7" s="634"/>
      <c r="AA7" s="635"/>
      <c r="AB7" s="636"/>
    </row>
    <row r="8" spans="1:28" ht="14.45" customHeight="1" thickBot="1" x14ac:dyDescent="0.3">
      <c r="A8" s="641" t="s">
        <v>934</v>
      </c>
      <c r="B8" s="637">
        <v>68365</v>
      </c>
      <c r="C8" s="638">
        <v>1</v>
      </c>
      <c r="D8" s="638">
        <v>0.72389110661682954</v>
      </c>
      <c r="E8" s="637">
        <v>94441</v>
      </c>
      <c r="F8" s="638">
        <v>1.3814232428874424</v>
      </c>
      <c r="G8" s="638">
        <v>1</v>
      </c>
      <c r="H8" s="637">
        <v>81039</v>
      </c>
      <c r="I8" s="638">
        <v>1.1853872595626418</v>
      </c>
      <c r="J8" s="638">
        <v>0.85809129509429172</v>
      </c>
      <c r="K8" s="637"/>
      <c r="L8" s="638"/>
      <c r="M8" s="638"/>
      <c r="N8" s="637"/>
      <c r="O8" s="638"/>
      <c r="P8" s="638"/>
      <c r="Q8" s="637"/>
      <c r="R8" s="638"/>
      <c r="S8" s="638"/>
      <c r="T8" s="637"/>
      <c r="U8" s="638"/>
      <c r="V8" s="638"/>
      <c r="W8" s="637"/>
      <c r="X8" s="638"/>
      <c r="Y8" s="638"/>
      <c r="Z8" s="637"/>
      <c r="AA8" s="638"/>
      <c r="AB8" s="639"/>
    </row>
    <row r="9" spans="1:28" ht="14.45" customHeight="1" thickBot="1" x14ac:dyDescent="0.25"/>
    <row r="10" spans="1:28" ht="14.45" customHeight="1" x14ac:dyDescent="0.25">
      <c r="A10" s="630" t="s">
        <v>447</v>
      </c>
      <c r="B10" s="631">
        <v>1996142.9900000002</v>
      </c>
      <c r="C10" s="632">
        <v>1</v>
      </c>
      <c r="D10" s="632">
        <v>1.038932534982324</v>
      </c>
      <c r="E10" s="631">
        <v>1921340.3399999999</v>
      </c>
      <c r="F10" s="632">
        <v>0.96252640698850922</v>
      </c>
      <c r="G10" s="632">
        <v>1</v>
      </c>
      <c r="H10" s="631">
        <v>2106990.66</v>
      </c>
      <c r="I10" s="632">
        <v>1.0555309266697372</v>
      </c>
      <c r="J10" s="633">
        <v>1.0966254213972317</v>
      </c>
    </row>
    <row r="11" spans="1:28" ht="14.45" customHeight="1" x14ac:dyDescent="0.25">
      <c r="A11" s="640" t="s">
        <v>936</v>
      </c>
      <c r="B11" s="634">
        <v>290710.32999999996</v>
      </c>
      <c r="C11" s="635">
        <v>1</v>
      </c>
      <c r="D11" s="635">
        <v>1.0872200755551831</v>
      </c>
      <c r="E11" s="634">
        <v>267388.67000000004</v>
      </c>
      <c r="F11" s="635">
        <v>0.91977698212512804</v>
      </c>
      <c r="G11" s="635">
        <v>1</v>
      </c>
      <c r="H11" s="634">
        <v>335214.99</v>
      </c>
      <c r="I11" s="635">
        <v>1.1530893656238499</v>
      </c>
      <c r="J11" s="636">
        <v>1.25366190721544</v>
      </c>
    </row>
    <row r="12" spans="1:28" ht="14.45" customHeight="1" x14ac:dyDescent="0.25">
      <c r="A12" s="640" t="s">
        <v>937</v>
      </c>
      <c r="B12" s="634">
        <v>1705432.6600000001</v>
      </c>
      <c r="C12" s="635">
        <v>1</v>
      </c>
      <c r="D12" s="635">
        <v>1.0311260546083554</v>
      </c>
      <c r="E12" s="634">
        <v>1653951.6699999997</v>
      </c>
      <c r="F12" s="635">
        <v>0.96981353107193313</v>
      </c>
      <c r="G12" s="635">
        <v>1</v>
      </c>
      <c r="H12" s="634">
        <v>1771775.67</v>
      </c>
      <c r="I12" s="635">
        <v>1.0389009848093327</v>
      </c>
      <c r="J12" s="636">
        <v>1.071237873595182</v>
      </c>
    </row>
    <row r="13" spans="1:28" ht="14.45" customHeight="1" x14ac:dyDescent="0.25">
      <c r="A13" s="642" t="s">
        <v>452</v>
      </c>
      <c r="B13" s="643"/>
      <c r="C13" s="644"/>
      <c r="D13" s="644"/>
      <c r="E13" s="643">
        <v>2234</v>
      </c>
      <c r="F13" s="644"/>
      <c r="G13" s="644">
        <v>1</v>
      </c>
      <c r="H13" s="643">
        <v>150</v>
      </c>
      <c r="I13" s="644"/>
      <c r="J13" s="645">
        <v>6.714413607878246E-2</v>
      </c>
    </row>
    <row r="14" spans="1:28" ht="14.45" customHeight="1" x14ac:dyDescent="0.25">
      <c r="A14" s="640" t="s">
        <v>936</v>
      </c>
      <c r="B14" s="634"/>
      <c r="C14" s="635"/>
      <c r="D14" s="635"/>
      <c r="E14" s="634"/>
      <c r="F14" s="635"/>
      <c r="G14" s="635"/>
      <c r="H14" s="634">
        <v>150</v>
      </c>
      <c r="I14" s="635"/>
      <c r="J14" s="636"/>
    </row>
    <row r="15" spans="1:28" ht="14.45" customHeight="1" thickBot="1" x14ac:dyDescent="0.3">
      <c r="A15" s="641" t="s">
        <v>937</v>
      </c>
      <c r="B15" s="637"/>
      <c r="C15" s="638"/>
      <c r="D15" s="638"/>
      <c r="E15" s="637">
        <v>2234</v>
      </c>
      <c r="F15" s="638"/>
      <c r="G15" s="638">
        <v>1</v>
      </c>
      <c r="H15" s="637"/>
      <c r="I15" s="638"/>
      <c r="J15" s="639"/>
    </row>
    <row r="16" spans="1:28" ht="14.45" customHeight="1" x14ac:dyDescent="0.2">
      <c r="A16" s="565" t="s">
        <v>247</v>
      </c>
    </row>
    <row r="17" spans="1:1" ht="14.45" customHeight="1" x14ac:dyDescent="0.2">
      <c r="A17" s="566" t="s">
        <v>539</v>
      </c>
    </row>
    <row r="18" spans="1:1" ht="14.45" customHeight="1" x14ac:dyDescent="0.2">
      <c r="A18" s="565" t="s">
        <v>938</v>
      </c>
    </row>
    <row r="19" spans="1:1" ht="14.45" customHeight="1" x14ac:dyDescent="0.2">
      <c r="A19" s="565" t="s">
        <v>939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E7AD1C1B-4D0E-4757-8E5E-7626D9CDE6C1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16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29" bestFit="1" customWidth="1"/>
    <col min="2" max="2" width="7.7109375" style="207" hidden="1" customWidth="1" outlineLevel="1"/>
    <col min="3" max="3" width="7.7109375" style="207" customWidth="1" collapsed="1"/>
    <col min="4" max="4" width="7.7109375" style="207" customWidth="1"/>
    <col min="5" max="5" width="7.7109375" style="106" hidden="1" customWidth="1" outlineLevel="1"/>
    <col min="6" max="6" width="7.7109375" style="106" customWidth="1" collapsed="1"/>
    <col min="7" max="7" width="7.7109375" style="106" customWidth="1"/>
    <col min="8" max="16384" width="8.85546875" style="129"/>
  </cols>
  <sheetData>
    <row r="1" spans="1:7" ht="18.600000000000001" customHeight="1" thickBot="1" x14ac:dyDescent="0.35">
      <c r="A1" s="438" t="s">
        <v>943</v>
      </c>
      <c r="B1" s="329"/>
      <c r="C1" s="329"/>
      <c r="D1" s="329"/>
      <c r="E1" s="329"/>
      <c r="F1" s="329"/>
      <c r="G1" s="329"/>
    </row>
    <row r="2" spans="1:7" ht="14.45" customHeight="1" thickBot="1" x14ac:dyDescent="0.25">
      <c r="A2" s="232" t="s">
        <v>270</v>
      </c>
      <c r="B2" s="111"/>
      <c r="C2" s="111"/>
      <c r="D2" s="111"/>
      <c r="E2" s="111"/>
      <c r="F2" s="111"/>
      <c r="G2" s="111"/>
    </row>
    <row r="3" spans="1:7" ht="14.45" customHeight="1" thickBot="1" x14ac:dyDescent="0.25">
      <c r="A3" s="273" t="s">
        <v>127</v>
      </c>
      <c r="B3" s="259">
        <f t="shared" ref="B3:G3" si="0">SUBTOTAL(9,B6:B1048576)</f>
        <v>15284</v>
      </c>
      <c r="C3" s="260">
        <f t="shared" si="0"/>
        <v>14584</v>
      </c>
      <c r="D3" s="272">
        <f t="shared" si="0"/>
        <v>15826</v>
      </c>
      <c r="E3" s="224">
        <f t="shared" si="0"/>
        <v>1996142.99</v>
      </c>
      <c r="F3" s="222">
        <f t="shared" si="0"/>
        <v>1923574.34</v>
      </c>
      <c r="G3" s="261">
        <f t="shared" si="0"/>
        <v>2107140.66</v>
      </c>
    </row>
    <row r="4" spans="1:7" ht="14.45" customHeight="1" x14ac:dyDescent="0.2">
      <c r="A4" s="439" t="s">
        <v>135</v>
      </c>
      <c r="B4" s="444" t="s">
        <v>208</v>
      </c>
      <c r="C4" s="442"/>
      <c r="D4" s="445"/>
      <c r="E4" s="444" t="s">
        <v>98</v>
      </c>
      <c r="F4" s="442"/>
      <c r="G4" s="445"/>
    </row>
    <row r="5" spans="1:7" ht="14.45" customHeight="1" thickBot="1" x14ac:dyDescent="0.25">
      <c r="A5" s="625"/>
      <c r="B5" s="626">
        <v>2015</v>
      </c>
      <c r="C5" s="627">
        <v>2018</v>
      </c>
      <c r="D5" s="646">
        <v>2019</v>
      </c>
      <c r="E5" s="626">
        <v>2015</v>
      </c>
      <c r="F5" s="627">
        <v>2018</v>
      </c>
      <c r="G5" s="646">
        <v>2019</v>
      </c>
    </row>
    <row r="6" spans="1:7" ht="14.45" customHeight="1" x14ac:dyDescent="0.2">
      <c r="A6" s="616" t="s">
        <v>936</v>
      </c>
      <c r="B6" s="116">
        <v>2876</v>
      </c>
      <c r="C6" s="116">
        <v>2875</v>
      </c>
      <c r="D6" s="116">
        <v>3389</v>
      </c>
      <c r="E6" s="647">
        <v>290710.32999999996</v>
      </c>
      <c r="F6" s="647">
        <v>267388.67000000004</v>
      </c>
      <c r="G6" s="648">
        <v>335364.99</v>
      </c>
    </row>
    <row r="7" spans="1:7" ht="14.45" customHeight="1" x14ac:dyDescent="0.2">
      <c r="A7" s="617" t="s">
        <v>541</v>
      </c>
      <c r="B7" s="609">
        <v>5032</v>
      </c>
      <c r="C7" s="609">
        <v>6299</v>
      </c>
      <c r="D7" s="609">
        <v>6311</v>
      </c>
      <c r="E7" s="649">
        <v>545687.66</v>
      </c>
      <c r="F7" s="649">
        <v>720920.33000000007</v>
      </c>
      <c r="G7" s="650">
        <v>755310.34</v>
      </c>
    </row>
    <row r="8" spans="1:7" ht="14.45" customHeight="1" x14ac:dyDescent="0.2">
      <c r="A8" s="617" t="s">
        <v>542</v>
      </c>
      <c r="B8" s="609">
        <v>2354</v>
      </c>
      <c r="C8" s="609">
        <v>1872</v>
      </c>
      <c r="D8" s="609">
        <v>2334</v>
      </c>
      <c r="E8" s="649">
        <v>351554</v>
      </c>
      <c r="F8" s="649">
        <v>323344.66000000003</v>
      </c>
      <c r="G8" s="650">
        <v>372188.66000000003</v>
      </c>
    </row>
    <row r="9" spans="1:7" ht="14.45" customHeight="1" x14ac:dyDescent="0.2">
      <c r="A9" s="617" t="s">
        <v>940</v>
      </c>
      <c r="B9" s="609">
        <v>16</v>
      </c>
      <c r="C9" s="609"/>
      <c r="D9" s="609"/>
      <c r="E9" s="649">
        <v>2307</v>
      </c>
      <c r="F9" s="649"/>
      <c r="G9" s="650"/>
    </row>
    <row r="10" spans="1:7" ht="14.45" customHeight="1" x14ac:dyDescent="0.2">
      <c r="A10" s="617" t="s">
        <v>543</v>
      </c>
      <c r="B10" s="609">
        <v>188</v>
      </c>
      <c r="C10" s="609">
        <v>292</v>
      </c>
      <c r="D10" s="609">
        <v>191</v>
      </c>
      <c r="E10" s="649">
        <v>33263.660000000003</v>
      </c>
      <c r="F10" s="649">
        <v>50658.34</v>
      </c>
      <c r="G10" s="650">
        <v>33848.660000000003</v>
      </c>
    </row>
    <row r="11" spans="1:7" ht="14.45" customHeight="1" x14ac:dyDescent="0.2">
      <c r="A11" s="617" t="s">
        <v>941</v>
      </c>
      <c r="B11" s="609">
        <v>3521</v>
      </c>
      <c r="C11" s="609">
        <v>2209</v>
      </c>
      <c r="D11" s="609">
        <v>2143</v>
      </c>
      <c r="E11" s="649">
        <v>595970.32999999996</v>
      </c>
      <c r="F11" s="649">
        <v>404799.32999999996</v>
      </c>
      <c r="G11" s="650">
        <v>383428.35</v>
      </c>
    </row>
    <row r="12" spans="1:7" ht="14.45" customHeight="1" x14ac:dyDescent="0.2">
      <c r="A12" s="617" t="s">
        <v>942</v>
      </c>
      <c r="B12" s="609"/>
      <c r="C12" s="609">
        <v>22</v>
      </c>
      <c r="D12" s="609">
        <v>175</v>
      </c>
      <c r="E12" s="649"/>
      <c r="F12" s="649">
        <v>4193.33</v>
      </c>
      <c r="G12" s="650">
        <v>28467.329999999998</v>
      </c>
    </row>
    <row r="13" spans="1:7" ht="14.45" customHeight="1" thickBot="1" x14ac:dyDescent="0.25">
      <c r="A13" s="653" t="s">
        <v>544</v>
      </c>
      <c r="B13" s="611">
        <v>1297</v>
      </c>
      <c r="C13" s="611">
        <v>1015</v>
      </c>
      <c r="D13" s="611">
        <v>1283</v>
      </c>
      <c r="E13" s="651">
        <v>176650.01</v>
      </c>
      <c r="F13" s="651">
        <v>152269.68000000002</v>
      </c>
      <c r="G13" s="652">
        <v>198532.32999999996</v>
      </c>
    </row>
    <row r="14" spans="1:7" ht="14.45" customHeight="1" x14ac:dyDescent="0.2">
      <c r="A14" s="565" t="s">
        <v>247</v>
      </c>
    </row>
    <row r="15" spans="1:7" ht="14.45" customHeight="1" x14ac:dyDescent="0.2">
      <c r="A15" s="566" t="s">
        <v>539</v>
      </c>
    </row>
    <row r="16" spans="1:7" ht="14.45" customHeight="1" x14ac:dyDescent="0.2">
      <c r="A16" s="565" t="s">
        <v>938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9B31E83D-F694-41F4-B1F5-11E1E0A23F50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43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.140625" style="129" bestFit="1" customWidth="1"/>
    <col min="5" max="5" width="8" style="129" customWidth="1"/>
    <col min="6" max="6" width="50.85546875" style="129" bestFit="1" customWidth="1" collapsed="1"/>
    <col min="7" max="8" width="11.140625" style="207" hidden="1" customWidth="1" outlineLevel="1"/>
    <col min="9" max="10" width="9.28515625" style="129" hidden="1" customWidth="1"/>
    <col min="11" max="12" width="11.140625" style="207" customWidth="1"/>
    <col min="13" max="14" width="9.28515625" style="129" hidden="1" customWidth="1"/>
    <col min="15" max="16" width="11.140625" style="207" customWidth="1"/>
    <col min="17" max="17" width="11.140625" style="210" customWidth="1"/>
    <col min="18" max="18" width="11.140625" style="207" customWidth="1"/>
    <col min="19" max="16384" width="8.85546875" style="129"/>
  </cols>
  <sheetData>
    <row r="1" spans="1:18" ht="18.600000000000001" customHeight="1" thickBot="1" x14ac:dyDescent="0.35">
      <c r="A1" s="329" t="s">
        <v>1006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5" customHeight="1" thickBot="1" x14ac:dyDescent="0.25">
      <c r="A2" s="232" t="s">
        <v>270</v>
      </c>
      <c r="B2" s="197"/>
      <c r="C2" s="197"/>
      <c r="D2" s="111"/>
      <c r="E2" s="111"/>
      <c r="F2" s="111"/>
      <c r="G2" s="230"/>
      <c r="H2" s="230"/>
      <c r="I2" s="111"/>
      <c r="J2" s="111"/>
      <c r="K2" s="230"/>
      <c r="L2" s="230"/>
      <c r="M2" s="111"/>
      <c r="N2" s="111"/>
      <c r="O2" s="230"/>
      <c r="P2" s="230"/>
      <c r="Q2" s="227"/>
      <c r="R2" s="230"/>
    </row>
    <row r="3" spans="1:18" ht="14.45" customHeight="1" thickBot="1" x14ac:dyDescent="0.25">
      <c r="F3" s="87" t="s">
        <v>127</v>
      </c>
      <c r="G3" s="102">
        <f t="shared" ref="G3:P3" si="0">SUBTOTAL(9,G6:G1048576)</f>
        <v>15873.7</v>
      </c>
      <c r="H3" s="103">
        <f t="shared" si="0"/>
        <v>2029128.3</v>
      </c>
      <c r="I3" s="74"/>
      <c r="J3" s="74"/>
      <c r="K3" s="103">
        <f t="shared" si="0"/>
        <v>15191.3</v>
      </c>
      <c r="L3" s="103">
        <f t="shared" si="0"/>
        <v>1956647.1500000001</v>
      </c>
      <c r="M3" s="74"/>
      <c r="N3" s="74"/>
      <c r="O3" s="103">
        <f t="shared" si="0"/>
        <v>16315.35</v>
      </c>
      <c r="P3" s="103">
        <f t="shared" si="0"/>
        <v>2132371.9699999997</v>
      </c>
      <c r="Q3" s="75">
        <f>IF(L3=0,0,P3/L3)</f>
        <v>1.0898091513331873</v>
      </c>
      <c r="R3" s="104">
        <f>IF(O3=0,0,P3/O3)</f>
        <v>130.69728629787284</v>
      </c>
    </row>
    <row r="4" spans="1:18" ht="14.45" customHeight="1" x14ac:dyDescent="0.2">
      <c r="A4" s="446" t="s">
        <v>212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2015</v>
      </c>
      <c r="H4" s="451"/>
      <c r="I4" s="101"/>
      <c r="J4" s="101"/>
      <c r="K4" s="450">
        <v>2018</v>
      </c>
      <c r="L4" s="451"/>
      <c r="M4" s="101"/>
      <c r="N4" s="101"/>
      <c r="O4" s="450">
        <v>2019</v>
      </c>
      <c r="P4" s="451"/>
      <c r="Q4" s="452" t="s">
        <v>2</v>
      </c>
      <c r="R4" s="447" t="s">
        <v>97</v>
      </c>
    </row>
    <row r="5" spans="1:18" ht="14.45" customHeight="1" thickBot="1" x14ac:dyDescent="0.25">
      <c r="A5" s="654"/>
      <c r="B5" s="654"/>
      <c r="C5" s="655"/>
      <c r="D5" s="656"/>
      <c r="E5" s="657"/>
      <c r="F5" s="658"/>
      <c r="G5" s="659" t="s">
        <v>71</v>
      </c>
      <c r="H5" s="660" t="s">
        <v>14</v>
      </c>
      <c r="I5" s="661"/>
      <c r="J5" s="661"/>
      <c r="K5" s="659" t="s">
        <v>71</v>
      </c>
      <c r="L5" s="660" t="s">
        <v>14</v>
      </c>
      <c r="M5" s="661"/>
      <c r="N5" s="661"/>
      <c r="O5" s="659" t="s">
        <v>71</v>
      </c>
      <c r="P5" s="660" t="s">
        <v>14</v>
      </c>
      <c r="Q5" s="662"/>
      <c r="R5" s="663"/>
    </row>
    <row r="6" spans="1:18" ht="14.45" customHeight="1" x14ac:dyDescent="0.2">
      <c r="A6" s="584" t="s">
        <v>944</v>
      </c>
      <c r="B6" s="585" t="s">
        <v>945</v>
      </c>
      <c r="C6" s="585" t="s">
        <v>447</v>
      </c>
      <c r="D6" s="585" t="s">
        <v>946</v>
      </c>
      <c r="E6" s="585" t="s">
        <v>947</v>
      </c>
      <c r="F6" s="585" t="s">
        <v>948</v>
      </c>
      <c r="G6" s="116">
        <v>373.95</v>
      </c>
      <c r="H6" s="116">
        <v>20230.649999999998</v>
      </c>
      <c r="I6" s="585">
        <v>0.96180204439360628</v>
      </c>
      <c r="J6" s="585">
        <v>54.099879663056555</v>
      </c>
      <c r="K6" s="116">
        <v>388.80000000000007</v>
      </c>
      <c r="L6" s="116">
        <v>21034.11</v>
      </c>
      <c r="M6" s="585">
        <v>1</v>
      </c>
      <c r="N6" s="585">
        <v>54.100077160493818</v>
      </c>
      <c r="O6" s="116">
        <v>355</v>
      </c>
      <c r="P6" s="116">
        <v>19287.400000000001</v>
      </c>
      <c r="Q6" s="590">
        <v>0.91695821691528667</v>
      </c>
      <c r="R6" s="608">
        <v>54.330704225352115</v>
      </c>
    </row>
    <row r="7" spans="1:18" ht="14.45" customHeight="1" x14ac:dyDescent="0.2">
      <c r="A7" s="591" t="s">
        <v>944</v>
      </c>
      <c r="B7" s="592" t="s">
        <v>945</v>
      </c>
      <c r="C7" s="592" t="s">
        <v>447</v>
      </c>
      <c r="D7" s="592" t="s">
        <v>946</v>
      </c>
      <c r="E7" s="592" t="s">
        <v>949</v>
      </c>
      <c r="F7" s="592" t="s">
        <v>483</v>
      </c>
      <c r="G7" s="609">
        <v>2.2000000000000002</v>
      </c>
      <c r="H7" s="609">
        <v>304.04000000000002</v>
      </c>
      <c r="I7" s="592">
        <v>0.7375673184222018</v>
      </c>
      <c r="J7" s="592">
        <v>138.19999999999999</v>
      </c>
      <c r="K7" s="609">
        <v>3</v>
      </c>
      <c r="L7" s="609">
        <v>412.21999999999997</v>
      </c>
      <c r="M7" s="592">
        <v>1</v>
      </c>
      <c r="N7" s="592">
        <v>137.40666666666667</v>
      </c>
      <c r="O7" s="609">
        <v>0.4</v>
      </c>
      <c r="P7" s="609">
        <v>54.6</v>
      </c>
      <c r="Q7" s="597">
        <v>0.13245354422395808</v>
      </c>
      <c r="R7" s="610">
        <v>136.5</v>
      </c>
    </row>
    <row r="8" spans="1:18" ht="14.45" customHeight="1" x14ac:dyDescent="0.2">
      <c r="A8" s="591" t="s">
        <v>944</v>
      </c>
      <c r="B8" s="592" t="s">
        <v>945</v>
      </c>
      <c r="C8" s="592" t="s">
        <v>447</v>
      </c>
      <c r="D8" s="592" t="s">
        <v>946</v>
      </c>
      <c r="E8" s="592" t="s">
        <v>950</v>
      </c>
      <c r="F8" s="592" t="s">
        <v>488</v>
      </c>
      <c r="G8" s="609">
        <v>24.700000000000003</v>
      </c>
      <c r="H8" s="609">
        <v>1517.51</v>
      </c>
      <c r="I8" s="592">
        <v>0.88678969636053362</v>
      </c>
      <c r="J8" s="592">
        <v>61.437651821862339</v>
      </c>
      <c r="K8" s="609">
        <v>28.900000000000002</v>
      </c>
      <c r="L8" s="609">
        <v>1711.2400000000005</v>
      </c>
      <c r="M8" s="592">
        <v>1</v>
      </c>
      <c r="N8" s="592">
        <v>59.212456747404858</v>
      </c>
      <c r="O8" s="609">
        <v>28.800000000000008</v>
      </c>
      <c r="P8" s="609">
        <v>1458.1799999999996</v>
      </c>
      <c r="Q8" s="597">
        <v>0.85211893130127814</v>
      </c>
      <c r="R8" s="610">
        <v>50.631249999999973</v>
      </c>
    </row>
    <row r="9" spans="1:18" ht="14.45" customHeight="1" x14ac:dyDescent="0.2">
      <c r="A9" s="591" t="s">
        <v>944</v>
      </c>
      <c r="B9" s="592" t="s">
        <v>945</v>
      </c>
      <c r="C9" s="592" t="s">
        <v>447</v>
      </c>
      <c r="D9" s="592" t="s">
        <v>946</v>
      </c>
      <c r="E9" s="592" t="s">
        <v>951</v>
      </c>
      <c r="F9" s="592" t="s">
        <v>952</v>
      </c>
      <c r="G9" s="609">
        <v>10.199999999999999</v>
      </c>
      <c r="H9" s="609">
        <v>1805.3999999999999</v>
      </c>
      <c r="I9" s="592">
        <v>0.91891891891891886</v>
      </c>
      <c r="J9" s="592">
        <v>177</v>
      </c>
      <c r="K9" s="609">
        <v>11.1</v>
      </c>
      <c r="L9" s="609">
        <v>1964.7</v>
      </c>
      <c r="M9" s="592">
        <v>1</v>
      </c>
      <c r="N9" s="592">
        <v>177</v>
      </c>
      <c r="O9" s="609">
        <v>7.6999999999999993</v>
      </c>
      <c r="P9" s="609">
        <v>1362.9000000000003</v>
      </c>
      <c r="Q9" s="597">
        <v>0.69369369369369382</v>
      </c>
      <c r="R9" s="610">
        <v>177.00000000000006</v>
      </c>
    </row>
    <row r="10" spans="1:18" ht="14.45" customHeight="1" x14ac:dyDescent="0.2">
      <c r="A10" s="591" t="s">
        <v>944</v>
      </c>
      <c r="B10" s="592" t="s">
        <v>945</v>
      </c>
      <c r="C10" s="592" t="s">
        <v>447</v>
      </c>
      <c r="D10" s="592" t="s">
        <v>946</v>
      </c>
      <c r="E10" s="592" t="s">
        <v>953</v>
      </c>
      <c r="F10" s="592" t="s">
        <v>954</v>
      </c>
      <c r="G10" s="609"/>
      <c r="H10" s="609"/>
      <c r="I10" s="592"/>
      <c r="J10" s="592"/>
      <c r="K10" s="609">
        <v>4</v>
      </c>
      <c r="L10" s="609">
        <v>24.36</v>
      </c>
      <c r="M10" s="592">
        <v>1</v>
      </c>
      <c r="N10" s="592">
        <v>6.09</v>
      </c>
      <c r="O10" s="609"/>
      <c r="P10" s="609"/>
      <c r="Q10" s="597"/>
      <c r="R10" s="610"/>
    </row>
    <row r="11" spans="1:18" ht="14.45" customHeight="1" x14ac:dyDescent="0.2">
      <c r="A11" s="591" t="s">
        <v>944</v>
      </c>
      <c r="B11" s="592" t="s">
        <v>945</v>
      </c>
      <c r="C11" s="592" t="s">
        <v>447</v>
      </c>
      <c r="D11" s="592" t="s">
        <v>946</v>
      </c>
      <c r="E11" s="592" t="s">
        <v>955</v>
      </c>
      <c r="F11" s="592" t="s">
        <v>471</v>
      </c>
      <c r="G11" s="609">
        <v>95.649999999999991</v>
      </c>
      <c r="H11" s="609">
        <v>459.19</v>
      </c>
      <c r="I11" s="592">
        <v>0.97368532654792195</v>
      </c>
      <c r="J11" s="592">
        <v>4.8007318348144281</v>
      </c>
      <c r="K11" s="609">
        <v>98.249999999999986</v>
      </c>
      <c r="L11" s="609">
        <v>471.6</v>
      </c>
      <c r="M11" s="592">
        <v>1</v>
      </c>
      <c r="N11" s="592">
        <v>4.8000000000000007</v>
      </c>
      <c r="O11" s="609">
        <v>94.15000000000002</v>
      </c>
      <c r="P11" s="609">
        <v>451.99000000000007</v>
      </c>
      <c r="Q11" s="597">
        <v>0.95841815097540295</v>
      </c>
      <c r="R11" s="610">
        <v>4.8007434944237914</v>
      </c>
    </row>
    <row r="12" spans="1:18" ht="14.45" customHeight="1" x14ac:dyDescent="0.2">
      <c r="A12" s="591" t="s">
        <v>944</v>
      </c>
      <c r="B12" s="592" t="s">
        <v>945</v>
      </c>
      <c r="C12" s="592" t="s">
        <v>447</v>
      </c>
      <c r="D12" s="592" t="s">
        <v>946</v>
      </c>
      <c r="E12" s="592" t="s">
        <v>956</v>
      </c>
      <c r="F12" s="592" t="s">
        <v>957</v>
      </c>
      <c r="G12" s="609">
        <v>83</v>
      </c>
      <c r="H12" s="609">
        <v>8668.52</v>
      </c>
      <c r="I12" s="592">
        <v>1.1857142857142859</v>
      </c>
      <c r="J12" s="592">
        <v>104.44000000000001</v>
      </c>
      <c r="K12" s="609">
        <v>70</v>
      </c>
      <c r="L12" s="609">
        <v>7310.7999999999993</v>
      </c>
      <c r="M12" s="592">
        <v>1</v>
      </c>
      <c r="N12" s="592">
        <v>104.43999999999998</v>
      </c>
      <c r="O12" s="609"/>
      <c r="P12" s="609"/>
      <c r="Q12" s="597"/>
      <c r="R12" s="610"/>
    </row>
    <row r="13" spans="1:18" ht="14.45" customHeight="1" x14ac:dyDescent="0.2">
      <c r="A13" s="591" t="s">
        <v>944</v>
      </c>
      <c r="B13" s="592" t="s">
        <v>945</v>
      </c>
      <c r="C13" s="592" t="s">
        <v>447</v>
      </c>
      <c r="D13" s="592" t="s">
        <v>946</v>
      </c>
      <c r="E13" s="592" t="s">
        <v>958</v>
      </c>
      <c r="F13" s="592" t="s">
        <v>957</v>
      </c>
      <c r="G13" s="609"/>
      <c r="H13" s="609"/>
      <c r="I13" s="592"/>
      <c r="J13" s="592"/>
      <c r="K13" s="609"/>
      <c r="L13" s="609"/>
      <c r="M13" s="592"/>
      <c r="N13" s="592"/>
      <c r="O13" s="609">
        <v>3.3</v>
      </c>
      <c r="P13" s="609">
        <v>2616.2399999999998</v>
      </c>
      <c r="Q13" s="597"/>
      <c r="R13" s="610">
        <v>792.8</v>
      </c>
    </row>
    <row r="14" spans="1:18" ht="14.45" customHeight="1" x14ac:dyDescent="0.2">
      <c r="A14" s="591" t="s">
        <v>944</v>
      </c>
      <c r="B14" s="592" t="s">
        <v>945</v>
      </c>
      <c r="C14" s="592" t="s">
        <v>447</v>
      </c>
      <c r="D14" s="592" t="s">
        <v>959</v>
      </c>
      <c r="E14" s="592" t="s">
        <v>960</v>
      </c>
      <c r="F14" s="592" t="s">
        <v>961</v>
      </c>
      <c r="G14" s="609">
        <v>109</v>
      </c>
      <c r="H14" s="609">
        <v>19947</v>
      </c>
      <c r="I14" s="592">
        <v>1.0733426603529919</v>
      </c>
      <c r="J14" s="592">
        <v>183</v>
      </c>
      <c r="K14" s="609">
        <v>101</v>
      </c>
      <c r="L14" s="609">
        <v>18584</v>
      </c>
      <c r="M14" s="592">
        <v>1</v>
      </c>
      <c r="N14" s="592">
        <v>184</v>
      </c>
      <c r="O14" s="609">
        <v>58</v>
      </c>
      <c r="P14" s="609">
        <v>10730</v>
      </c>
      <c r="Q14" s="597">
        <v>0.57737839001291436</v>
      </c>
      <c r="R14" s="610">
        <v>185</v>
      </c>
    </row>
    <row r="15" spans="1:18" ht="14.45" customHeight="1" x14ac:dyDescent="0.2">
      <c r="A15" s="591" t="s">
        <v>944</v>
      </c>
      <c r="B15" s="592" t="s">
        <v>945</v>
      </c>
      <c r="C15" s="592" t="s">
        <v>447</v>
      </c>
      <c r="D15" s="592" t="s">
        <v>959</v>
      </c>
      <c r="E15" s="592" t="s">
        <v>962</v>
      </c>
      <c r="F15" s="592" t="s">
        <v>963</v>
      </c>
      <c r="G15" s="609">
        <v>41</v>
      </c>
      <c r="H15" s="609">
        <v>5002</v>
      </c>
      <c r="I15" s="592">
        <v>2.4175930401159982</v>
      </c>
      <c r="J15" s="592">
        <v>122</v>
      </c>
      <c r="K15" s="609">
        <v>17</v>
      </c>
      <c r="L15" s="609">
        <v>2069</v>
      </c>
      <c r="M15" s="592">
        <v>1</v>
      </c>
      <c r="N15" s="592">
        <v>121.70588235294117</v>
      </c>
      <c r="O15" s="609">
        <v>16</v>
      </c>
      <c r="P15" s="609">
        <v>1952</v>
      </c>
      <c r="Q15" s="597">
        <v>0.94345094248429195</v>
      </c>
      <c r="R15" s="610">
        <v>122</v>
      </c>
    </row>
    <row r="16" spans="1:18" ht="14.45" customHeight="1" x14ac:dyDescent="0.2">
      <c r="A16" s="591" t="s">
        <v>944</v>
      </c>
      <c r="B16" s="592" t="s">
        <v>945</v>
      </c>
      <c r="C16" s="592" t="s">
        <v>447</v>
      </c>
      <c r="D16" s="592" t="s">
        <v>959</v>
      </c>
      <c r="E16" s="592" t="s">
        <v>964</v>
      </c>
      <c r="F16" s="592" t="s">
        <v>965</v>
      </c>
      <c r="G16" s="609">
        <v>2734</v>
      </c>
      <c r="H16" s="609">
        <v>101158</v>
      </c>
      <c r="I16" s="592">
        <v>0.99563000728332118</v>
      </c>
      <c r="J16" s="592">
        <v>37</v>
      </c>
      <c r="K16" s="609">
        <v>2746</v>
      </c>
      <c r="L16" s="609">
        <v>101602</v>
      </c>
      <c r="M16" s="592">
        <v>1</v>
      </c>
      <c r="N16" s="592">
        <v>37</v>
      </c>
      <c r="O16" s="609">
        <v>2396</v>
      </c>
      <c r="P16" s="609">
        <v>91048</v>
      </c>
      <c r="Q16" s="597">
        <v>0.8961240920454322</v>
      </c>
      <c r="R16" s="610">
        <v>38</v>
      </c>
    </row>
    <row r="17" spans="1:18" ht="14.45" customHeight="1" x14ac:dyDescent="0.2">
      <c r="A17" s="591" t="s">
        <v>944</v>
      </c>
      <c r="B17" s="592" t="s">
        <v>945</v>
      </c>
      <c r="C17" s="592" t="s">
        <v>447</v>
      </c>
      <c r="D17" s="592" t="s">
        <v>959</v>
      </c>
      <c r="E17" s="592" t="s">
        <v>966</v>
      </c>
      <c r="F17" s="592" t="s">
        <v>967</v>
      </c>
      <c r="G17" s="609">
        <v>888</v>
      </c>
      <c r="H17" s="609">
        <v>8880</v>
      </c>
      <c r="I17" s="592">
        <v>1.1935483870967742</v>
      </c>
      <c r="J17" s="592">
        <v>10</v>
      </c>
      <c r="K17" s="609">
        <v>744</v>
      </c>
      <c r="L17" s="609">
        <v>7440</v>
      </c>
      <c r="M17" s="592">
        <v>1</v>
      </c>
      <c r="N17" s="592">
        <v>10</v>
      </c>
      <c r="O17" s="609">
        <v>1079</v>
      </c>
      <c r="P17" s="609">
        <v>10790</v>
      </c>
      <c r="Q17" s="597">
        <v>1.450268817204301</v>
      </c>
      <c r="R17" s="610">
        <v>10</v>
      </c>
    </row>
    <row r="18" spans="1:18" ht="14.45" customHeight="1" x14ac:dyDescent="0.2">
      <c r="A18" s="591" t="s">
        <v>944</v>
      </c>
      <c r="B18" s="592" t="s">
        <v>945</v>
      </c>
      <c r="C18" s="592" t="s">
        <v>447</v>
      </c>
      <c r="D18" s="592" t="s">
        <v>959</v>
      </c>
      <c r="E18" s="592" t="s">
        <v>968</v>
      </c>
      <c r="F18" s="592" t="s">
        <v>969</v>
      </c>
      <c r="G18" s="609">
        <v>88</v>
      </c>
      <c r="H18" s="609">
        <v>440</v>
      </c>
      <c r="I18" s="592">
        <v>0.83809523809523812</v>
      </c>
      <c r="J18" s="592">
        <v>5</v>
      </c>
      <c r="K18" s="609">
        <v>105</v>
      </c>
      <c r="L18" s="609">
        <v>525</v>
      </c>
      <c r="M18" s="592">
        <v>1</v>
      </c>
      <c r="N18" s="592">
        <v>5</v>
      </c>
      <c r="O18" s="609">
        <v>98</v>
      </c>
      <c r="P18" s="609">
        <v>490</v>
      </c>
      <c r="Q18" s="597">
        <v>0.93333333333333335</v>
      </c>
      <c r="R18" s="610">
        <v>5</v>
      </c>
    </row>
    <row r="19" spans="1:18" ht="14.45" customHeight="1" x14ac:dyDescent="0.2">
      <c r="A19" s="591" t="s">
        <v>944</v>
      </c>
      <c r="B19" s="592" t="s">
        <v>945</v>
      </c>
      <c r="C19" s="592" t="s">
        <v>447</v>
      </c>
      <c r="D19" s="592" t="s">
        <v>959</v>
      </c>
      <c r="E19" s="592" t="s">
        <v>970</v>
      </c>
      <c r="F19" s="592" t="s">
        <v>971</v>
      </c>
      <c r="G19" s="609">
        <v>25</v>
      </c>
      <c r="H19" s="609">
        <v>125</v>
      </c>
      <c r="I19" s="592">
        <v>0.78125</v>
      </c>
      <c r="J19" s="592">
        <v>5</v>
      </c>
      <c r="K19" s="609">
        <v>32</v>
      </c>
      <c r="L19" s="609">
        <v>160</v>
      </c>
      <c r="M19" s="592">
        <v>1</v>
      </c>
      <c r="N19" s="592">
        <v>5</v>
      </c>
      <c r="O19" s="609">
        <v>32</v>
      </c>
      <c r="P19" s="609">
        <v>160</v>
      </c>
      <c r="Q19" s="597">
        <v>1</v>
      </c>
      <c r="R19" s="610">
        <v>5</v>
      </c>
    </row>
    <row r="20" spans="1:18" ht="14.45" customHeight="1" x14ac:dyDescent="0.2">
      <c r="A20" s="591" t="s">
        <v>944</v>
      </c>
      <c r="B20" s="592" t="s">
        <v>945</v>
      </c>
      <c r="C20" s="592" t="s">
        <v>447</v>
      </c>
      <c r="D20" s="592" t="s">
        <v>959</v>
      </c>
      <c r="E20" s="592" t="s">
        <v>972</v>
      </c>
      <c r="F20" s="592" t="s">
        <v>973</v>
      </c>
      <c r="G20" s="609">
        <v>487</v>
      </c>
      <c r="H20" s="609">
        <v>36038</v>
      </c>
      <c r="I20" s="592">
        <v>0.93116634799235176</v>
      </c>
      <c r="J20" s="592">
        <v>74</v>
      </c>
      <c r="K20" s="609">
        <v>523</v>
      </c>
      <c r="L20" s="609">
        <v>38702</v>
      </c>
      <c r="M20" s="592">
        <v>1</v>
      </c>
      <c r="N20" s="592">
        <v>74</v>
      </c>
      <c r="O20" s="609">
        <v>605</v>
      </c>
      <c r="P20" s="609">
        <v>45375</v>
      </c>
      <c r="Q20" s="597">
        <v>1.1724200299726113</v>
      </c>
      <c r="R20" s="610">
        <v>75</v>
      </c>
    </row>
    <row r="21" spans="1:18" ht="14.45" customHeight="1" x14ac:dyDescent="0.2">
      <c r="A21" s="591" t="s">
        <v>944</v>
      </c>
      <c r="B21" s="592" t="s">
        <v>945</v>
      </c>
      <c r="C21" s="592" t="s">
        <v>447</v>
      </c>
      <c r="D21" s="592" t="s">
        <v>959</v>
      </c>
      <c r="E21" s="592" t="s">
        <v>974</v>
      </c>
      <c r="F21" s="592" t="s">
        <v>975</v>
      </c>
      <c r="G21" s="609">
        <v>359</v>
      </c>
      <c r="H21" s="609">
        <v>63543</v>
      </c>
      <c r="I21" s="592">
        <v>0.87495869134170523</v>
      </c>
      <c r="J21" s="592">
        <v>177</v>
      </c>
      <c r="K21" s="609">
        <v>408</v>
      </c>
      <c r="L21" s="609">
        <v>72624</v>
      </c>
      <c r="M21" s="592">
        <v>1</v>
      </c>
      <c r="N21" s="592">
        <v>178</v>
      </c>
      <c r="O21" s="609">
        <v>482</v>
      </c>
      <c r="P21" s="609">
        <v>86278</v>
      </c>
      <c r="Q21" s="597">
        <v>1.1880094734523023</v>
      </c>
      <c r="R21" s="610">
        <v>179</v>
      </c>
    </row>
    <row r="22" spans="1:18" ht="14.45" customHeight="1" x14ac:dyDescent="0.2">
      <c r="A22" s="591" t="s">
        <v>944</v>
      </c>
      <c r="B22" s="592" t="s">
        <v>945</v>
      </c>
      <c r="C22" s="592" t="s">
        <v>447</v>
      </c>
      <c r="D22" s="592" t="s">
        <v>959</v>
      </c>
      <c r="E22" s="592" t="s">
        <v>976</v>
      </c>
      <c r="F22" s="592" t="s">
        <v>977</v>
      </c>
      <c r="G22" s="609">
        <v>315</v>
      </c>
      <c r="H22" s="609">
        <v>85680</v>
      </c>
      <c r="I22" s="592">
        <v>1.3695652173913044</v>
      </c>
      <c r="J22" s="592">
        <v>272</v>
      </c>
      <c r="K22" s="609">
        <v>230</v>
      </c>
      <c r="L22" s="609">
        <v>62560</v>
      </c>
      <c r="M22" s="592">
        <v>1</v>
      </c>
      <c r="N22" s="592">
        <v>272</v>
      </c>
      <c r="O22" s="609">
        <v>384</v>
      </c>
      <c r="P22" s="609">
        <v>105216</v>
      </c>
      <c r="Q22" s="597">
        <v>1.6818414322250639</v>
      </c>
      <c r="R22" s="610">
        <v>274</v>
      </c>
    </row>
    <row r="23" spans="1:18" ht="14.45" customHeight="1" x14ac:dyDescent="0.2">
      <c r="A23" s="591" t="s">
        <v>944</v>
      </c>
      <c r="B23" s="592" t="s">
        <v>945</v>
      </c>
      <c r="C23" s="592" t="s">
        <v>447</v>
      </c>
      <c r="D23" s="592" t="s">
        <v>959</v>
      </c>
      <c r="E23" s="592" t="s">
        <v>978</v>
      </c>
      <c r="F23" s="592" t="s">
        <v>979</v>
      </c>
      <c r="G23" s="609">
        <v>1593</v>
      </c>
      <c r="H23" s="609">
        <v>53099.990000000005</v>
      </c>
      <c r="I23" s="592">
        <v>1.2972308147832552</v>
      </c>
      <c r="J23" s="592">
        <v>33.333327055869432</v>
      </c>
      <c r="K23" s="609">
        <v>1228</v>
      </c>
      <c r="L23" s="609">
        <v>40933.339999999997</v>
      </c>
      <c r="M23" s="592">
        <v>1</v>
      </c>
      <c r="N23" s="592">
        <v>33.333338762214979</v>
      </c>
      <c r="O23" s="609">
        <v>1607</v>
      </c>
      <c r="P23" s="609">
        <v>53566.66</v>
      </c>
      <c r="Q23" s="597">
        <v>1.3086315458254814</v>
      </c>
      <c r="R23" s="610">
        <v>33.333329184816428</v>
      </c>
    </row>
    <row r="24" spans="1:18" ht="14.45" customHeight="1" x14ac:dyDescent="0.2">
      <c r="A24" s="591" t="s">
        <v>944</v>
      </c>
      <c r="B24" s="592" t="s">
        <v>945</v>
      </c>
      <c r="C24" s="592" t="s">
        <v>447</v>
      </c>
      <c r="D24" s="592" t="s">
        <v>959</v>
      </c>
      <c r="E24" s="592" t="s">
        <v>980</v>
      </c>
      <c r="F24" s="592" t="s">
        <v>981</v>
      </c>
      <c r="G24" s="609">
        <v>496</v>
      </c>
      <c r="H24" s="609">
        <v>18352</v>
      </c>
      <c r="I24" s="592">
        <v>1.0464135021097047</v>
      </c>
      <c r="J24" s="592">
        <v>37</v>
      </c>
      <c r="K24" s="609">
        <v>474</v>
      </c>
      <c r="L24" s="609">
        <v>17538</v>
      </c>
      <c r="M24" s="592">
        <v>1</v>
      </c>
      <c r="N24" s="592">
        <v>37</v>
      </c>
      <c r="O24" s="609">
        <v>433</v>
      </c>
      <c r="P24" s="609">
        <v>16454</v>
      </c>
      <c r="Q24" s="597">
        <v>0.93819135591287495</v>
      </c>
      <c r="R24" s="610">
        <v>38</v>
      </c>
    </row>
    <row r="25" spans="1:18" ht="14.45" customHeight="1" x14ac:dyDescent="0.2">
      <c r="A25" s="591" t="s">
        <v>944</v>
      </c>
      <c r="B25" s="592" t="s">
        <v>945</v>
      </c>
      <c r="C25" s="592" t="s">
        <v>447</v>
      </c>
      <c r="D25" s="592" t="s">
        <v>959</v>
      </c>
      <c r="E25" s="592" t="s">
        <v>982</v>
      </c>
      <c r="F25" s="592" t="s">
        <v>983</v>
      </c>
      <c r="G25" s="609">
        <v>1980</v>
      </c>
      <c r="H25" s="609">
        <v>261360</v>
      </c>
      <c r="I25" s="592">
        <v>0.95055208833413352</v>
      </c>
      <c r="J25" s="592">
        <v>132</v>
      </c>
      <c r="K25" s="609">
        <v>2083</v>
      </c>
      <c r="L25" s="609">
        <v>274956</v>
      </c>
      <c r="M25" s="592">
        <v>1</v>
      </c>
      <c r="N25" s="592">
        <v>132</v>
      </c>
      <c r="O25" s="609">
        <v>1944</v>
      </c>
      <c r="P25" s="609">
        <v>262440</v>
      </c>
      <c r="Q25" s="597">
        <v>0.95447998952559687</v>
      </c>
      <c r="R25" s="610">
        <v>135</v>
      </c>
    </row>
    <row r="26" spans="1:18" ht="14.45" customHeight="1" x14ac:dyDescent="0.2">
      <c r="A26" s="591" t="s">
        <v>944</v>
      </c>
      <c r="B26" s="592" t="s">
        <v>945</v>
      </c>
      <c r="C26" s="592" t="s">
        <v>447</v>
      </c>
      <c r="D26" s="592" t="s">
        <v>959</v>
      </c>
      <c r="E26" s="592" t="s">
        <v>984</v>
      </c>
      <c r="F26" s="592" t="s">
        <v>985</v>
      </c>
      <c r="G26" s="609">
        <v>1123</v>
      </c>
      <c r="H26" s="609">
        <v>83102</v>
      </c>
      <c r="I26" s="592">
        <v>1.1972281449893389</v>
      </c>
      <c r="J26" s="592">
        <v>74</v>
      </c>
      <c r="K26" s="609">
        <v>938</v>
      </c>
      <c r="L26" s="609">
        <v>69412</v>
      </c>
      <c r="M26" s="592">
        <v>1</v>
      </c>
      <c r="N26" s="592">
        <v>74</v>
      </c>
      <c r="O26" s="609">
        <v>1326</v>
      </c>
      <c r="P26" s="609">
        <v>99450</v>
      </c>
      <c r="Q26" s="597">
        <v>1.4327493805105744</v>
      </c>
      <c r="R26" s="610">
        <v>75</v>
      </c>
    </row>
    <row r="27" spans="1:18" ht="14.45" customHeight="1" x14ac:dyDescent="0.2">
      <c r="A27" s="591" t="s">
        <v>944</v>
      </c>
      <c r="B27" s="592" t="s">
        <v>945</v>
      </c>
      <c r="C27" s="592" t="s">
        <v>447</v>
      </c>
      <c r="D27" s="592" t="s">
        <v>959</v>
      </c>
      <c r="E27" s="592" t="s">
        <v>986</v>
      </c>
      <c r="F27" s="592" t="s">
        <v>987</v>
      </c>
      <c r="G27" s="609">
        <v>941</v>
      </c>
      <c r="H27" s="609">
        <v>334055</v>
      </c>
      <c r="I27" s="592">
        <v>1.2173350582147477</v>
      </c>
      <c r="J27" s="592">
        <v>355</v>
      </c>
      <c r="K27" s="609">
        <v>773</v>
      </c>
      <c r="L27" s="609">
        <v>274415</v>
      </c>
      <c r="M27" s="592">
        <v>1</v>
      </c>
      <c r="N27" s="592">
        <v>355</v>
      </c>
      <c r="O27" s="609">
        <v>1053</v>
      </c>
      <c r="P27" s="609">
        <v>376974</v>
      </c>
      <c r="Q27" s="597">
        <v>1.373736858407886</v>
      </c>
      <c r="R27" s="610">
        <v>358</v>
      </c>
    </row>
    <row r="28" spans="1:18" ht="14.45" customHeight="1" x14ac:dyDescent="0.2">
      <c r="A28" s="591" t="s">
        <v>944</v>
      </c>
      <c r="B28" s="592" t="s">
        <v>945</v>
      </c>
      <c r="C28" s="592" t="s">
        <v>447</v>
      </c>
      <c r="D28" s="592" t="s">
        <v>959</v>
      </c>
      <c r="E28" s="592" t="s">
        <v>988</v>
      </c>
      <c r="F28" s="592" t="s">
        <v>989</v>
      </c>
      <c r="G28" s="609">
        <v>1256</v>
      </c>
      <c r="H28" s="609">
        <v>280088</v>
      </c>
      <c r="I28" s="592">
        <v>1.0023942537909019</v>
      </c>
      <c r="J28" s="592">
        <v>223</v>
      </c>
      <c r="K28" s="609">
        <v>1253</v>
      </c>
      <c r="L28" s="609">
        <v>279419</v>
      </c>
      <c r="M28" s="592">
        <v>1</v>
      </c>
      <c r="N28" s="592">
        <v>223</v>
      </c>
      <c r="O28" s="609">
        <v>1440</v>
      </c>
      <c r="P28" s="609">
        <v>325440</v>
      </c>
      <c r="Q28" s="597">
        <v>1.1647024719149377</v>
      </c>
      <c r="R28" s="610">
        <v>226</v>
      </c>
    </row>
    <row r="29" spans="1:18" ht="14.45" customHeight="1" x14ac:dyDescent="0.2">
      <c r="A29" s="591" t="s">
        <v>944</v>
      </c>
      <c r="B29" s="592" t="s">
        <v>945</v>
      </c>
      <c r="C29" s="592" t="s">
        <v>447</v>
      </c>
      <c r="D29" s="592" t="s">
        <v>959</v>
      </c>
      <c r="E29" s="592" t="s">
        <v>990</v>
      </c>
      <c r="F29" s="592" t="s">
        <v>991</v>
      </c>
      <c r="G29" s="609">
        <v>461</v>
      </c>
      <c r="H29" s="609">
        <v>35497</v>
      </c>
      <c r="I29" s="592">
        <v>1.4012158054711246</v>
      </c>
      <c r="J29" s="592">
        <v>77</v>
      </c>
      <c r="K29" s="609">
        <v>329</v>
      </c>
      <c r="L29" s="609">
        <v>25333</v>
      </c>
      <c r="M29" s="592">
        <v>1</v>
      </c>
      <c r="N29" s="592">
        <v>77</v>
      </c>
      <c r="O29" s="609">
        <v>473</v>
      </c>
      <c r="P29" s="609">
        <v>36894</v>
      </c>
      <c r="Q29" s="597">
        <v>1.45636126791142</v>
      </c>
      <c r="R29" s="610">
        <v>78</v>
      </c>
    </row>
    <row r="30" spans="1:18" ht="14.45" customHeight="1" x14ac:dyDescent="0.2">
      <c r="A30" s="591" t="s">
        <v>944</v>
      </c>
      <c r="B30" s="592" t="s">
        <v>945</v>
      </c>
      <c r="C30" s="592" t="s">
        <v>447</v>
      </c>
      <c r="D30" s="592" t="s">
        <v>959</v>
      </c>
      <c r="E30" s="592" t="s">
        <v>992</v>
      </c>
      <c r="F30" s="592" t="s">
        <v>993</v>
      </c>
      <c r="G30" s="609">
        <v>114</v>
      </c>
      <c r="H30" s="609">
        <v>3192</v>
      </c>
      <c r="I30" s="592">
        <v>1.2954545454545454</v>
      </c>
      <c r="J30" s="592">
        <v>28</v>
      </c>
      <c r="K30" s="609">
        <v>88</v>
      </c>
      <c r="L30" s="609">
        <v>2464</v>
      </c>
      <c r="M30" s="592">
        <v>1</v>
      </c>
      <c r="N30" s="592">
        <v>28</v>
      </c>
      <c r="O30" s="609">
        <v>74</v>
      </c>
      <c r="P30" s="609">
        <v>2146</v>
      </c>
      <c r="Q30" s="597">
        <v>0.87094155844155841</v>
      </c>
      <c r="R30" s="610">
        <v>29</v>
      </c>
    </row>
    <row r="31" spans="1:18" ht="14.45" customHeight="1" x14ac:dyDescent="0.2">
      <c r="A31" s="591" t="s">
        <v>944</v>
      </c>
      <c r="B31" s="592" t="s">
        <v>945</v>
      </c>
      <c r="C31" s="592" t="s">
        <v>447</v>
      </c>
      <c r="D31" s="592" t="s">
        <v>959</v>
      </c>
      <c r="E31" s="592" t="s">
        <v>994</v>
      </c>
      <c r="F31" s="592" t="s">
        <v>995</v>
      </c>
      <c r="G31" s="609">
        <v>127</v>
      </c>
      <c r="H31" s="609">
        <v>7493</v>
      </c>
      <c r="I31" s="592">
        <v>1.0382430372731051</v>
      </c>
      <c r="J31" s="592">
        <v>59</v>
      </c>
      <c r="K31" s="609">
        <v>122</v>
      </c>
      <c r="L31" s="609">
        <v>7217</v>
      </c>
      <c r="M31" s="592">
        <v>1</v>
      </c>
      <c r="N31" s="592">
        <v>59.155737704918032</v>
      </c>
      <c r="O31" s="609">
        <v>92</v>
      </c>
      <c r="P31" s="609">
        <v>5612</v>
      </c>
      <c r="Q31" s="597">
        <v>0.77760842455313839</v>
      </c>
      <c r="R31" s="610">
        <v>61</v>
      </c>
    </row>
    <row r="32" spans="1:18" ht="14.45" customHeight="1" x14ac:dyDescent="0.2">
      <c r="A32" s="591" t="s">
        <v>944</v>
      </c>
      <c r="B32" s="592" t="s">
        <v>945</v>
      </c>
      <c r="C32" s="592" t="s">
        <v>447</v>
      </c>
      <c r="D32" s="592" t="s">
        <v>959</v>
      </c>
      <c r="E32" s="592" t="s">
        <v>996</v>
      </c>
      <c r="F32" s="592" t="s">
        <v>997</v>
      </c>
      <c r="G32" s="609">
        <v>294</v>
      </c>
      <c r="H32" s="609">
        <v>206094</v>
      </c>
      <c r="I32" s="592">
        <v>0.97860398860398856</v>
      </c>
      <c r="J32" s="592">
        <v>701</v>
      </c>
      <c r="K32" s="609">
        <v>300</v>
      </c>
      <c r="L32" s="609">
        <v>210600</v>
      </c>
      <c r="M32" s="592">
        <v>1</v>
      </c>
      <c r="N32" s="592">
        <v>702</v>
      </c>
      <c r="O32" s="609">
        <v>232</v>
      </c>
      <c r="P32" s="609">
        <v>164024</v>
      </c>
      <c r="Q32" s="597">
        <v>0.77884140550807213</v>
      </c>
      <c r="R32" s="610">
        <v>707</v>
      </c>
    </row>
    <row r="33" spans="1:18" ht="14.45" customHeight="1" x14ac:dyDescent="0.2">
      <c r="A33" s="591" t="s">
        <v>944</v>
      </c>
      <c r="B33" s="592" t="s">
        <v>945</v>
      </c>
      <c r="C33" s="592" t="s">
        <v>447</v>
      </c>
      <c r="D33" s="592" t="s">
        <v>959</v>
      </c>
      <c r="E33" s="592" t="s">
        <v>998</v>
      </c>
      <c r="F33" s="592" t="s">
        <v>999</v>
      </c>
      <c r="G33" s="609">
        <v>1176</v>
      </c>
      <c r="H33" s="609">
        <v>271656</v>
      </c>
      <c r="I33" s="592">
        <v>0.97496339257515285</v>
      </c>
      <c r="J33" s="592">
        <v>231</v>
      </c>
      <c r="K33" s="609">
        <v>1201</v>
      </c>
      <c r="L33" s="609">
        <v>278632</v>
      </c>
      <c r="M33" s="592">
        <v>1</v>
      </c>
      <c r="N33" s="592">
        <v>232</v>
      </c>
      <c r="O33" s="609">
        <v>1252</v>
      </c>
      <c r="P33" s="609">
        <v>291716</v>
      </c>
      <c r="Q33" s="597">
        <v>1.0469579947744696</v>
      </c>
      <c r="R33" s="610">
        <v>233</v>
      </c>
    </row>
    <row r="34" spans="1:18" ht="14.45" customHeight="1" x14ac:dyDescent="0.2">
      <c r="A34" s="591" t="s">
        <v>944</v>
      </c>
      <c r="B34" s="592" t="s">
        <v>945</v>
      </c>
      <c r="C34" s="592" t="s">
        <v>447</v>
      </c>
      <c r="D34" s="592" t="s">
        <v>959</v>
      </c>
      <c r="E34" s="592" t="s">
        <v>1000</v>
      </c>
      <c r="F34" s="592" t="s">
        <v>1001</v>
      </c>
      <c r="G34" s="609">
        <v>112</v>
      </c>
      <c r="H34" s="609">
        <v>52976</v>
      </c>
      <c r="I34" s="592">
        <v>1.2699813012417893</v>
      </c>
      <c r="J34" s="592">
        <v>473</v>
      </c>
      <c r="K34" s="609">
        <v>88</v>
      </c>
      <c r="L34" s="609">
        <v>41714</v>
      </c>
      <c r="M34" s="592">
        <v>1</v>
      </c>
      <c r="N34" s="592">
        <v>474.02272727272725</v>
      </c>
      <c r="O34" s="609">
        <v>82</v>
      </c>
      <c r="P34" s="609">
        <v>39196</v>
      </c>
      <c r="Q34" s="597">
        <v>0.93963657285323876</v>
      </c>
      <c r="R34" s="610">
        <v>478</v>
      </c>
    </row>
    <row r="35" spans="1:18" ht="14.45" customHeight="1" x14ac:dyDescent="0.2">
      <c r="A35" s="591" t="s">
        <v>944</v>
      </c>
      <c r="B35" s="592" t="s">
        <v>945</v>
      </c>
      <c r="C35" s="592" t="s">
        <v>452</v>
      </c>
      <c r="D35" s="592" t="s">
        <v>946</v>
      </c>
      <c r="E35" s="592" t="s">
        <v>947</v>
      </c>
      <c r="F35" s="592" t="s">
        <v>948</v>
      </c>
      <c r="G35" s="609"/>
      <c r="H35" s="609"/>
      <c r="I35" s="592"/>
      <c r="J35" s="592"/>
      <c r="K35" s="609">
        <v>2.5999999999999996</v>
      </c>
      <c r="L35" s="609">
        <v>140.66</v>
      </c>
      <c r="M35" s="592">
        <v>1</v>
      </c>
      <c r="N35" s="592">
        <v>54.100000000000009</v>
      </c>
      <c r="O35" s="609"/>
      <c r="P35" s="609"/>
      <c r="Q35" s="597"/>
      <c r="R35" s="610"/>
    </row>
    <row r="36" spans="1:18" ht="14.45" customHeight="1" x14ac:dyDescent="0.2">
      <c r="A36" s="591" t="s">
        <v>944</v>
      </c>
      <c r="B36" s="592" t="s">
        <v>945</v>
      </c>
      <c r="C36" s="592" t="s">
        <v>452</v>
      </c>
      <c r="D36" s="592" t="s">
        <v>946</v>
      </c>
      <c r="E36" s="592" t="s">
        <v>955</v>
      </c>
      <c r="F36" s="592" t="s">
        <v>471</v>
      </c>
      <c r="G36" s="609"/>
      <c r="H36" s="609"/>
      <c r="I36" s="592"/>
      <c r="J36" s="592"/>
      <c r="K36" s="609">
        <v>0.64999999999999991</v>
      </c>
      <c r="L36" s="609">
        <v>3.12</v>
      </c>
      <c r="M36" s="592">
        <v>1</v>
      </c>
      <c r="N36" s="592">
        <v>4.8000000000000007</v>
      </c>
      <c r="O36" s="609"/>
      <c r="P36" s="609"/>
      <c r="Q36" s="597"/>
      <c r="R36" s="610"/>
    </row>
    <row r="37" spans="1:18" ht="14.45" customHeight="1" x14ac:dyDescent="0.2">
      <c r="A37" s="591" t="s">
        <v>944</v>
      </c>
      <c r="B37" s="592" t="s">
        <v>945</v>
      </c>
      <c r="C37" s="592" t="s">
        <v>452</v>
      </c>
      <c r="D37" s="592" t="s">
        <v>959</v>
      </c>
      <c r="E37" s="592" t="s">
        <v>964</v>
      </c>
      <c r="F37" s="592" t="s">
        <v>965</v>
      </c>
      <c r="G37" s="609"/>
      <c r="H37" s="609"/>
      <c r="I37" s="592"/>
      <c r="J37" s="592"/>
      <c r="K37" s="609">
        <v>12</v>
      </c>
      <c r="L37" s="609">
        <v>444</v>
      </c>
      <c r="M37" s="592">
        <v>1</v>
      </c>
      <c r="N37" s="592">
        <v>37</v>
      </c>
      <c r="O37" s="609"/>
      <c r="P37" s="609"/>
      <c r="Q37" s="597"/>
      <c r="R37" s="610"/>
    </row>
    <row r="38" spans="1:18" ht="14.45" customHeight="1" x14ac:dyDescent="0.2">
      <c r="A38" s="591" t="s">
        <v>944</v>
      </c>
      <c r="B38" s="592" t="s">
        <v>945</v>
      </c>
      <c r="C38" s="592" t="s">
        <v>452</v>
      </c>
      <c r="D38" s="592" t="s">
        <v>959</v>
      </c>
      <c r="E38" s="592" t="s">
        <v>982</v>
      </c>
      <c r="F38" s="592" t="s">
        <v>983</v>
      </c>
      <c r="G38" s="609"/>
      <c r="H38" s="609"/>
      <c r="I38" s="592"/>
      <c r="J38" s="592"/>
      <c r="K38" s="609">
        <v>13</v>
      </c>
      <c r="L38" s="609">
        <v>1716</v>
      </c>
      <c r="M38" s="592">
        <v>1</v>
      </c>
      <c r="N38" s="592">
        <v>132</v>
      </c>
      <c r="O38" s="609"/>
      <c r="P38" s="609"/>
      <c r="Q38" s="597"/>
      <c r="R38" s="610"/>
    </row>
    <row r="39" spans="1:18" ht="14.45" customHeight="1" x14ac:dyDescent="0.2">
      <c r="A39" s="591" t="s">
        <v>944</v>
      </c>
      <c r="B39" s="592" t="s">
        <v>945</v>
      </c>
      <c r="C39" s="592" t="s">
        <v>452</v>
      </c>
      <c r="D39" s="592" t="s">
        <v>959</v>
      </c>
      <c r="E39" s="592" t="s">
        <v>984</v>
      </c>
      <c r="F39" s="592" t="s">
        <v>985</v>
      </c>
      <c r="G39" s="609"/>
      <c r="H39" s="609"/>
      <c r="I39" s="592"/>
      <c r="J39" s="592"/>
      <c r="K39" s="609">
        <v>1</v>
      </c>
      <c r="L39" s="609">
        <v>74</v>
      </c>
      <c r="M39" s="592">
        <v>1</v>
      </c>
      <c r="N39" s="592">
        <v>74</v>
      </c>
      <c r="O39" s="609">
        <v>2</v>
      </c>
      <c r="P39" s="609">
        <v>150</v>
      </c>
      <c r="Q39" s="597">
        <v>2.0270270270270272</v>
      </c>
      <c r="R39" s="610">
        <v>75</v>
      </c>
    </row>
    <row r="40" spans="1:18" ht="14.45" customHeight="1" x14ac:dyDescent="0.2">
      <c r="A40" s="591" t="s">
        <v>1002</v>
      </c>
      <c r="B40" s="592" t="s">
        <v>1003</v>
      </c>
      <c r="C40" s="592" t="s">
        <v>447</v>
      </c>
      <c r="D40" s="592" t="s">
        <v>959</v>
      </c>
      <c r="E40" s="592" t="s">
        <v>964</v>
      </c>
      <c r="F40" s="592" t="s">
        <v>965</v>
      </c>
      <c r="G40" s="609"/>
      <c r="H40" s="609"/>
      <c r="I40" s="592"/>
      <c r="J40" s="592"/>
      <c r="K40" s="609"/>
      <c r="L40" s="609"/>
      <c r="M40" s="592"/>
      <c r="N40" s="592"/>
      <c r="O40" s="609">
        <v>3</v>
      </c>
      <c r="P40" s="609">
        <v>114</v>
      </c>
      <c r="Q40" s="597"/>
      <c r="R40" s="610">
        <v>38</v>
      </c>
    </row>
    <row r="41" spans="1:18" ht="14.45" customHeight="1" x14ac:dyDescent="0.2">
      <c r="A41" s="591" t="s">
        <v>1002</v>
      </c>
      <c r="B41" s="592" t="s">
        <v>1003</v>
      </c>
      <c r="C41" s="592" t="s">
        <v>447</v>
      </c>
      <c r="D41" s="592" t="s">
        <v>959</v>
      </c>
      <c r="E41" s="592" t="s">
        <v>1004</v>
      </c>
      <c r="F41" s="592" t="s">
        <v>1005</v>
      </c>
      <c r="G41" s="609">
        <v>565</v>
      </c>
      <c r="H41" s="609">
        <v>68365</v>
      </c>
      <c r="I41" s="592">
        <v>0.72389110661682954</v>
      </c>
      <c r="J41" s="592">
        <v>121</v>
      </c>
      <c r="K41" s="609">
        <v>775</v>
      </c>
      <c r="L41" s="609">
        <v>94441</v>
      </c>
      <c r="M41" s="592">
        <v>1</v>
      </c>
      <c r="N41" s="592">
        <v>121.85935483870968</v>
      </c>
      <c r="O41" s="609">
        <v>660</v>
      </c>
      <c r="P41" s="609">
        <v>80520</v>
      </c>
      <c r="Q41" s="597">
        <v>0.85259580055272599</v>
      </c>
      <c r="R41" s="610">
        <v>122</v>
      </c>
    </row>
    <row r="42" spans="1:18" ht="14.45" customHeight="1" x14ac:dyDescent="0.2">
      <c r="A42" s="591" t="s">
        <v>1002</v>
      </c>
      <c r="B42" s="592" t="s">
        <v>1003</v>
      </c>
      <c r="C42" s="592" t="s">
        <v>447</v>
      </c>
      <c r="D42" s="592" t="s">
        <v>959</v>
      </c>
      <c r="E42" s="592" t="s">
        <v>982</v>
      </c>
      <c r="F42" s="592" t="s">
        <v>983</v>
      </c>
      <c r="G42" s="609"/>
      <c r="H42" s="609"/>
      <c r="I42" s="592"/>
      <c r="J42" s="592"/>
      <c r="K42" s="609"/>
      <c r="L42" s="609"/>
      <c r="M42" s="592"/>
      <c r="N42" s="592"/>
      <c r="O42" s="609">
        <v>3</v>
      </c>
      <c r="P42" s="609">
        <v>405</v>
      </c>
      <c r="Q42" s="597"/>
      <c r="R42" s="610">
        <v>135</v>
      </c>
    </row>
    <row r="43" spans="1:18" ht="14.45" customHeight="1" thickBot="1" x14ac:dyDescent="0.25">
      <c r="A43" s="599" t="s">
        <v>1002</v>
      </c>
      <c r="B43" s="600" t="s">
        <v>1003</v>
      </c>
      <c r="C43" s="600" t="s">
        <v>447</v>
      </c>
      <c r="D43" s="600" t="s">
        <v>959</v>
      </c>
      <c r="E43" s="600" t="s">
        <v>984</v>
      </c>
      <c r="F43" s="600" t="s">
        <v>985</v>
      </c>
      <c r="G43" s="611">
        <v>0</v>
      </c>
      <c r="H43" s="611">
        <v>0</v>
      </c>
      <c r="I43" s="600"/>
      <c r="J43" s="600"/>
      <c r="K43" s="611"/>
      <c r="L43" s="611"/>
      <c r="M43" s="600"/>
      <c r="N43" s="600"/>
      <c r="O43" s="611"/>
      <c r="P43" s="611"/>
      <c r="Q43" s="605"/>
      <c r="R43" s="612"/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C135B34C-44E9-4D00-802F-8D82B204EF42}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170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7.7109375" style="129" customWidth="1"/>
    <col min="5" max="5" width="2.140625" style="129" bestFit="1" customWidth="1"/>
    <col min="6" max="6" width="8" style="129" customWidth="1"/>
    <col min="7" max="7" width="50.85546875" style="129" bestFit="1" customWidth="1" collapsed="1"/>
    <col min="8" max="9" width="11.140625" style="207" hidden="1" customWidth="1" outlineLevel="1"/>
    <col min="10" max="11" width="9.28515625" style="129" hidden="1" customWidth="1"/>
    <col min="12" max="13" width="11.140625" style="207" customWidth="1"/>
    <col min="14" max="15" width="9.28515625" style="129" hidden="1" customWidth="1"/>
    <col min="16" max="17" width="11.140625" style="207" customWidth="1"/>
    <col min="18" max="18" width="11.140625" style="210" customWidth="1"/>
    <col min="19" max="19" width="11.140625" style="207" customWidth="1"/>
    <col min="20" max="16384" width="8.85546875" style="129"/>
  </cols>
  <sheetData>
    <row r="1" spans="1:19" ht="18.600000000000001" customHeight="1" thickBot="1" x14ac:dyDescent="0.35">
      <c r="A1" s="329" t="s">
        <v>1007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5" customHeight="1" thickBot="1" x14ac:dyDescent="0.25">
      <c r="A2" s="232" t="s">
        <v>270</v>
      </c>
      <c r="B2" s="197"/>
      <c r="C2" s="197"/>
      <c r="D2" s="197"/>
      <c r="E2" s="111"/>
      <c r="F2" s="111"/>
      <c r="G2" s="111"/>
      <c r="H2" s="230"/>
      <c r="I2" s="230"/>
      <c r="J2" s="111"/>
      <c r="K2" s="111"/>
      <c r="L2" s="230"/>
      <c r="M2" s="230"/>
      <c r="N2" s="111"/>
      <c r="O2" s="111"/>
      <c r="P2" s="230"/>
      <c r="Q2" s="230"/>
      <c r="R2" s="227"/>
      <c r="S2" s="230"/>
    </row>
    <row r="3" spans="1:19" ht="14.45" customHeight="1" thickBot="1" x14ac:dyDescent="0.25">
      <c r="G3" s="87" t="s">
        <v>127</v>
      </c>
      <c r="H3" s="102">
        <f t="shared" ref="H3:Q3" si="0">SUBTOTAL(9,H6:H1048576)</f>
        <v>15873.700000000003</v>
      </c>
      <c r="I3" s="103">
        <f t="shared" si="0"/>
        <v>2029128.2999999996</v>
      </c>
      <c r="J3" s="74"/>
      <c r="K3" s="74"/>
      <c r="L3" s="103">
        <f t="shared" si="0"/>
        <v>15191.299999999997</v>
      </c>
      <c r="M3" s="103">
        <f t="shared" si="0"/>
        <v>1956647.1500000001</v>
      </c>
      <c r="N3" s="74"/>
      <c r="O3" s="74"/>
      <c r="P3" s="103">
        <f t="shared" si="0"/>
        <v>16315.350000000002</v>
      </c>
      <c r="Q3" s="103">
        <f t="shared" si="0"/>
        <v>2132371.9700000002</v>
      </c>
      <c r="R3" s="75">
        <f>IF(M3=0,0,Q3/M3)</f>
        <v>1.0898091513331876</v>
      </c>
      <c r="S3" s="104">
        <f>IF(P3=0,0,Q3/P3)</f>
        <v>130.69728629787286</v>
      </c>
    </row>
    <row r="4" spans="1:19" ht="14.45" customHeight="1" x14ac:dyDescent="0.2">
      <c r="A4" s="446" t="s">
        <v>212</v>
      </c>
      <c r="B4" s="446" t="s">
        <v>94</v>
      </c>
      <c r="C4" s="454" t="s">
        <v>0</v>
      </c>
      <c r="D4" s="266" t="s">
        <v>135</v>
      </c>
      <c r="E4" s="448" t="s">
        <v>95</v>
      </c>
      <c r="F4" s="453" t="s">
        <v>70</v>
      </c>
      <c r="G4" s="449" t="s">
        <v>69</v>
      </c>
      <c r="H4" s="450">
        <v>2015</v>
      </c>
      <c r="I4" s="451"/>
      <c r="J4" s="101"/>
      <c r="K4" s="101"/>
      <c r="L4" s="450">
        <v>2018</v>
      </c>
      <c r="M4" s="451"/>
      <c r="N4" s="101"/>
      <c r="O4" s="101"/>
      <c r="P4" s="450">
        <v>2019</v>
      </c>
      <c r="Q4" s="451"/>
      <c r="R4" s="452" t="s">
        <v>2</v>
      </c>
      <c r="S4" s="447" t="s">
        <v>97</v>
      </c>
    </row>
    <row r="5" spans="1:19" ht="14.45" customHeight="1" thickBot="1" x14ac:dyDescent="0.25">
      <c r="A5" s="654"/>
      <c r="B5" s="654"/>
      <c r="C5" s="655"/>
      <c r="D5" s="664"/>
      <c r="E5" s="656"/>
      <c r="F5" s="657"/>
      <c r="G5" s="658"/>
      <c r="H5" s="659" t="s">
        <v>71</v>
      </c>
      <c r="I5" s="660" t="s">
        <v>14</v>
      </c>
      <c r="J5" s="661"/>
      <c r="K5" s="661"/>
      <c r="L5" s="659" t="s">
        <v>71</v>
      </c>
      <c r="M5" s="660" t="s">
        <v>14</v>
      </c>
      <c r="N5" s="661"/>
      <c r="O5" s="661"/>
      <c r="P5" s="659" t="s">
        <v>71</v>
      </c>
      <c r="Q5" s="660" t="s">
        <v>14</v>
      </c>
      <c r="R5" s="662"/>
      <c r="S5" s="663"/>
    </row>
    <row r="6" spans="1:19" ht="14.45" customHeight="1" x14ac:dyDescent="0.2">
      <c r="A6" s="584" t="s">
        <v>944</v>
      </c>
      <c r="B6" s="585" t="s">
        <v>945</v>
      </c>
      <c r="C6" s="585" t="s">
        <v>447</v>
      </c>
      <c r="D6" s="585" t="s">
        <v>936</v>
      </c>
      <c r="E6" s="585" t="s">
        <v>946</v>
      </c>
      <c r="F6" s="585" t="s">
        <v>947</v>
      </c>
      <c r="G6" s="585" t="s">
        <v>948</v>
      </c>
      <c r="H6" s="116">
        <v>69.47</v>
      </c>
      <c r="I6" s="116">
        <v>3758.3199999999997</v>
      </c>
      <c r="J6" s="585">
        <v>8.4719354402416478</v>
      </c>
      <c r="K6" s="585">
        <v>54.099899237080749</v>
      </c>
      <c r="L6" s="116">
        <v>8.1999999999999993</v>
      </c>
      <c r="M6" s="116">
        <v>443.62</v>
      </c>
      <c r="N6" s="585">
        <v>1</v>
      </c>
      <c r="O6" s="585">
        <v>54.100000000000009</v>
      </c>
      <c r="P6" s="116">
        <v>7.8000000000000007</v>
      </c>
      <c r="Q6" s="116">
        <v>424.14</v>
      </c>
      <c r="R6" s="590">
        <v>0.95608854424958289</v>
      </c>
      <c r="S6" s="608">
        <v>54.37692307692307</v>
      </c>
    </row>
    <row r="7" spans="1:19" ht="14.45" customHeight="1" x14ac:dyDescent="0.2">
      <c r="A7" s="591" t="s">
        <v>944</v>
      </c>
      <c r="B7" s="592" t="s">
        <v>945</v>
      </c>
      <c r="C7" s="592" t="s">
        <v>447</v>
      </c>
      <c r="D7" s="592" t="s">
        <v>936</v>
      </c>
      <c r="E7" s="592" t="s">
        <v>946</v>
      </c>
      <c r="F7" s="592" t="s">
        <v>949</v>
      </c>
      <c r="G7" s="592" t="s">
        <v>483</v>
      </c>
      <c r="H7" s="609"/>
      <c r="I7" s="609"/>
      <c r="J7" s="592"/>
      <c r="K7" s="592"/>
      <c r="L7" s="609">
        <v>0.2</v>
      </c>
      <c r="M7" s="609">
        <v>27.3</v>
      </c>
      <c r="N7" s="592">
        <v>1</v>
      </c>
      <c r="O7" s="592">
        <v>136.5</v>
      </c>
      <c r="P7" s="609"/>
      <c r="Q7" s="609"/>
      <c r="R7" s="597"/>
      <c r="S7" s="610"/>
    </row>
    <row r="8" spans="1:19" ht="14.45" customHeight="1" x14ac:dyDescent="0.2">
      <c r="A8" s="591" t="s">
        <v>944</v>
      </c>
      <c r="B8" s="592" t="s">
        <v>945</v>
      </c>
      <c r="C8" s="592" t="s">
        <v>447</v>
      </c>
      <c r="D8" s="592" t="s">
        <v>936</v>
      </c>
      <c r="E8" s="592" t="s">
        <v>946</v>
      </c>
      <c r="F8" s="592" t="s">
        <v>950</v>
      </c>
      <c r="G8" s="592" t="s">
        <v>488</v>
      </c>
      <c r="H8" s="609">
        <v>5.0000000000000009</v>
      </c>
      <c r="I8" s="609">
        <v>307.12</v>
      </c>
      <c r="J8" s="592">
        <v>6.3916753381893869</v>
      </c>
      <c r="K8" s="592">
        <v>61.423999999999992</v>
      </c>
      <c r="L8" s="609">
        <v>0.79999999999999993</v>
      </c>
      <c r="M8" s="609">
        <v>48.05</v>
      </c>
      <c r="N8" s="592">
        <v>1</v>
      </c>
      <c r="O8" s="592">
        <v>60.0625</v>
      </c>
      <c r="P8" s="609">
        <v>0.89999999999999991</v>
      </c>
      <c r="Q8" s="609">
        <v>45.540000000000006</v>
      </c>
      <c r="R8" s="597">
        <v>0.9477627471383977</v>
      </c>
      <c r="S8" s="610">
        <v>50.600000000000009</v>
      </c>
    </row>
    <row r="9" spans="1:19" ht="14.45" customHeight="1" x14ac:dyDescent="0.2">
      <c r="A9" s="591" t="s">
        <v>944</v>
      </c>
      <c r="B9" s="592" t="s">
        <v>945</v>
      </c>
      <c r="C9" s="592" t="s">
        <v>447</v>
      </c>
      <c r="D9" s="592" t="s">
        <v>936</v>
      </c>
      <c r="E9" s="592" t="s">
        <v>946</v>
      </c>
      <c r="F9" s="592" t="s">
        <v>951</v>
      </c>
      <c r="G9" s="592" t="s">
        <v>952</v>
      </c>
      <c r="H9" s="609">
        <v>1.4</v>
      </c>
      <c r="I9" s="609">
        <v>247.8</v>
      </c>
      <c r="J9" s="592">
        <v>7.0000000000000009</v>
      </c>
      <c r="K9" s="592">
        <v>177.00000000000003</v>
      </c>
      <c r="L9" s="609">
        <v>0.2</v>
      </c>
      <c r="M9" s="609">
        <v>35.4</v>
      </c>
      <c r="N9" s="592">
        <v>1</v>
      </c>
      <c r="O9" s="592">
        <v>176.99999999999997</v>
      </c>
      <c r="P9" s="609">
        <v>0.1</v>
      </c>
      <c r="Q9" s="609">
        <v>17.7</v>
      </c>
      <c r="R9" s="597">
        <v>0.5</v>
      </c>
      <c r="S9" s="610">
        <v>176.99999999999997</v>
      </c>
    </row>
    <row r="10" spans="1:19" ht="14.45" customHeight="1" x14ac:dyDescent="0.2">
      <c r="A10" s="591" t="s">
        <v>944</v>
      </c>
      <c r="B10" s="592" t="s">
        <v>945</v>
      </c>
      <c r="C10" s="592" t="s">
        <v>447</v>
      </c>
      <c r="D10" s="592" t="s">
        <v>936</v>
      </c>
      <c r="E10" s="592" t="s">
        <v>946</v>
      </c>
      <c r="F10" s="592" t="s">
        <v>955</v>
      </c>
      <c r="G10" s="592" t="s">
        <v>471</v>
      </c>
      <c r="H10" s="609">
        <v>16.25</v>
      </c>
      <c r="I10" s="609">
        <v>78.069999999999993</v>
      </c>
      <c r="J10" s="592">
        <v>7.933943089430894</v>
      </c>
      <c r="K10" s="592">
        <v>4.8043076923076917</v>
      </c>
      <c r="L10" s="609">
        <v>2.0499999999999998</v>
      </c>
      <c r="M10" s="609">
        <v>9.84</v>
      </c>
      <c r="N10" s="592">
        <v>1</v>
      </c>
      <c r="O10" s="592">
        <v>4.8000000000000007</v>
      </c>
      <c r="P10" s="609">
        <v>2.15</v>
      </c>
      <c r="Q10" s="609">
        <v>10.32</v>
      </c>
      <c r="R10" s="597">
        <v>1.0487804878048781</v>
      </c>
      <c r="S10" s="610">
        <v>4.8000000000000007</v>
      </c>
    </row>
    <row r="11" spans="1:19" ht="14.45" customHeight="1" x14ac:dyDescent="0.2">
      <c r="A11" s="591" t="s">
        <v>944</v>
      </c>
      <c r="B11" s="592" t="s">
        <v>945</v>
      </c>
      <c r="C11" s="592" t="s">
        <v>447</v>
      </c>
      <c r="D11" s="592" t="s">
        <v>936</v>
      </c>
      <c r="E11" s="592" t="s">
        <v>946</v>
      </c>
      <c r="F11" s="592" t="s">
        <v>956</v>
      </c>
      <c r="G11" s="592" t="s">
        <v>957</v>
      </c>
      <c r="H11" s="609">
        <v>18</v>
      </c>
      <c r="I11" s="609">
        <v>1879.92</v>
      </c>
      <c r="J11" s="592"/>
      <c r="K11" s="592">
        <v>104.44</v>
      </c>
      <c r="L11" s="609"/>
      <c r="M11" s="609"/>
      <c r="N11" s="592"/>
      <c r="O11" s="592"/>
      <c r="P11" s="609"/>
      <c r="Q11" s="609"/>
      <c r="R11" s="597"/>
      <c r="S11" s="610"/>
    </row>
    <row r="12" spans="1:19" ht="14.45" customHeight="1" x14ac:dyDescent="0.2">
      <c r="A12" s="591" t="s">
        <v>944</v>
      </c>
      <c r="B12" s="592" t="s">
        <v>945</v>
      </c>
      <c r="C12" s="592" t="s">
        <v>447</v>
      </c>
      <c r="D12" s="592" t="s">
        <v>936</v>
      </c>
      <c r="E12" s="592" t="s">
        <v>959</v>
      </c>
      <c r="F12" s="592" t="s">
        <v>960</v>
      </c>
      <c r="G12" s="592" t="s">
        <v>961</v>
      </c>
      <c r="H12" s="609">
        <v>108</v>
      </c>
      <c r="I12" s="609">
        <v>19764</v>
      </c>
      <c r="J12" s="592">
        <v>1.0634954799827809</v>
      </c>
      <c r="K12" s="592">
        <v>183</v>
      </c>
      <c r="L12" s="609">
        <v>101</v>
      </c>
      <c r="M12" s="609">
        <v>18584</v>
      </c>
      <c r="N12" s="592">
        <v>1</v>
      </c>
      <c r="O12" s="592">
        <v>184</v>
      </c>
      <c r="P12" s="609">
        <v>58</v>
      </c>
      <c r="Q12" s="609">
        <v>10730</v>
      </c>
      <c r="R12" s="597">
        <v>0.57737839001291436</v>
      </c>
      <c r="S12" s="610">
        <v>185</v>
      </c>
    </row>
    <row r="13" spans="1:19" ht="14.45" customHeight="1" x14ac:dyDescent="0.2">
      <c r="A13" s="591" t="s">
        <v>944</v>
      </c>
      <c r="B13" s="592" t="s">
        <v>945</v>
      </c>
      <c r="C13" s="592" t="s">
        <v>447</v>
      </c>
      <c r="D13" s="592" t="s">
        <v>936</v>
      </c>
      <c r="E13" s="592" t="s">
        <v>959</v>
      </c>
      <c r="F13" s="592" t="s">
        <v>962</v>
      </c>
      <c r="G13" s="592" t="s">
        <v>963</v>
      </c>
      <c r="H13" s="609">
        <v>22</v>
      </c>
      <c r="I13" s="609">
        <v>2684</v>
      </c>
      <c r="J13" s="592">
        <v>1.5751173708920188</v>
      </c>
      <c r="K13" s="592">
        <v>122</v>
      </c>
      <c r="L13" s="609">
        <v>14</v>
      </c>
      <c r="M13" s="609">
        <v>1704</v>
      </c>
      <c r="N13" s="592">
        <v>1</v>
      </c>
      <c r="O13" s="592">
        <v>121.71428571428571</v>
      </c>
      <c r="P13" s="609">
        <v>14</v>
      </c>
      <c r="Q13" s="609">
        <v>1708</v>
      </c>
      <c r="R13" s="597">
        <v>1.0023474178403755</v>
      </c>
      <c r="S13" s="610">
        <v>122</v>
      </c>
    </row>
    <row r="14" spans="1:19" ht="14.45" customHeight="1" x14ac:dyDescent="0.2">
      <c r="A14" s="591" t="s">
        <v>944</v>
      </c>
      <c r="B14" s="592" t="s">
        <v>945</v>
      </c>
      <c r="C14" s="592" t="s">
        <v>447</v>
      </c>
      <c r="D14" s="592" t="s">
        <v>936</v>
      </c>
      <c r="E14" s="592" t="s">
        <v>959</v>
      </c>
      <c r="F14" s="592" t="s">
        <v>964</v>
      </c>
      <c r="G14" s="592" t="s">
        <v>965</v>
      </c>
      <c r="H14" s="609">
        <v>516</v>
      </c>
      <c r="I14" s="609">
        <v>19092</v>
      </c>
      <c r="J14" s="592">
        <v>0.98098859315589348</v>
      </c>
      <c r="K14" s="592">
        <v>37</v>
      </c>
      <c r="L14" s="609">
        <v>526</v>
      </c>
      <c r="M14" s="609">
        <v>19462</v>
      </c>
      <c r="N14" s="592">
        <v>1</v>
      </c>
      <c r="O14" s="592">
        <v>37</v>
      </c>
      <c r="P14" s="609">
        <v>487</v>
      </c>
      <c r="Q14" s="609">
        <v>18506</v>
      </c>
      <c r="R14" s="597">
        <v>0.95087863528928163</v>
      </c>
      <c r="S14" s="610">
        <v>38</v>
      </c>
    </row>
    <row r="15" spans="1:19" ht="14.45" customHeight="1" x14ac:dyDescent="0.2">
      <c r="A15" s="591" t="s">
        <v>944</v>
      </c>
      <c r="B15" s="592" t="s">
        <v>945</v>
      </c>
      <c r="C15" s="592" t="s">
        <v>447</v>
      </c>
      <c r="D15" s="592" t="s">
        <v>936</v>
      </c>
      <c r="E15" s="592" t="s">
        <v>959</v>
      </c>
      <c r="F15" s="592" t="s">
        <v>966</v>
      </c>
      <c r="G15" s="592" t="s">
        <v>967</v>
      </c>
      <c r="H15" s="609">
        <v>1</v>
      </c>
      <c r="I15" s="609">
        <v>10</v>
      </c>
      <c r="J15" s="592"/>
      <c r="K15" s="592">
        <v>10</v>
      </c>
      <c r="L15" s="609"/>
      <c r="M15" s="609"/>
      <c r="N15" s="592"/>
      <c r="O15" s="592"/>
      <c r="P15" s="609"/>
      <c r="Q15" s="609"/>
      <c r="R15" s="597"/>
      <c r="S15" s="610"/>
    </row>
    <row r="16" spans="1:19" ht="14.45" customHeight="1" x14ac:dyDescent="0.2">
      <c r="A16" s="591" t="s">
        <v>944</v>
      </c>
      <c r="B16" s="592" t="s">
        <v>945</v>
      </c>
      <c r="C16" s="592" t="s">
        <v>447</v>
      </c>
      <c r="D16" s="592" t="s">
        <v>936</v>
      </c>
      <c r="E16" s="592" t="s">
        <v>959</v>
      </c>
      <c r="F16" s="592" t="s">
        <v>968</v>
      </c>
      <c r="G16" s="592" t="s">
        <v>969</v>
      </c>
      <c r="H16" s="609">
        <v>32</v>
      </c>
      <c r="I16" s="609">
        <v>160</v>
      </c>
      <c r="J16" s="592">
        <v>1.1428571428571428</v>
      </c>
      <c r="K16" s="592">
        <v>5</v>
      </c>
      <c r="L16" s="609">
        <v>28</v>
      </c>
      <c r="M16" s="609">
        <v>140</v>
      </c>
      <c r="N16" s="592">
        <v>1</v>
      </c>
      <c r="O16" s="592">
        <v>5</v>
      </c>
      <c r="P16" s="609">
        <v>43</v>
      </c>
      <c r="Q16" s="609">
        <v>215</v>
      </c>
      <c r="R16" s="597">
        <v>1.5357142857142858</v>
      </c>
      <c r="S16" s="610">
        <v>5</v>
      </c>
    </row>
    <row r="17" spans="1:19" ht="14.45" customHeight="1" x14ac:dyDescent="0.2">
      <c r="A17" s="591" t="s">
        <v>944</v>
      </c>
      <c r="B17" s="592" t="s">
        <v>945</v>
      </c>
      <c r="C17" s="592" t="s">
        <v>447</v>
      </c>
      <c r="D17" s="592" t="s">
        <v>936</v>
      </c>
      <c r="E17" s="592" t="s">
        <v>959</v>
      </c>
      <c r="F17" s="592" t="s">
        <v>970</v>
      </c>
      <c r="G17" s="592" t="s">
        <v>971</v>
      </c>
      <c r="H17" s="609">
        <v>5</v>
      </c>
      <c r="I17" s="609">
        <v>25</v>
      </c>
      <c r="J17" s="592">
        <v>1.6666666666666667</v>
      </c>
      <c r="K17" s="592">
        <v>5</v>
      </c>
      <c r="L17" s="609">
        <v>3</v>
      </c>
      <c r="M17" s="609">
        <v>15</v>
      </c>
      <c r="N17" s="592">
        <v>1</v>
      </c>
      <c r="O17" s="592">
        <v>5</v>
      </c>
      <c r="P17" s="609">
        <v>3</v>
      </c>
      <c r="Q17" s="609">
        <v>15</v>
      </c>
      <c r="R17" s="597">
        <v>1</v>
      </c>
      <c r="S17" s="610">
        <v>5</v>
      </c>
    </row>
    <row r="18" spans="1:19" ht="14.45" customHeight="1" x14ac:dyDescent="0.2">
      <c r="A18" s="591" t="s">
        <v>944</v>
      </c>
      <c r="B18" s="592" t="s">
        <v>945</v>
      </c>
      <c r="C18" s="592" t="s">
        <v>447</v>
      </c>
      <c r="D18" s="592" t="s">
        <v>936</v>
      </c>
      <c r="E18" s="592" t="s">
        <v>959</v>
      </c>
      <c r="F18" s="592" t="s">
        <v>972</v>
      </c>
      <c r="G18" s="592" t="s">
        <v>973</v>
      </c>
      <c r="H18" s="609"/>
      <c r="I18" s="609"/>
      <c r="J18" s="592"/>
      <c r="K18" s="592"/>
      <c r="L18" s="609">
        <v>1</v>
      </c>
      <c r="M18" s="609">
        <v>74</v>
      </c>
      <c r="N18" s="592">
        <v>1</v>
      </c>
      <c r="O18" s="592">
        <v>74</v>
      </c>
      <c r="P18" s="609">
        <v>3</v>
      </c>
      <c r="Q18" s="609">
        <v>225</v>
      </c>
      <c r="R18" s="597">
        <v>3.0405405405405403</v>
      </c>
      <c r="S18" s="610">
        <v>75</v>
      </c>
    </row>
    <row r="19" spans="1:19" ht="14.45" customHeight="1" x14ac:dyDescent="0.2">
      <c r="A19" s="591" t="s">
        <v>944</v>
      </c>
      <c r="B19" s="592" t="s">
        <v>945</v>
      </c>
      <c r="C19" s="592" t="s">
        <v>447</v>
      </c>
      <c r="D19" s="592" t="s">
        <v>936</v>
      </c>
      <c r="E19" s="592" t="s">
        <v>959</v>
      </c>
      <c r="F19" s="592" t="s">
        <v>974</v>
      </c>
      <c r="G19" s="592" t="s">
        <v>975</v>
      </c>
      <c r="H19" s="609"/>
      <c r="I19" s="609"/>
      <c r="J19" s="592"/>
      <c r="K19" s="592"/>
      <c r="L19" s="609"/>
      <c r="M19" s="609"/>
      <c r="N19" s="592"/>
      <c r="O19" s="592"/>
      <c r="P19" s="609">
        <v>1</v>
      </c>
      <c r="Q19" s="609">
        <v>179</v>
      </c>
      <c r="R19" s="597"/>
      <c r="S19" s="610">
        <v>179</v>
      </c>
    </row>
    <row r="20" spans="1:19" ht="14.45" customHeight="1" x14ac:dyDescent="0.2">
      <c r="A20" s="591" t="s">
        <v>944</v>
      </c>
      <c r="B20" s="592" t="s">
        <v>945</v>
      </c>
      <c r="C20" s="592" t="s">
        <v>447</v>
      </c>
      <c r="D20" s="592" t="s">
        <v>936</v>
      </c>
      <c r="E20" s="592" t="s">
        <v>959</v>
      </c>
      <c r="F20" s="592" t="s">
        <v>976</v>
      </c>
      <c r="G20" s="592" t="s">
        <v>977</v>
      </c>
      <c r="H20" s="609">
        <v>313</v>
      </c>
      <c r="I20" s="609">
        <v>85136</v>
      </c>
      <c r="J20" s="592">
        <v>1.3668122270742358</v>
      </c>
      <c r="K20" s="592">
        <v>272</v>
      </c>
      <c r="L20" s="609">
        <v>229</v>
      </c>
      <c r="M20" s="609">
        <v>62288</v>
      </c>
      <c r="N20" s="592">
        <v>1</v>
      </c>
      <c r="O20" s="592">
        <v>272</v>
      </c>
      <c r="P20" s="609">
        <v>384</v>
      </c>
      <c r="Q20" s="609">
        <v>105216</v>
      </c>
      <c r="R20" s="597">
        <v>1.6891857179553045</v>
      </c>
      <c r="S20" s="610">
        <v>274</v>
      </c>
    </row>
    <row r="21" spans="1:19" ht="14.45" customHeight="1" x14ac:dyDescent="0.2">
      <c r="A21" s="591" t="s">
        <v>944</v>
      </c>
      <c r="B21" s="592" t="s">
        <v>945</v>
      </c>
      <c r="C21" s="592" t="s">
        <v>447</v>
      </c>
      <c r="D21" s="592" t="s">
        <v>936</v>
      </c>
      <c r="E21" s="592" t="s">
        <v>959</v>
      </c>
      <c r="F21" s="592" t="s">
        <v>978</v>
      </c>
      <c r="G21" s="592" t="s">
        <v>979</v>
      </c>
      <c r="H21" s="609">
        <v>1</v>
      </c>
      <c r="I21" s="609">
        <v>33.33</v>
      </c>
      <c r="J21" s="592">
        <v>0.49992500374981247</v>
      </c>
      <c r="K21" s="592">
        <v>33.33</v>
      </c>
      <c r="L21" s="609">
        <v>2</v>
      </c>
      <c r="M21" s="609">
        <v>66.67</v>
      </c>
      <c r="N21" s="592">
        <v>1</v>
      </c>
      <c r="O21" s="592">
        <v>33.335000000000001</v>
      </c>
      <c r="P21" s="609">
        <v>3</v>
      </c>
      <c r="Q21" s="609">
        <v>99.99</v>
      </c>
      <c r="R21" s="597">
        <v>1.4997750112494375</v>
      </c>
      <c r="S21" s="610">
        <v>33.33</v>
      </c>
    </row>
    <row r="22" spans="1:19" ht="14.45" customHeight="1" x14ac:dyDescent="0.2">
      <c r="A22" s="591" t="s">
        <v>944</v>
      </c>
      <c r="B22" s="592" t="s">
        <v>945</v>
      </c>
      <c r="C22" s="592" t="s">
        <v>447</v>
      </c>
      <c r="D22" s="592" t="s">
        <v>936</v>
      </c>
      <c r="E22" s="592" t="s">
        <v>959</v>
      </c>
      <c r="F22" s="592" t="s">
        <v>980</v>
      </c>
      <c r="G22" s="592" t="s">
        <v>981</v>
      </c>
      <c r="H22" s="609">
        <v>474</v>
      </c>
      <c r="I22" s="609">
        <v>17538</v>
      </c>
      <c r="J22" s="592">
        <v>1.0193548387096774</v>
      </c>
      <c r="K22" s="592">
        <v>37</v>
      </c>
      <c r="L22" s="609">
        <v>465</v>
      </c>
      <c r="M22" s="609">
        <v>17205</v>
      </c>
      <c r="N22" s="592">
        <v>1</v>
      </c>
      <c r="O22" s="592">
        <v>37</v>
      </c>
      <c r="P22" s="609">
        <v>432</v>
      </c>
      <c r="Q22" s="609">
        <v>16416</v>
      </c>
      <c r="R22" s="597">
        <v>0.95414123801220574</v>
      </c>
      <c r="S22" s="610">
        <v>38</v>
      </c>
    </row>
    <row r="23" spans="1:19" ht="14.45" customHeight="1" x14ac:dyDescent="0.2">
      <c r="A23" s="591" t="s">
        <v>944</v>
      </c>
      <c r="B23" s="592" t="s">
        <v>945</v>
      </c>
      <c r="C23" s="592" t="s">
        <v>447</v>
      </c>
      <c r="D23" s="592" t="s">
        <v>936</v>
      </c>
      <c r="E23" s="592" t="s">
        <v>959</v>
      </c>
      <c r="F23" s="592" t="s">
        <v>982</v>
      </c>
      <c r="G23" s="592" t="s">
        <v>983</v>
      </c>
      <c r="H23" s="609">
        <v>36</v>
      </c>
      <c r="I23" s="609">
        <v>4752</v>
      </c>
      <c r="J23" s="592">
        <v>1</v>
      </c>
      <c r="K23" s="592">
        <v>132</v>
      </c>
      <c r="L23" s="609">
        <v>36</v>
      </c>
      <c r="M23" s="609">
        <v>4752</v>
      </c>
      <c r="N23" s="592">
        <v>1</v>
      </c>
      <c r="O23" s="592">
        <v>132</v>
      </c>
      <c r="P23" s="609">
        <v>24</v>
      </c>
      <c r="Q23" s="609">
        <v>3240</v>
      </c>
      <c r="R23" s="597">
        <v>0.68181818181818177</v>
      </c>
      <c r="S23" s="610">
        <v>135</v>
      </c>
    </row>
    <row r="24" spans="1:19" ht="14.45" customHeight="1" x14ac:dyDescent="0.2">
      <c r="A24" s="591" t="s">
        <v>944</v>
      </c>
      <c r="B24" s="592" t="s">
        <v>945</v>
      </c>
      <c r="C24" s="592" t="s">
        <v>447</v>
      </c>
      <c r="D24" s="592" t="s">
        <v>936</v>
      </c>
      <c r="E24" s="592" t="s">
        <v>959</v>
      </c>
      <c r="F24" s="592" t="s">
        <v>984</v>
      </c>
      <c r="G24" s="592" t="s">
        <v>985</v>
      </c>
      <c r="H24" s="609">
        <v>561</v>
      </c>
      <c r="I24" s="609">
        <v>41514</v>
      </c>
      <c r="J24" s="592">
        <v>0.67835550181378479</v>
      </c>
      <c r="K24" s="592">
        <v>74</v>
      </c>
      <c r="L24" s="609">
        <v>827</v>
      </c>
      <c r="M24" s="609">
        <v>61198</v>
      </c>
      <c r="N24" s="592">
        <v>1</v>
      </c>
      <c r="O24" s="592">
        <v>74</v>
      </c>
      <c r="P24" s="609">
        <v>1196</v>
      </c>
      <c r="Q24" s="609">
        <v>89700</v>
      </c>
      <c r="R24" s="597">
        <v>1.4657341743194221</v>
      </c>
      <c r="S24" s="610">
        <v>75</v>
      </c>
    </row>
    <row r="25" spans="1:19" ht="14.45" customHeight="1" x14ac:dyDescent="0.2">
      <c r="A25" s="591" t="s">
        <v>944</v>
      </c>
      <c r="B25" s="592" t="s">
        <v>945</v>
      </c>
      <c r="C25" s="592" t="s">
        <v>447</v>
      </c>
      <c r="D25" s="592" t="s">
        <v>936</v>
      </c>
      <c r="E25" s="592" t="s">
        <v>959</v>
      </c>
      <c r="F25" s="592" t="s">
        <v>986</v>
      </c>
      <c r="G25" s="592" t="s">
        <v>987</v>
      </c>
      <c r="H25" s="609">
        <v>1</v>
      </c>
      <c r="I25" s="609">
        <v>355</v>
      </c>
      <c r="J25" s="592"/>
      <c r="K25" s="592">
        <v>355</v>
      </c>
      <c r="L25" s="609"/>
      <c r="M25" s="609"/>
      <c r="N25" s="592"/>
      <c r="O25" s="592"/>
      <c r="P25" s="609"/>
      <c r="Q25" s="609"/>
      <c r="R25" s="597"/>
      <c r="S25" s="610"/>
    </row>
    <row r="26" spans="1:19" ht="14.45" customHeight="1" x14ac:dyDescent="0.2">
      <c r="A26" s="591" t="s">
        <v>944</v>
      </c>
      <c r="B26" s="592" t="s">
        <v>945</v>
      </c>
      <c r="C26" s="592" t="s">
        <v>447</v>
      </c>
      <c r="D26" s="592" t="s">
        <v>936</v>
      </c>
      <c r="E26" s="592" t="s">
        <v>959</v>
      </c>
      <c r="F26" s="592" t="s">
        <v>988</v>
      </c>
      <c r="G26" s="592" t="s">
        <v>989</v>
      </c>
      <c r="H26" s="609">
        <v>1</v>
      </c>
      <c r="I26" s="609">
        <v>223</v>
      </c>
      <c r="J26" s="592">
        <v>0.14285714285714285</v>
      </c>
      <c r="K26" s="592">
        <v>223</v>
      </c>
      <c r="L26" s="609">
        <v>7</v>
      </c>
      <c r="M26" s="609">
        <v>1561</v>
      </c>
      <c r="N26" s="592">
        <v>1</v>
      </c>
      <c r="O26" s="592">
        <v>223</v>
      </c>
      <c r="P26" s="609">
        <v>9</v>
      </c>
      <c r="Q26" s="609">
        <v>2034</v>
      </c>
      <c r="R26" s="597">
        <v>1.3030108904548365</v>
      </c>
      <c r="S26" s="610">
        <v>226</v>
      </c>
    </row>
    <row r="27" spans="1:19" ht="14.45" customHeight="1" x14ac:dyDescent="0.2">
      <c r="A27" s="591" t="s">
        <v>944</v>
      </c>
      <c r="B27" s="592" t="s">
        <v>945</v>
      </c>
      <c r="C27" s="592" t="s">
        <v>447</v>
      </c>
      <c r="D27" s="592" t="s">
        <v>936</v>
      </c>
      <c r="E27" s="592" t="s">
        <v>959</v>
      </c>
      <c r="F27" s="592" t="s">
        <v>990</v>
      </c>
      <c r="G27" s="592" t="s">
        <v>991</v>
      </c>
      <c r="H27" s="609">
        <v>432</v>
      </c>
      <c r="I27" s="609">
        <v>33264</v>
      </c>
      <c r="J27" s="592">
        <v>1.3333333333333333</v>
      </c>
      <c r="K27" s="592">
        <v>77</v>
      </c>
      <c r="L27" s="609">
        <v>324</v>
      </c>
      <c r="M27" s="609">
        <v>24948</v>
      </c>
      <c r="N27" s="592">
        <v>1</v>
      </c>
      <c r="O27" s="592">
        <v>77</v>
      </c>
      <c r="P27" s="609">
        <v>471</v>
      </c>
      <c r="Q27" s="609">
        <v>36738</v>
      </c>
      <c r="R27" s="597">
        <v>1.4725829725829727</v>
      </c>
      <c r="S27" s="610">
        <v>78</v>
      </c>
    </row>
    <row r="28" spans="1:19" ht="14.45" customHeight="1" x14ac:dyDescent="0.2">
      <c r="A28" s="591" t="s">
        <v>944</v>
      </c>
      <c r="B28" s="592" t="s">
        <v>945</v>
      </c>
      <c r="C28" s="592" t="s">
        <v>447</v>
      </c>
      <c r="D28" s="592" t="s">
        <v>936</v>
      </c>
      <c r="E28" s="592" t="s">
        <v>959</v>
      </c>
      <c r="F28" s="592" t="s">
        <v>992</v>
      </c>
      <c r="G28" s="592" t="s">
        <v>993</v>
      </c>
      <c r="H28" s="609">
        <v>113</v>
      </c>
      <c r="I28" s="609">
        <v>3164</v>
      </c>
      <c r="J28" s="592">
        <v>1.2840909090909092</v>
      </c>
      <c r="K28" s="592">
        <v>28</v>
      </c>
      <c r="L28" s="609">
        <v>88</v>
      </c>
      <c r="M28" s="609">
        <v>2464</v>
      </c>
      <c r="N28" s="592">
        <v>1</v>
      </c>
      <c r="O28" s="592">
        <v>28</v>
      </c>
      <c r="P28" s="609">
        <v>74</v>
      </c>
      <c r="Q28" s="609">
        <v>2146</v>
      </c>
      <c r="R28" s="597">
        <v>0.87094155844155841</v>
      </c>
      <c r="S28" s="610">
        <v>29</v>
      </c>
    </row>
    <row r="29" spans="1:19" ht="14.45" customHeight="1" x14ac:dyDescent="0.2">
      <c r="A29" s="591" t="s">
        <v>944</v>
      </c>
      <c r="B29" s="592" t="s">
        <v>945</v>
      </c>
      <c r="C29" s="592" t="s">
        <v>447</v>
      </c>
      <c r="D29" s="592" t="s">
        <v>936</v>
      </c>
      <c r="E29" s="592" t="s">
        <v>959</v>
      </c>
      <c r="F29" s="592" t="s">
        <v>994</v>
      </c>
      <c r="G29" s="592" t="s">
        <v>995</v>
      </c>
      <c r="H29" s="609">
        <v>127</v>
      </c>
      <c r="I29" s="609">
        <v>7493</v>
      </c>
      <c r="J29" s="592">
        <v>1.0382430372731051</v>
      </c>
      <c r="K29" s="592">
        <v>59</v>
      </c>
      <c r="L29" s="609">
        <v>122</v>
      </c>
      <c r="M29" s="609">
        <v>7217</v>
      </c>
      <c r="N29" s="592">
        <v>1</v>
      </c>
      <c r="O29" s="592">
        <v>59.155737704918032</v>
      </c>
      <c r="P29" s="609">
        <v>91</v>
      </c>
      <c r="Q29" s="609">
        <v>5551</v>
      </c>
      <c r="R29" s="597">
        <v>0.76915615906886514</v>
      </c>
      <c r="S29" s="610">
        <v>61</v>
      </c>
    </row>
    <row r="30" spans="1:19" ht="14.45" customHeight="1" x14ac:dyDescent="0.2">
      <c r="A30" s="591" t="s">
        <v>944</v>
      </c>
      <c r="B30" s="592" t="s">
        <v>945</v>
      </c>
      <c r="C30" s="592" t="s">
        <v>447</v>
      </c>
      <c r="D30" s="592" t="s">
        <v>936</v>
      </c>
      <c r="E30" s="592" t="s">
        <v>959</v>
      </c>
      <c r="F30" s="592" t="s">
        <v>996</v>
      </c>
      <c r="G30" s="592" t="s">
        <v>997</v>
      </c>
      <c r="H30" s="609">
        <v>1</v>
      </c>
      <c r="I30" s="609">
        <v>701</v>
      </c>
      <c r="J30" s="592">
        <v>0.33285849952516622</v>
      </c>
      <c r="K30" s="592">
        <v>701</v>
      </c>
      <c r="L30" s="609">
        <v>3</v>
      </c>
      <c r="M30" s="609">
        <v>2106</v>
      </c>
      <c r="N30" s="592">
        <v>1</v>
      </c>
      <c r="O30" s="592">
        <v>702</v>
      </c>
      <c r="P30" s="609">
        <v>2</v>
      </c>
      <c r="Q30" s="609">
        <v>1414</v>
      </c>
      <c r="R30" s="597">
        <v>0.67141500474833804</v>
      </c>
      <c r="S30" s="610">
        <v>707</v>
      </c>
    </row>
    <row r="31" spans="1:19" ht="14.45" customHeight="1" x14ac:dyDescent="0.2">
      <c r="A31" s="591" t="s">
        <v>944</v>
      </c>
      <c r="B31" s="592" t="s">
        <v>945</v>
      </c>
      <c r="C31" s="592" t="s">
        <v>447</v>
      </c>
      <c r="D31" s="592" t="s">
        <v>936</v>
      </c>
      <c r="E31" s="592" t="s">
        <v>959</v>
      </c>
      <c r="F31" s="592" t="s">
        <v>998</v>
      </c>
      <c r="G31" s="592" t="s">
        <v>999</v>
      </c>
      <c r="H31" s="609">
        <v>17</v>
      </c>
      <c r="I31" s="609">
        <v>3927</v>
      </c>
      <c r="J31" s="592">
        <v>3.385344827586207</v>
      </c>
      <c r="K31" s="592">
        <v>231</v>
      </c>
      <c r="L31" s="609">
        <v>5</v>
      </c>
      <c r="M31" s="609">
        <v>1160</v>
      </c>
      <c r="N31" s="592">
        <v>1</v>
      </c>
      <c r="O31" s="592">
        <v>232</v>
      </c>
      <c r="P31" s="609">
        <v>6</v>
      </c>
      <c r="Q31" s="609">
        <v>1398</v>
      </c>
      <c r="R31" s="597">
        <v>1.2051724137931035</v>
      </c>
      <c r="S31" s="610">
        <v>233</v>
      </c>
    </row>
    <row r="32" spans="1:19" ht="14.45" customHeight="1" x14ac:dyDescent="0.2">
      <c r="A32" s="591" t="s">
        <v>944</v>
      </c>
      <c r="B32" s="592" t="s">
        <v>945</v>
      </c>
      <c r="C32" s="592" t="s">
        <v>447</v>
      </c>
      <c r="D32" s="592" t="s">
        <v>936</v>
      </c>
      <c r="E32" s="592" t="s">
        <v>959</v>
      </c>
      <c r="F32" s="592" t="s">
        <v>1000</v>
      </c>
      <c r="G32" s="592" t="s">
        <v>1001</v>
      </c>
      <c r="H32" s="609">
        <v>105</v>
      </c>
      <c r="I32" s="609">
        <v>49665</v>
      </c>
      <c r="J32" s="592">
        <v>1.1906074699141775</v>
      </c>
      <c r="K32" s="592">
        <v>473</v>
      </c>
      <c r="L32" s="609">
        <v>88</v>
      </c>
      <c r="M32" s="609">
        <v>41714</v>
      </c>
      <c r="N32" s="592">
        <v>1</v>
      </c>
      <c r="O32" s="592">
        <v>474.02272727272725</v>
      </c>
      <c r="P32" s="609">
        <v>82</v>
      </c>
      <c r="Q32" s="609">
        <v>39196</v>
      </c>
      <c r="R32" s="597">
        <v>0.93963657285323876</v>
      </c>
      <c r="S32" s="610">
        <v>478</v>
      </c>
    </row>
    <row r="33" spans="1:19" ht="14.45" customHeight="1" x14ac:dyDescent="0.2">
      <c r="A33" s="591" t="s">
        <v>944</v>
      </c>
      <c r="B33" s="592" t="s">
        <v>945</v>
      </c>
      <c r="C33" s="592" t="s">
        <v>447</v>
      </c>
      <c r="D33" s="592" t="s">
        <v>541</v>
      </c>
      <c r="E33" s="592" t="s">
        <v>946</v>
      </c>
      <c r="F33" s="592" t="s">
        <v>947</v>
      </c>
      <c r="G33" s="592" t="s">
        <v>948</v>
      </c>
      <c r="H33" s="609">
        <v>254.64</v>
      </c>
      <c r="I33" s="609">
        <v>13775.96</v>
      </c>
      <c r="J33" s="592">
        <v>0.74805641065462192</v>
      </c>
      <c r="K33" s="592">
        <v>54.09974866478165</v>
      </c>
      <c r="L33" s="609">
        <v>340.40000000000003</v>
      </c>
      <c r="M33" s="609">
        <v>18415.669999999998</v>
      </c>
      <c r="N33" s="592">
        <v>1</v>
      </c>
      <c r="O33" s="592">
        <v>54.100088131609859</v>
      </c>
      <c r="P33" s="609">
        <v>308.39999999999998</v>
      </c>
      <c r="Q33" s="609">
        <v>16756.260000000002</v>
      </c>
      <c r="R33" s="597">
        <v>0.9098914131280591</v>
      </c>
      <c r="S33" s="610">
        <v>54.332879377431915</v>
      </c>
    </row>
    <row r="34" spans="1:19" ht="14.45" customHeight="1" x14ac:dyDescent="0.2">
      <c r="A34" s="591" t="s">
        <v>944</v>
      </c>
      <c r="B34" s="592" t="s">
        <v>945</v>
      </c>
      <c r="C34" s="592" t="s">
        <v>447</v>
      </c>
      <c r="D34" s="592" t="s">
        <v>541</v>
      </c>
      <c r="E34" s="592" t="s">
        <v>946</v>
      </c>
      <c r="F34" s="592" t="s">
        <v>949</v>
      </c>
      <c r="G34" s="592" t="s">
        <v>483</v>
      </c>
      <c r="H34" s="609">
        <v>2.2000000000000002</v>
      </c>
      <c r="I34" s="609">
        <v>304.04000000000002</v>
      </c>
      <c r="J34" s="592">
        <v>0.85098522167487678</v>
      </c>
      <c r="K34" s="592">
        <v>138.19999999999999</v>
      </c>
      <c r="L34" s="609">
        <v>2.5999999999999996</v>
      </c>
      <c r="M34" s="609">
        <v>357.28000000000003</v>
      </c>
      <c r="N34" s="592">
        <v>1</v>
      </c>
      <c r="O34" s="592">
        <v>137.41538461538465</v>
      </c>
      <c r="P34" s="609">
        <v>0.4</v>
      </c>
      <c r="Q34" s="609">
        <v>54.6</v>
      </c>
      <c r="R34" s="597">
        <v>0.15282131661442006</v>
      </c>
      <c r="S34" s="610">
        <v>136.5</v>
      </c>
    </row>
    <row r="35" spans="1:19" ht="14.45" customHeight="1" x14ac:dyDescent="0.2">
      <c r="A35" s="591" t="s">
        <v>944</v>
      </c>
      <c r="B35" s="592" t="s">
        <v>945</v>
      </c>
      <c r="C35" s="592" t="s">
        <v>447</v>
      </c>
      <c r="D35" s="592" t="s">
        <v>541</v>
      </c>
      <c r="E35" s="592" t="s">
        <v>946</v>
      </c>
      <c r="F35" s="592" t="s">
        <v>950</v>
      </c>
      <c r="G35" s="592" t="s">
        <v>488</v>
      </c>
      <c r="H35" s="609">
        <v>15.4</v>
      </c>
      <c r="I35" s="609">
        <v>946.25</v>
      </c>
      <c r="J35" s="592">
        <v>0.63702950700479999</v>
      </c>
      <c r="K35" s="592">
        <v>61.444805194805191</v>
      </c>
      <c r="L35" s="609">
        <v>25.1</v>
      </c>
      <c r="M35" s="609">
        <v>1485.41</v>
      </c>
      <c r="N35" s="592">
        <v>1</v>
      </c>
      <c r="O35" s="592">
        <v>59.179681274900396</v>
      </c>
      <c r="P35" s="609">
        <v>24.6</v>
      </c>
      <c r="Q35" s="609">
        <v>1245.5300000000002</v>
      </c>
      <c r="R35" s="597">
        <v>0.83850923314101844</v>
      </c>
      <c r="S35" s="610">
        <v>50.631300813008139</v>
      </c>
    </row>
    <row r="36" spans="1:19" ht="14.45" customHeight="1" x14ac:dyDescent="0.2">
      <c r="A36" s="591" t="s">
        <v>944</v>
      </c>
      <c r="B36" s="592" t="s">
        <v>945</v>
      </c>
      <c r="C36" s="592" t="s">
        <v>447</v>
      </c>
      <c r="D36" s="592" t="s">
        <v>541</v>
      </c>
      <c r="E36" s="592" t="s">
        <v>946</v>
      </c>
      <c r="F36" s="592" t="s">
        <v>951</v>
      </c>
      <c r="G36" s="592" t="s">
        <v>952</v>
      </c>
      <c r="H36" s="609">
        <v>7.6</v>
      </c>
      <c r="I36" s="609">
        <v>1345.2</v>
      </c>
      <c r="J36" s="592">
        <v>0.74509803921568629</v>
      </c>
      <c r="K36" s="592">
        <v>177.00000000000003</v>
      </c>
      <c r="L36" s="609">
        <v>10.199999999999999</v>
      </c>
      <c r="M36" s="609">
        <v>1805.4</v>
      </c>
      <c r="N36" s="592">
        <v>1</v>
      </c>
      <c r="O36" s="592">
        <v>177.00000000000003</v>
      </c>
      <c r="P36" s="609">
        <v>7.3000000000000007</v>
      </c>
      <c r="Q36" s="609">
        <v>1292.0999999999999</v>
      </c>
      <c r="R36" s="597">
        <v>0.71568627450980382</v>
      </c>
      <c r="S36" s="610">
        <v>176.99999999999997</v>
      </c>
    </row>
    <row r="37" spans="1:19" ht="14.45" customHeight="1" x14ac:dyDescent="0.2">
      <c r="A37" s="591" t="s">
        <v>944</v>
      </c>
      <c r="B37" s="592" t="s">
        <v>945</v>
      </c>
      <c r="C37" s="592" t="s">
        <v>447</v>
      </c>
      <c r="D37" s="592" t="s">
        <v>541</v>
      </c>
      <c r="E37" s="592" t="s">
        <v>946</v>
      </c>
      <c r="F37" s="592" t="s">
        <v>953</v>
      </c>
      <c r="G37" s="592" t="s">
        <v>954</v>
      </c>
      <c r="H37" s="609"/>
      <c r="I37" s="609"/>
      <c r="J37" s="592"/>
      <c r="K37" s="592"/>
      <c r="L37" s="609">
        <v>4</v>
      </c>
      <c r="M37" s="609">
        <v>24.36</v>
      </c>
      <c r="N37" s="592">
        <v>1</v>
      </c>
      <c r="O37" s="592">
        <v>6.09</v>
      </c>
      <c r="P37" s="609"/>
      <c r="Q37" s="609"/>
      <c r="R37" s="597"/>
      <c r="S37" s="610"/>
    </row>
    <row r="38" spans="1:19" ht="14.45" customHeight="1" x14ac:dyDescent="0.2">
      <c r="A38" s="591" t="s">
        <v>944</v>
      </c>
      <c r="B38" s="592" t="s">
        <v>945</v>
      </c>
      <c r="C38" s="592" t="s">
        <v>447</v>
      </c>
      <c r="D38" s="592" t="s">
        <v>541</v>
      </c>
      <c r="E38" s="592" t="s">
        <v>946</v>
      </c>
      <c r="F38" s="592" t="s">
        <v>955</v>
      </c>
      <c r="G38" s="592" t="s">
        <v>471</v>
      </c>
      <c r="H38" s="609">
        <v>66.599999999999994</v>
      </c>
      <c r="I38" s="609">
        <v>319.68</v>
      </c>
      <c r="J38" s="592">
        <v>0.77172653534183078</v>
      </c>
      <c r="K38" s="592">
        <v>4.8000000000000007</v>
      </c>
      <c r="L38" s="609">
        <v>86.3</v>
      </c>
      <c r="M38" s="609">
        <v>414.24</v>
      </c>
      <c r="N38" s="592">
        <v>1</v>
      </c>
      <c r="O38" s="592">
        <v>4.8</v>
      </c>
      <c r="P38" s="609">
        <v>81.700000000000017</v>
      </c>
      <c r="Q38" s="609">
        <v>392.23</v>
      </c>
      <c r="R38" s="597">
        <v>0.94686655079181148</v>
      </c>
      <c r="S38" s="610">
        <v>4.8008567931456536</v>
      </c>
    </row>
    <row r="39" spans="1:19" ht="14.45" customHeight="1" x14ac:dyDescent="0.2">
      <c r="A39" s="591" t="s">
        <v>944</v>
      </c>
      <c r="B39" s="592" t="s">
        <v>945</v>
      </c>
      <c r="C39" s="592" t="s">
        <v>447</v>
      </c>
      <c r="D39" s="592" t="s">
        <v>541</v>
      </c>
      <c r="E39" s="592" t="s">
        <v>946</v>
      </c>
      <c r="F39" s="592" t="s">
        <v>956</v>
      </c>
      <c r="G39" s="592" t="s">
        <v>957</v>
      </c>
      <c r="H39" s="609">
        <v>62</v>
      </c>
      <c r="I39" s="609">
        <v>6475.2800000000007</v>
      </c>
      <c r="J39" s="592">
        <v>1.0333333333333334</v>
      </c>
      <c r="K39" s="592">
        <v>104.44000000000001</v>
      </c>
      <c r="L39" s="609">
        <v>60</v>
      </c>
      <c r="M39" s="609">
        <v>6266.4</v>
      </c>
      <c r="N39" s="592">
        <v>1</v>
      </c>
      <c r="O39" s="592">
        <v>104.44</v>
      </c>
      <c r="P39" s="609"/>
      <c r="Q39" s="609"/>
      <c r="R39" s="597"/>
      <c r="S39" s="610"/>
    </row>
    <row r="40" spans="1:19" ht="14.45" customHeight="1" x14ac:dyDescent="0.2">
      <c r="A40" s="591" t="s">
        <v>944</v>
      </c>
      <c r="B40" s="592" t="s">
        <v>945</v>
      </c>
      <c r="C40" s="592" t="s">
        <v>447</v>
      </c>
      <c r="D40" s="592" t="s">
        <v>541</v>
      </c>
      <c r="E40" s="592" t="s">
        <v>946</v>
      </c>
      <c r="F40" s="592" t="s">
        <v>958</v>
      </c>
      <c r="G40" s="592" t="s">
        <v>957</v>
      </c>
      <c r="H40" s="609"/>
      <c r="I40" s="609"/>
      <c r="J40" s="592"/>
      <c r="K40" s="592"/>
      <c r="L40" s="609"/>
      <c r="M40" s="609"/>
      <c r="N40" s="592"/>
      <c r="O40" s="592"/>
      <c r="P40" s="609">
        <v>3.2</v>
      </c>
      <c r="Q40" s="609">
        <v>2536.96</v>
      </c>
      <c r="R40" s="597"/>
      <c r="S40" s="610">
        <v>792.8</v>
      </c>
    </row>
    <row r="41" spans="1:19" ht="14.45" customHeight="1" x14ac:dyDescent="0.2">
      <c r="A41" s="591" t="s">
        <v>944</v>
      </c>
      <c r="B41" s="592" t="s">
        <v>945</v>
      </c>
      <c r="C41" s="592" t="s">
        <v>447</v>
      </c>
      <c r="D41" s="592" t="s">
        <v>541</v>
      </c>
      <c r="E41" s="592" t="s">
        <v>959</v>
      </c>
      <c r="F41" s="592" t="s">
        <v>960</v>
      </c>
      <c r="G41" s="592" t="s">
        <v>961</v>
      </c>
      <c r="H41" s="609">
        <v>1</v>
      </c>
      <c r="I41" s="609">
        <v>183</v>
      </c>
      <c r="J41" s="592"/>
      <c r="K41" s="592">
        <v>183</v>
      </c>
      <c r="L41" s="609"/>
      <c r="M41" s="609"/>
      <c r="N41" s="592"/>
      <c r="O41" s="592"/>
      <c r="P41" s="609"/>
      <c r="Q41" s="609"/>
      <c r="R41" s="597"/>
      <c r="S41" s="610"/>
    </row>
    <row r="42" spans="1:19" ht="14.45" customHeight="1" x14ac:dyDescent="0.2">
      <c r="A42" s="591" t="s">
        <v>944</v>
      </c>
      <c r="B42" s="592" t="s">
        <v>945</v>
      </c>
      <c r="C42" s="592" t="s">
        <v>447</v>
      </c>
      <c r="D42" s="592" t="s">
        <v>541</v>
      </c>
      <c r="E42" s="592" t="s">
        <v>959</v>
      </c>
      <c r="F42" s="592" t="s">
        <v>962</v>
      </c>
      <c r="G42" s="592" t="s">
        <v>963</v>
      </c>
      <c r="H42" s="609">
        <v>18</v>
      </c>
      <c r="I42" s="609">
        <v>2196</v>
      </c>
      <c r="J42" s="592">
        <v>6.0164383561643833</v>
      </c>
      <c r="K42" s="592">
        <v>122</v>
      </c>
      <c r="L42" s="609">
        <v>3</v>
      </c>
      <c r="M42" s="609">
        <v>365</v>
      </c>
      <c r="N42" s="592">
        <v>1</v>
      </c>
      <c r="O42" s="592">
        <v>121.66666666666667</v>
      </c>
      <c r="P42" s="609">
        <v>2</v>
      </c>
      <c r="Q42" s="609">
        <v>244</v>
      </c>
      <c r="R42" s="597">
        <v>0.66849315068493154</v>
      </c>
      <c r="S42" s="610">
        <v>122</v>
      </c>
    </row>
    <row r="43" spans="1:19" ht="14.45" customHeight="1" x14ac:dyDescent="0.2">
      <c r="A43" s="591" t="s">
        <v>944</v>
      </c>
      <c r="B43" s="592" t="s">
        <v>945</v>
      </c>
      <c r="C43" s="592" t="s">
        <v>447</v>
      </c>
      <c r="D43" s="592" t="s">
        <v>541</v>
      </c>
      <c r="E43" s="592" t="s">
        <v>959</v>
      </c>
      <c r="F43" s="592" t="s">
        <v>964</v>
      </c>
      <c r="G43" s="592" t="s">
        <v>965</v>
      </c>
      <c r="H43" s="609">
        <v>1462</v>
      </c>
      <c r="I43" s="609">
        <v>54094</v>
      </c>
      <c r="J43" s="592">
        <v>0.86868686868686873</v>
      </c>
      <c r="K43" s="592">
        <v>37</v>
      </c>
      <c r="L43" s="609">
        <v>1683</v>
      </c>
      <c r="M43" s="609">
        <v>62271</v>
      </c>
      <c r="N43" s="592">
        <v>1</v>
      </c>
      <c r="O43" s="592">
        <v>37</v>
      </c>
      <c r="P43" s="609">
        <v>1507</v>
      </c>
      <c r="Q43" s="609">
        <v>57266</v>
      </c>
      <c r="R43" s="597">
        <v>0.91962550786080199</v>
      </c>
      <c r="S43" s="610">
        <v>38</v>
      </c>
    </row>
    <row r="44" spans="1:19" ht="14.45" customHeight="1" x14ac:dyDescent="0.2">
      <c r="A44" s="591" t="s">
        <v>944</v>
      </c>
      <c r="B44" s="592" t="s">
        <v>945</v>
      </c>
      <c r="C44" s="592" t="s">
        <v>447</v>
      </c>
      <c r="D44" s="592" t="s">
        <v>541</v>
      </c>
      <c r="E44" s="592" t="s">
        <v>959</v>
      </c>
      <c r="F44" s="592" t="s">
        <v>966</v>
      </c>
      <c r="G44" s="592" t="s">
        <v>967</v>
      </c>
      <c r="H44" s="609">
        <v>115</v>
      </c>
      <c r="I44" s="609">
        <v>1150</v>
      </c>
      <c r="J44" s="592">
        <v>0.75163398692810457</v>
      </c>
      <c r="K44" s="592">
        <v>10</v>
      </c>
      <c r="L44" s="609">
        <v>153</v>
      </c>
      <c r="M44" s="609">
        <v>1530</v>
      </c>
      <c r="N44" s="592">
        <v>1</v>
      </c>
      <c r="O44" s="592">
        <v>10</v>
      </c>
      <c r="P44" s="609">
        <v>226</v>
      </c>
      <c r="Q44" s="609">
        <v>2260</v>
      </c>
      <c r="R44" s="597">
        <v>1.477124183006536</v>
      </c>
      <c r="S44" s="610">
        <v>10</v>
      </c>
    </row>
    <row r="45" spans="1:19" ht="14.45" customHeight="1" x14ac:dyDescent="0.2">
      <c r="A45" s="591" t="s">
        <v>944</v>
      </c>
      <c r="B45" s="592" t="s">
        <v>945</v>
      </c>
      <c r="C45" s="592" t="s">
        <v>447</v>
      </c>
      <c r="D45" s="592" t="s">
        <v>541</v>
      </c>
      <c r="E45" s="592" t="s">
        <v>959</v>
      </c>
      <c r="F45" s="592" t="s">
        <v>968</v>
      </c>
      <c r="G45" s="592" t="s">
        <v>969</v>
      </c>
      <c r="H45" s="609">
        <v>15</v>
      </c>
      <c r="I45" s="609">
        <v>75</v>
      </c>
      <c r="J45" s="592">
        <v>0.625</v>
      </c>
      <c r="K45" s="592">
        <v>5</v>
      </c>
      <c r="L45" s="609">
        <v>24</v>
      </c>
      <c r="M45" s="609">
        <v>120</v>
      </c>
      <c r="N45" s="592">
        <v>1</v>
      </c>
      <c r="O45" s="592">
        <v>5</v>
      </c>
      <c r="P45" s="609">
        <v>21</v>
      </c>
      <c r="Q45" s="609">
        <v>105</v>
      </c>
      <c r="R45" s="597">
        <v>0.875</v>
      </c>
      <c r="S45" s="610">
        <v>5</v>
      </c>
    </row>
    <row r="46" spans="1:19" ht="14.45" customHeight="1" x14ac:dyDescent="0.2">
      <c r="A46" s="591" t="s">
        <v>944</v>
      </c>
      <c r="B46" s="592" t="s">
        <v>945</v>
      </c>
      <c r="C46" s="592" t="s">
        <v>447</v>
      </c>
      <c r="D46" s="592" t="s">
        <v>541</v>
      </c>
      <c r="E46" s="592" t="s">
        <v>959</v>
      </c>
      <c r="F46" s="592" t="s">
        <v>970</v>
      </c>
      <c r="G46" s="592" t="s">
        <v>971</v>
      </c>
      <c r="H46" s="609">
        <v>16</v>
      </c>
      <c r="I46" s="609">
        <v>80</v>
      </c>
      <c r="J46" s="592">
        <v>0.5714285714285714</v>
      </c>
      <c r="K46" s="592">
        <v>5</v>
      </c>
      <c r="L46" s="609">
        <v>28</v>
      </c>
      <c r="M46" s="609">
        <v>140</v>
      </c>
      <c r="N46" s="592">
        <v>1</v>
      </c>
      <c r="O46" s="592">
        <v>5</v>
      </c>
      <c r="P46" s="609">
        <v>29</v>
      </c>
      <c r="Q46" s="609">
        <v>145</v>
      </c>
      <c r="R46" s="597">
        <v>1.0357142857142858</v>
      </c>
      <c r="S46" s="610">
        <v>5</v>
      </c>
    </row>
    <row r="47" spans="1:19" ht="14.45" customHeight="1" x14ac:dyDescent="0.2">
      <c r="A47" s="591" t="s">
        <v>944</v>
      </c>
      <c r="B47" s="592" t="s">
        <v>945</v>
      </c>
      <c r="C47" s="592" t="s">
        <v>447</v>
      </c>
      <c r="D47" s="592" t="s">
        <v>541</v>
      </c>
      <c r="E47" s="592" t="s">
        <v>959</v>
      </c>
      <c r="F47" s="592" t="s">
        <v>972</v>
      </c>
      <c r="G47" s="592" t="s">
        <v>973</v>
      </c>
      <c r="H47" s="609">
        <v>163</v>
      </c>
      <c r="I47" s="609">
        <v>12062</v>
      </c>
      <c r="J47" s="592">
        <v>0.5948905109489051</v>
      </c>
      <c r="K47" s="592">
        <v>74</v>
      </c>
      <c r="L47" s="609">
        <v>274</v>
      </c>
      <c r="M47" s="609">
        <v>20276</v>
      </c>
      <c r="N47" s="592">
        <v>1</v>
      </c>
      <c r="O47" s="592">
        <v>74</v>
      </c>
      <c r="P47" s="609">
        <v>377</v>
      </c>
      <c r="Q47" s="609">
        <v>28275</v>
      </c>
      <c r="R47" s="597">
        <v>1.3945058196883013</v>
      </c>
      <c r="S47" s="610">
        <v>75</v>
      </c>
    </row>
    <row r="48" spans="1:19" ht="14.45" customHeight="1" x14ac:dyDescent="0.2">
      <c r="A48" s="591" t="s">
        <v>944</v>
      </c>
      <c r="B48" s="592" t="s">
        <v>945</v>
      </c>
      <c r="C48" s="592" t="s">
        <v>447</v>
      </c>
      <c r="D48" s="592" t="s">
        <v>541</v>
      </c>
      <c r="E48" s="592" t="s">
        <v>959</v>
      </c>
      <c r="F48" s="592" t="s">
        <v>974</v>
      </c>
      <c r="G48" s="592" t="s">
        <v>975</v>
      </c>
      <c r="H48" s="609">
        <v>188</v>
      </c>
      <c r="I48" s="609">
        <v>33276</v>
      </c>
      <c r="J48" s="592">
        <v>0.72179081167845216</v>
      </c>
      <c r="K48" s="592">
        <v>177</v>
      </c>
      <c r="L48" s="609">
        <v>259</v>
      </c>
      <c r="M48" s="609">
        <v>46102</v>
      </c>
      <c r="N48" s="592">
        <v>1</v>
      </c>
      <c r="O48" s="592">
        <v>178</v>
      </c>
      <c r="P48" s="609">
        <v>280</v>
      </c>
      <c r="Q48" s="609">
        <v>50120</v>
      </c>
      <c r="R48" s="597">
        <v>1.0871545703006378</v>
      </c>
      <c r="S48" s="610">
        <v>179</v>
      </c>
    </row>
    <row r="49" spans="1:19" ht="14.45" customHeight="1" x14ac:dyDescent="0.2">
      <c r="A49" s="591" t="s">
        <v>944</v>
      </c>
      <c r="B49" s="592" t="s">
        <v>945</v>
      </c>
      <c r="C49" s="592" t="s">
        <v>447</v>
      </c>
      <c r="D49" s="592" t="s">
        <v>541</v>
      </c>
      <c r="E49" s="592" t="s">
        <v>959</v>
      </c>
      <c r="F49" s="592" t="s">
        <v>976</v>
      </c>
      <c r="G49" s="592" t="s">
        <v>977</v>
      </c>
      <c r="H49" s="609">
        <v>1</v>
      </c>
      <c r="I49" s="609">
        <v>272</v>
      </c>
      <c r="J49" s="592"/>
      <c r="K49" s="592">
        <v>272</v>
      </c>
      <c r="L49" s="609"/>
      <c r="M49" s="609"/>
      <c r="N49" s="592"/>
      <c r="O49" s="592"/>
      <c r="P49" s="609"/>
      <c r="Q49" s="609"/>
      <c r="R49" s="597"/>
      <c r="S49" s="610"/>
    </row>
    <row r="50" spans="1:19" ht="14.45" customHeight="1" x14ac:dyDescent="0.2">
      <c r="A50" s="591" t="s">
        <v>944</v>
      </c>
      <c r="B50" s="592" t="s">
        <v>945</v>
      </c>
      <c r="C50" s="592" t="s">
        <v>447</v>
      </c>
      <c r="D50" s="592" t="s">
        <v>541</v>
      </c>
      <c r="E50" s="592" t="s">
        <v>959</v>
      </c>
      <c r="F50" s="592" t="s">
        <v>978</v>
      </c>
      <c r="G50" s="592" t="s">
        <v>979</v>
      </c>
      <c r="H50" s="609">
        <v>311</v>
      </c>
      <c r="I50" s="609">
        <v>10366.66</v>
      </c>
      <c r="J50" s="592">
        <v>0.82712734764025198</v>
      </c>
      <c r="K50" s="592">
        <v>33.333311897106107</v>
      </c>
      <c r="L50" s="609">
        <v>376</v>
      </c>
      <c r="M50" s="609">
        <v>12533.33</v>
      </c>
      <c r="N50" s="592">
        <v>1</v>
      </c>
      <c r="O50" s="592">
        <v>33.33332446808511</v>
      </c>
      <c r="P50" s="609">
        <v>472</v>
      </c>
      <c r="Q50" s="609">
        <v>15733.34</v>
      </c>
      <c r="R50" s="597">
        <v>1.2553200147127699</v>
      </c>
      <c r="S50" s="610">
        <v>33.33334745762712</v>
      </c>
    </row>
    <row r="51" spans="1:19" ht="14.45" customHeight="1" x14ac:dyDescent="0.2">
      <c r="A51" s="591" t="s">
        <v>944</v>
      </c>
      <c r="B51" s="592" t="s">
        <v>945</v>
      </c>
      <c r="C51" s="592" t="s">
        <v>447</v>
      </c>
      <c r="D51" s="592" t="s">
        <v>541</v>
      </c>
      <c r="E51" s="592" t="s">
        <v>959</v>
      </c>
      <c r="F51" s="592" t="s">
        <v>980</v>
      </c>
      <c r="G51" s="592" t="s">
        <v>981</v>
      </c>
      <c r="H51" s="609">
        <v>1</v>
      </c>
      <c r="I51" s="609">
        <v>37</v>
      </c>
      <c r="J51" s="592"/>
      <c r="K51" s="592">
        <v>37</v>
      </c>
      <c r="L51" s="609"/>
      <c r="M51" s="609"/>
      <c r="N51" s="592"/>
      <c r="O51" s="592"/>
      <c r="P51" s="609"/>
      <c r="Q51" s="609"/>
      <c r="R51" s="597"/>
      <c r="S51" s="610"/>
    </row>
    <row r="52" spans="1:19" ht="14.45" customHeight="1" x14ac:dyDescent="0.2">
      <c r="A52" s="591" t="s">
        <v>944</v>
      </c>
      <c r="B52" s="592" t="s">
        <v>945</v>
      </c>
      <c r="C52" s="592" t="s">
        <v>447</v>
      </c>
      <c r="D52" s="592" t="s">
        <v>541</v>
      </c>
      <c r="E52" s="592" t="s">
        <v>959</v>
      </c>
      <c r="F52" s="592" t="s">
        <v>982</v>
      </c>
      <c r="G52" s="592" t="s">
        <v>983</v>
      </c>
      <c r="H52" s="609">
        <v>1614</v>
      </c>
      <c r="I52" s="609">
        <v>213048</v>
      </c>
      <c r="J52" s="592">
        <v>0.88100436681222705</v>
      </c>
      <c r="K52" s="592">
        <v>132</v>
      </c>
      <c r="L52" s="609">
        <v>1832</v>
      </c>
      <c r="M52" s="609">
        <v>241824</v>
      </c>
      <c r="N52" s="592">
        <v>1</v>
      </c>
      <c r="O52" s="592">
        <v>132</v>
      </c>
      <c r="P52" s="609">
        <v>1701</v>
      </c>
      <c r="Q52" s="609">
        <v>229635</v>
      </c>
      <c r="R52" s="597">
        <v>0.94959557364033342</v>
      </c>
      <c r="S52" s="610">
        <v>135</v>
      </c>
    </row>
    <row r="53" spans="1:19" ht="14.45" customHeight="1" x14ac:dyDescent="0.2">
      <c r="A53" s="591" t="s">
        <v>944</v>
      </c>
      <c r="B53" s="592" t="s">
        <v>945</v>
      </c>
      <c r="C53" s="592" t="s">
        <v>447</v>
      </c>
      <c r="D53" s="592" t="s">
        <v>541</v>
      </c>
      <c r="E53" s="592" t="s">
        <v>959</v>
      </c>
      <c r="F53" s="592" t="s">
        <v>984</v>
      </c>
      <c r="G53" s="592" t="s">
        <v>985</v>
      </c>
      <c r="H53" s="609">
        <v>53</v>
      </c>
      <c r="I53" s="609">
        <v>3922</v>
      </c>
      <c r="J53" s="592">
        <v>1.2619047619047619</v>
      </c>
      <c r="K53" s="592">
        <v>74</v>
      </c>
      <c r="L53" s="609">
        <v>42</v>
      </c>
      <c r="M53" s="609">
        <v>3108</v>
      </c>
      <c r="N53" s="592">
        <v>1</v>
      </c>
      <c r="O53" s="592">
        <v>74</v>
      </c>
      <c r="P53" s="609">
        <v>41</v>
      </c>
      <c r="Q53" s="609">
        <v>3075</v>
      </c>
      <c r="R53" s="597">
        <v>0.98938223938223935</v>
      </c>
      <c r="S53" s="610">
        <v>75</v>
      </c>
    </row>
    <row r="54" spans="1:19" ht="14.45" customHeight="1" x14ac:dyDescent="0.2">
      <c r="A54" s="591" t="s">
        <v>944</v>
      </c>
      <c r="B54" s="592" t="s">
        <v>945</v>
      </c>
      <c r="C54" s="592" t="s">
        <v>447</v>
      </c>
      <c r="D54" s="592" t="s">
        <v>541</v>
      </c>
      <c r="E54" s="592" t="s">
        <v>959</v>
      </c>
      <c r="F54" s="592" t="s">
        <v>986</v>
      </c>
      <c r="G54" s="592" t="s">
        <v>987</v>
      </c>
      <c r="H54" s="609">
        <v>93</v>
      </c>
      <c r="I54" s="609">
        <v>33015</v>
      </c>
      <c r="J54" s="592">
        <v>0.67391304347826086</v>
      </c>
      <c r="K54" s="592">
        <v>355</v>
      </c>
      <c r="L54" s="609">
        <v>138</v>
      </c>
      <c r="M54" s="609">
        <v>48990</v>
      </c>
      <c r="N54" s="592">
        <v>1</v>
      </c>
      <c r="O54" s="592">
        <v>355</v>
      </c>
      <c r="P54" s="609">
        <v>192</v>
      </c>
      <c r="Q54" s="609">
        <v>68736</v>
      </c>
      <c r="R54" s="597">
        <v>1.4030618493570117</v>
      </c>
      <c r="S54" s="610">
        <v>358</v>
      </c>
    </row>
    <row r="55" spans="1:19" ht="14.45" customHeight="1" x14ac:dyDescent="0.2">
      <c r="A55" s="591" t="s">
        <v>944</v>
      </c>
      <c r="B55" s="592" t="s">
        <v>945</v>
      </c>
      <c r="C55" s="592" t="s">
        <v>447</v>
      </c>
      <c r="D55" s="592" t="s">
        <v>541</v>
      </c>
      <c r="E55" s="592" t="s">
        <v>959</v>
      </c>
      <c r="F55" s="592" t="s">
        <v>988</v>
      </c>
      <c r="G55" s="592" t="s">
        <v>989</v>
      </c>
      <c r="H55" s="609">
        <v>321</v>
      </c>
      <c r="I55" s="609">
        <v>71583</v>
      </c>
      <c r="J55" s="592">
        <v>0.6645962732919255</v>
      </c>
      <c r="K55" s="592">
        <v>223</v>
      </c>
      <c r="L55" s="609">
        <v>483</v>
      </c>
      <c r="M55" s="609">
        <v>107709</v>
      </c>
      <c r="N55" s="592">
        <v>1</v>
      </c>
      <c r="O55" s="592">
        <v>223</v>
      </c>
      <c r="P55" s="609">
        <v>569</v>
      </c>
      <c r="Q55" s="609">
        <v>128594</v>
      </c>
      <c r="R55" s="597">
        <v>1.1939020880334976</v>
      </c>
      <c r="S55" s="610">
        <v>226</v>
      </c>
    </row>
    <row r="56" spans="1:19" ht="14.45" customHeight="1" x14ac:dyDescent="0.2">
      <c r="A56" s="591" t="s">
        <v>944</v>
      </c>
      <c r="B56" s="592" t="s">
        <v>945</v>
      </c>
      <c r="C56" s="592" t="s">
        <v>447</v>
      </c>
      <c r="D56" s="592" t="s">
        <v>541</v>
      </c>
      <c r="E56" s="592" t="s">
        <v>959</v>
      </c>
      <c r="F56" s="592" t="s">
        <v>990</v>
      </c>
      <c r="G56" s="592" t="s">
        <v>991</v>
      </c>
      <c r="H56" s="609">
        <v>18</v>
      </c>
      <c r="I56" s="609">
        <v>1386</v>
      </c>
      <c r="J56" s="592">
        <v>6</v>
      </c>
      <c r="K56" s="592">
        <v>77</v>
      </c>
      <c r="L56" s="609">
        <v>3</v>
      </c>
      <c r="M56" s="609">
        <v>231</v>
      </c>
      <c r="N56" s="592">
        <v>1</v>
      </c>
      <c r="O56" s="592">
        <v>77</v>
      </c>
      <c r="P56" s="609">
        <v>2</v>
      </c>
      <c r="Q56" s="609">
        <v>156</v>
      </c>
      <c r="R56" s="597">
        <v>0.67532467532467533</v>
      </c>
      <c r="S56" s="610">
        <v>78</v>
      </c>
    </row>
    <row r="57" spans="1:19" ht="14.45" customHeight="1" x14ac:dyDescent="0.2">
      <c r="A57" s="591" t="s">
        <v>944</v>
      </c>
      <c r="B57" s="592" t="s">
        <v>945</v>
      </c>
      <c r="C57" s="592" t="s">
        <v>447</v>
      </c>
      <c r="D57" s="592" t="s">
        <v>541</v>
      </c>
      <c r="E57" s="592" t="s">
        <v>959</v>
      </c>
      <c r="F57" s="592" t="s">
        <v>996</v>
      </c>
      <c r="G57" s="592" t="s">
        <v>997</v>
      </c>
      <c r="H57" s="609">
        <v>30</v>
      </c>
      <c r="I57" s="609">
        <v>21030</v>
      </c>
      <c r="J57" s="592">
        <v>0.55476416587527699</v>
      </c>
      <c r="K57" s="592">
        <v>701</v>
      </c>
      <c r="L57" s="609">
        <v>54</v>
      </c>
      <c r="M57" s="609">
        <v>37908</v>
      </c>
      <c r="N57" s="592">
        <v>1</v>
      </c>
      <c r="O57" s="592">
        <v>702</v>
      </c>
      <c r="P57" s="609">
        <v>62</v>
      </c>
      <c r="Q57" s="609">
        <v>43834</v>
      </c>
      <c r="R57" s="597">
        <v>1.1563258415110267</v>
      </c>
      <c r="S57" s="610">
        <v>707</v>
      </c>
    </row>
    <row r="58" spans="1:19" ht="14.45" customHeight="1" x14ac:dyDescent="0.2">
      <c r="A58" s="591" t="s">
        <v>944</v>
      </c>
      <c r="B58" s="592" t="s">
        <v>945</v>
      </c>
      <c r="C58" s="592" t="s">
        <v>447</v>
      </c>
      <c r="D58" s="592" t="s">
        <v>541</v>
      </c>
      <c r="E58" s="592" t="s">
        <v>959</v>
      </c>
      <c r="F58" s="592" t="s">
        <v>998</v>
      </c>
      <c r="G58" s="592" t="s">
        <v>999</v>
      </c>
      <c r="H58" s="609">
        <v>126</v>
      </c>
      <c r="I58" s="609">
        <v>29106</v>
      </c>
      <c r="J58" s="592">
        <v>0.59177781392322704</v>
      </c>
      <c r="K58" s="592">
        <v>231</v>
      </c>
      <c r="L58" s="609">
        <v>212</v>
      </c>
      <c r="M58" s="609">
        <v>49184</v>
      </c>
      <c r="N58" s="592">
        <v>1</v>
      </c>
      <c r="O58" s="592">
        <v>232</v>
      </c>
      <c r="P58" s="609">
        <v>235</v>
      </c>
      <c r="Q58" s="609">
        <v>54755</v>
      </c>
      <c r="R58" s="597">
        <v>1.1132685426154847</v>
      </c>
      <c r="S58" s="610">
        <v>233</v>
      </c>
    </row>
    <row r="59" spans="1:19" ht="14.45" customHeight="1" x14ac:dyDescent="0.2">
      <c r="A59" s="591" t="s">
        <v>944</v>
      </c>
      <c r="B59" s="592" t="s">
        <v>945</v>
      </c>
      <c r="C59" s="592" t="s">
        <v>447</v>
      </c>
      <c r="D59" s="592" t="s">
        <v>542</v>
      </c>
      <c r="E59" s="592" t="s">
        <v>946</v>
      </c>
      <c r="F59" s="592" t="s">
        <v>947</v>
      </c>
      <c r="G59" s="592" t="s">
        <v>948</v>
      </c>
      <c r="H59" s="609">
        <v>14.84</v>
      </c>
      <c r="I59" s="609">
        <v>802.87</v>
      </c>
      <c r="J59" s="592">
        <v>1.1594125462107208</v>
      </c>
      <c r="K59" s="592">
        <v>54.101752021563343</v>
      </c>
      <c r="L59" s="609">
        <v>12.8</v>
      </c>
      <c r="M59" s="609">
        <v>692.48</v>
      </c>
      <c r="N59" s="592">
        <v>1</v>
      </c>
      <c r="O59" s="592">
        <v>54.1</v>
      </c>
      <c r="P59" s="609">
        <v>13</v>
      </c>
      <c r="Q59" s="609">
        <v>706.24</v>
      </c>
      <c r="R59" s="597">
        <v>1.0198706099815158</v>
      </c>
      <c r="S59" s="610">
        <v>54.326153846153844</v>
      </c>
    </row>
    <row r="60" spans="1:19" ht="14.45" customHeight="1" x14ac:dyDescent="0.2">
      <c r="A60" s="591" t="s">
        <v>944</v>
      </c>
      <c r="B60" s="592" t="s">
        <v>945</v>
      </c>
      <c r="C60" s="592" t="s">
        <v>447</v>
      </c>
      <c r="D60" s="592" t="s">
        <v>542</v>
      </c>
      <c r="E60" s="592" t="s">
        <v>946</v>
      </c>
      <c r="F60" s="592" t="s">
        <v>949</v>
      </c>
      <c r="G60" s="592" t="s">
        <v>483</v>
      </c>
      <c r="H60" s="609"/>
      <c r="I60" s="609"/>
      <c r="J60" s="592"/>
      <c r="K60" s="592"/>
      <c r="L60" s="609">
        <v>0.2</v>
      </c>
      <c r="M60" s="609">
        <v>27.64</v>
      </c>
      <c r="N60" s="592">
        <v>1</v>
      </c>
      <c r="O60" s="592">
        <v>138.19999999999999</v>
      </c>
      <c r="P60" s="609"/>
      <c r="Q60" s="609"/>
      <c r="R60" s="597"/>
      <c r="S60" s="610"/>
    </row>
    <row r="61" spans="1:19" ht="14.45" customHeight="1" x14ac:dyDescent="0.2">
      <c r="A61" s="591" t="s">
        <v>944</v>
      </c>
      <c r="B61" s="592" t="s">
        <v>945</v>
      </c>
      <c r="C61" s="592" t="s">
        <v>447</v>
      </c>
      <c r="D61" s="592" t="s">
        <v>542</v>
      </c>
      <c r="E61" s="592" t="s">
        <v>946</v>
      </c>
      <c r="F61" s="592" t="s">
        <v>950</v>
      </c>
      <c r="G61" s="592" t="s">
        <v>488</v>
      </c>
      <c r="H61" s="609">
        <v>0.6</v>
      </c>
      <c r="I61" s="609">
        <v>36.96</v>
      </c>
      <c r="J61" s="592">
        <v>0.43538697137472021</v>
      </c>
      <c r="K61" s="592">
        <v>61.6</v>
      </c>
      <c r="L61" s="609">
        <v>1.4</v>
      </c>
      <c r="M61" s="609">
        <v>84.89</v>
      </c>
      <c r="N61" s="592">
        <v>1</v>
      </c>
      <c r="O61" s="592">
        <v>60.635714285714293</v>
      </c>
      <c r="P61" s="609">
        <v>1</v>
      </c>
      <c r="Q61" s="609">
        <v>50.620000000000005</v>
      </c>
      <c r="R61" s="597">
        <v>0.59630109553539878</v>
      </c>
      <c r="S61" s="610">
        <v>50.620000000000005</v>
      </c>
    </row>
    <row r="62" spans="1:19" ht="14.45" customHeight="1" x14ac:dyDescent="0.2">
      <c r="A62" s="591" t="s">
        <v>944</v>
      </c>
      <c r="B62" s="592" t="s">
        <v>945</v>
      </c>
      <c r="C62" s="592" t="s">
        <v>447</v>
      </c>
      <c r="D62" s="592" t="s">
        <v>542</v>
      </c>
      <c r="E62" s="592" t="s">
        <v>946</v>
      </c>
      <c r="F62" s="592" t="s">
        <v>951</v>
      </c>
      <c r="G62" s="592" t="s">
        <v>952</v>
      </c>
      <c r="H62" s="609"/>
      <c r="I62" s="609"/>
      <c r="J62" s="592"/>
      <c r="K62" s="592"/>
      <c r="L62" s="609">
        <v>0.4</v>
      </c>
      <c r="M62" s="609">
        <v>70.8</v>
      </c>
      <c r="N62" s="592">
        <v>1</v>
      </c>
      <c r="O62" s="592">
        <v>176.99999999999997</v>
      </c>
      <c r="P62" s="609">
        <v>0.1</v>
      </c>
      <c r="Q62" s="609">
        <v>17.7</v>
      </c>
      <c r="R62" s="597">
        <v>0.25</v>
      </c>
      <c r="S62" s="610">
        <v>176.99999999999997</v>
      </c>
    </row>
    <row r="63" spans="1:19" ht="14.45" customHeight="1" x14ac:dyDescent="0.2">
      <c r="A63" s="591" t="s">
        <v>944</v>
      </c>
      <c r="B63" s="592" t="s">
        <v>945</v>
      </c>
      <c r="C63" s="592" t="s">
        <v>447</v>
      </c>
      <c r="D63" s="592" t="s">
        <v>542</v>
      </c>
      <c r="E63" s="592" t="s">
        <v>946</v>
      </c>
      <c r="F63" s="592" t="s">
        <v>955</v>
      </c>
      <c r="G63" s="592" t="s">
        <v>471</v>
      </c>
      <c r="H63" s="609">
        <v>3.9499999999999997</v>
      </c>
      <c r="I63" s="609">
        <v>18.96</v>
      </c>
      <c r="J63" s="592">
        <v>1.196969696969697</v>
      </c>
      <c r="K63" s="592">
        <v>4.8000000000000007</v>
      </c>
      <c r="L63" s="609">
        <v>3.3</v>
      </c>
      <c r="M63" s="609">
        <v>15.84</v>
      </c>
      <c r="N63" s="592">
        <v>1</v>
      </c>
      <c r="O63" s="592">
        <v>4.8</v>
      </c>
      <c r="P63" s="609">
        <v>3.4000000000000004</v>
      </c>
      <c r="Q63" s="609">
        <v>16.32</v>
      </c>
      <c r="R63" s="597">
        <v>1.0303030303030303</v>
      </c>
      <c r="S63" s="610">
        <v>4.8</v>
      </c>
    </row>
    <row r="64" spans="1:19" ht="14.45" customHeight="1" x14ac:dyDescent="0.2">
      <c r="A64" s="591" t="s">
        <v>944</v>
      </c>
      <c r="B64" s="592" t="s">
        <v>945</v>
      </c>
      <c r="C64" s="592" t="s">
        <v>447</v>
      </c>
      <c r="D64" s="592" t="s">
        <v>542</v>
      </c>
      <c r="E64" s="592" t="s">
        <v>946</v>
      </c>
      <c r="F64" s="592" t="s">
        <v>956</v>
      </c>
      <c r="G64" s="592" t="s">
        <v>957</v>
      </c>
      <c r="H64" s="609">
        <v>2</v>
      </c>
      <c r="I64" s="609">
        <v>208.88</v>
      </c>
      <c r="J64" s="592">
        <v>0.5</v>
      </c>
      <c r="K64" s="592">
        <v>104.44</v>
      </c>
      <c r="L64" s="609">
        <v>4</v>
      </c>
      <c r="M64" s="609">
        <v>417.76</v>
      </c>
      <c r="N64" s="592">
        <v>1</v>
      </c>
      <c r="O64" s="592">
        <v>104.44</v>
      </c>
      <c r="P64" s="609"/>
      <c r="Q64" s="609"/>
      <c r="R64" s="597"/>
      <c r="S64" s="610"/>
    </row>
    <row r="65" spans="1:19" ht="14.45" customHeight="1" x14ac:dyDescent="0.2">
      <c r="A65" s="591" t="s">
        <v>944</v>
      </c>
      <c r="B65" s="592" t="s">
        <v>945</v>
      </c>
      <c r="C65" s="592" t="s">
        <v>447</v>
      </c>
      <c r="D65" s="592" t="s">
        <v>542</v>
      </c>
      <c r="E65" s="592" t="s">
        <v>946</v>
      </c>
      <c r="F65" s="592" t="s">
        <v>958</v>
      </c>
      <c r="G65" s="592" t="s">
        <v>957</v>
      </c>
      <c r="H65" s="609"/>
      <c r="I65" s="609"/>
      <c r="J65" s="592"/>
      <c r="K65" s="592"/>
      <c r="L65" s="609"/>
      <c r="M65" s="609"/>
      <c r="N65" s="592"/>
      <c r="O65" s="592"/>
      <c r="P65" s="609">
        <v>0.1</v>
      </c>
      <c r="Q65" s="609">
        <v>79.28</v>
      </c>
      <c r="R65" s="597"/>
      <c r="S65" s="610">
        <v>792.8</v>
      </c>
    </row>
    <row r="66" spans="1:19" ht="14.45" customHeight="1" x14ac:dyDescent="0.2">
      <c r="A66" s="591" t="s">
        <v>944</v>
      </c>
      <c r="B66" s="592" t="s">
        <v>945</v>
      </c>
      <c r="C66" s="592" t="s">
        <v>447</v>
      </c>
      <c r="D66" s="592" t="s">
        <v>542</v>
      </c>
      <c r="E66" s="592" t="s">
        <v>959</v>
      </c>
      <c r="F66" s="592" t="s">
        <v>964</v>
      </c>
      <c r="G66" s="592" t="s">
        <v>965</v>
      </c>
      <c r="H66" s="609">
        <v>275</v>
      </c>
      <c r="I66" s="609">
        <v>10175</v>
      </c>
      <c r="J66" s="592">
        <v>1.4473684210526316</v>
      </c>
      <c r="K66" s="592">
        <v>37</v>
      </c>
      <c r="L66" s="609">
        <v>190</v>
      </c>
      <c r="M66" s="609">
        <v>7030</v>
      </c>
      <c r="N66" s="592">
        <v>1</v>
      </c>
      <c r="O66" s="592">
        <v>37</v>
      </c>
      <c r="P66" s="609">
        <v>116</v>
      </c>
      <c r="Q66" s="609">
        <v>4408</v>
      </c>
      <c r="R66" s="597">
        <v>0.62702702702702706</v>
      </c>
      <c r="S66" s="610">
        <v>38</v>
      </c>
    </row>
    <row r="67" spans="1:19" ht="14.45" customHeight="1" x14ac:dyDescent="0.2">
      <c r="A67" s="591" t="s">
        <v>944</v>
      </c>
      <c r="B67" s="592" t="s">
        <v>945</v>
      </c>
      <c r="C67" s="592" t="s">
        <v>447</v>
      </c>
      <c r="D67" s="592" t="s">
        <v>542</v>
      </c>
      <c r="E67" s="592" t="s">
        <v>959</v>
      </c>
      <c r="F67" s="592" t="s">
        <v>966</v>
      </c>
      <c r="G67" s="592" t="s">
        <v>967</v>
      </c>
      <c r="H67" s="609">
        <v>249</v>
      </c>
      <c r="I67" s="609">
        <v>2490</v>
      </c>
      <c r="J67" s="592">
        <v>1.0641025641025641</v>
      </c>
      <c r="K67" s="592">
        <v>10</v>
      </c>
      <c r="L67" s="609">
        <v>234</v>
      </c>
      <c r="M67" s="609">
        <v>2340</v>
      </c>
      <c r="N67" s="592">
        <v>1</v>
      </c>
      <c r="O67" s="592">
        <v>10</v>
      </c>
      <c r="P67" s="609">
        <v>361</v>
      </c>
      <c r="Q67" s="609">
        <v>3610</v>
      </c>
      <c r="R67" s="597">
        <v>1.5427350427350428</v>
      </c>
      <c r="S67" s="610">
        <v>10</v>
      </c>
    </row>
    <row r="68" spans="1:19" ht="14.45" customHeight="1" x14ac:dyDescent="0.2">
      <c r="A68" s="591" t="s">
        <v>944</v>
      </c>
      <c r="B68" s="592" t="s">
        <v>945</v>
      </c>
      <c r="C68" s="592" t="s">
        <v>447</v>
      </c>
      <c r="D68" s="592" t="s">
        <v>542</v>
      </c>
      <c r="E68" s="592" t="s">
        <v>959</v>
      </c>
      <c r="F68" s="592" t="s">
        <v>968</v>
      </c>
      <c r="G68" s="592" t="s">
        <v>969</v>
      </c>
      <c r="H68" s="609">
        <v>28</v>
      </c>
      <c r="I68" s="609">
        <v>140</v>
      </c>
      <c r="J68" s="592">
        <v>1.0769230769230769</v>
      </c>
      <c r="K68" s="592">
        <v>5</v>
      </c>
      <c r="L68" s="609">
        <v>26</v>
      </c>
      <c r="M68" s="609">
        <v>130</v>
      </c>
      <c r="N68" s="592">
        <v>1</v>
      </c>
      <c r="O68" s="592">
        <v>5</v>
      </c>
      <c r="P68" s="609">
        <v>13</v>
      </c>
      <c r="Q68" s="609">
        <v>65</v>
      </c>
      <c r="R68" s="597">
        <v>0.5</v>
      </c>
      <c r="S68" s="610">
        <v>5</v>
      </c>
    </row>
    <row r="69" spans="1:19" ht="14.45" customHeight="1" x14ac:dyDescent="0.2">
      <c r="A69" s="591" t="s">
        <v>944</v>
      </c>
      <c r="B69" s="592" t="s">
        <v>945</v>
      </c>
      <c r="C69" s="592" t="s">
        <v>447</v>
      </c>
      <c r="D69" s="592" t="s">
        <v>542</v>
      </c>
      <c r="E69" s="592" t="s">
        <v>959</v>
      </c>
      <c r="F69" s="592" t="s">
        <v>970</v>
      </c>
      <c r="G69" s="592" t="s">
        <v>971</v>
      </c>
      <c r="H69" s="609"/>
      <c r="I69" s="609"/>
      <c r="J69" s="592"/>
      <c r="K69" s="592"/>
      <c r="L69" s="609">
        <v>1</v>
      </c>
      <c r="M69" s="609">
        <v>5</v>
      </c>
      <c r="N69" s="592">
        <v>1</v>
      </c>
      <c r="O69" s="592">
        <v>5</v>
      </c>
      <c r="P69" s="609"/>
      <c r="Q69" s="609"/>
      <c r="R69" s="597"/>
      <c r="S69" s="610"/>
    </row>
    <row r="70" spans="1:19" ht="14.45" customHeight="1" x14ac:dyDescent="0.2">
      <c r="A70" s="591" t="s">
        <v>944</v>
      </c>
      <c r="B70" s="592" t="s">
        <v>945</v>
      </c>
      <c r="C70" s="592" t="s">
        <v>447</v>
      </c>
      <c r="D70" s="592" t="s">
        <v>542</v>
      </c>
      <c r="E70" s="592" t="s">
        <v>959</v>
      </c>
      <c r="F70" s="592" t="s">
        <v>972</v>
      </c>
      <c r="G70" s="592" t="s">
        <v>973</v>
      </c>
      <c r="H70" s="609">
        <v>13</v>
      </c>
      <c r="I70" s="609">
        <v>962</v>
      </c>
      <c r="J70" s="592">
        <v>2.6</v>
      </c>
      <c r="K70" s="592">
        <v>74</v>
      </c>
      <c r="L70" s="609">
        <v>5</v>
      </c>
      <c r="M70" s="609">
        <v>370</v>
      </c>
      <c r="N70" s="592">
        <v>1</v>
      </c>
      <c r="O70" s="592">
        <v>74</v>
      </c>
      <c r="P70" s="609">
        <v>7</v>
      </c>
      <c r="Q70" s="609">
        <v>525</v>
      </c>
      <c r="R70" s="597">
        <v>1.4189189189189189</v>
      </c>
      <c r="S70" s="610">
        <v>75</v>
      </c>
    </row>
    <row r="71" spans="1:19" ht="14.45" customHeight="1" x14ac:dyDescent="0.2">
      <c r="A71" s="591" t="s">
        <v>944</v>
      </c>
      <c r="B71" s="592" t="s">
        <v>945</v>
      </c>
      <c r="C71" s="592" t="s">
        <v>447</v>
      </c>
      <c r="D71" s="592" t="s">
        <v>542</v>
      </c>
      <c r="E71" s="592" t="s">
        <v>959</v>
      </c>
      <c r="F71" s="592" t="s">
        <v>974</v>
      </c>
      <c r="G71" s="592" t="s">
        <v>975</v>
      </c>
      <c r="H71" s="609">
        <v>125</v>
      </c>
      <c r="I71" s="609">
        <v>22125</v>
      </c>
      <c r="J71" s="592">
        <v>1.053370786516854</v>
      </c>
      <c r="K71" s="592">
        <v>177</v>
      </c>
      <c r="L71" s="609">
        <v>118</v>
      </c>
      <c r="M71" s="609">
        <v>21004</v>
      </c>
      <c r="N71" s="592">
        <v>1</v>
      </c>
      <c r="O71" s="592">
        <v>178</v>
      </c>
      <c r="P71" s="609">
        <v>175</v>
      </c>
      <c r="Q71" s="609">
        <v>31325</v>
      </c>
      <c r="R71" s="597">
        <v>1.4913825937916587</v>
      </c>
      <c r="S71" s="610">
        <v>179</v>
      </c>
    </row>
    <row r="72" spans="1:19" ht="14.45" customHeight="1" x14ac:dyDescent="0.2">
      <c r="A72" s="591" t="s">
        <v>944</v>
      </c>
      <c r="B72" s="592" t="s">
        <v>945</v>
      </c>
      <c r="C72" s="592" t="s">
        <v>447</v>
      </c>
      <c r="D72" s="592" t="s">
        <v>542</v>
      </c>
      <c r="E72" s="592" t="s">
        <v>959</v>
      </c>
      <c r="F72" s="592" t="s">
        <v>978</v>
      </c>
      <c r="G72" s="592" t="s">
        <v>979</v>
      </c>
      <c r="H72" s="609">
        <v>501</v>
      </c>
      <c r="I72" s="609">
        <v>16700</v>
      </c>
      <c r="J72" s="592">
        <v>1.3504050406496175</v>
      </c>
      <c r="K72" s="592">
        <v>33.333333333333336</v>
      </c>
      <c r="L72" s="609">
        <v>371</v>
      </c>
      <c r="M72" s="609">
        <v>12366.66</v>
      </c>
      <c r="N72" s="592">
        <v>1</v>
      </c>
      <c r="O72" s="592">
        <v>33.333315363881404</v>
      </c>
      <c r="P72" s="609">
        <v>569</v>
      </c>
      <c r="Q72" s="609">
        <v>18966.66</v>
      </c>
      <c r="R72" s="597">
        <v>1.5336930100770945</v>
      </c>
      <c r="S72" s="610">
        <v>33.333321616871707</v>
      </c>
    </row>
    <row r="73" spans="1:19" ht="14.45" customHeight="1" x14ac:dyDescent="0.2">
      <c r="A73" s="591" t="s">
        <v>944</v>
      </c>
      <c r="B73" s="592" t="s">
        <v>945</v>
      </c>
      <c r="C73" s="592" t="s">
        <v>447</v>
      </c>
      <c r="D73" s="592" t="s">
        <v>542</v>
      </c>
      <c r="E73" s="592" t="s">
        <v>959</v>
      </c>
      <c r="F73" s="592" t="s">
        <v>980</v>
      </c>
      <c r="G73" s="592" t="s">
        <v>981</v>
      </c>
      <c r="H73" s="609">
        <v>9</v>
      </c>
      <c r="I73" s="609">
        <v>333</v>
      </c>
      <c r="J73" s="592">
        <v>2.25</v>
      </c>
      <c r="K73" s="592">
        <v>37</v>
      </c>
      <c r="L73" s="609">
        <v>4</v>
      </c>
      <c r="M73" s="609">
        <v>148</v>
      </c>
      <c r="N73" s="592">
        <v>1</v>
      </c>
      <c r="O73" s="592">
        <v>37</v>
      </c>
      <c r="P73" s="609">
        <v>1</v>
      </c>
      <c r="Q73" s="609">
        <v>38</v>
      </c>
      <c r="R73" s="597">
        <v>0.25675675675675674</v>
      </c>
      <c r="S73" s="610">
        <v>38</v>
      </c>
    </row>
    <row r="74" spans="1:19" ht="14.45" customHeight="1" x14ac:dyDescent="0.2">
      <c r="A74" s="591" t="s">
        <v>944</v>
      </c>
      <c r="B74" s="592" t="s">
        <v>945</v>
      </c>
      <c r="C74" s="592" t="s">
        <v>447</v>
      </c>
      <c r="D74" s="592" t="s">
        <v>542</v>
      </c>
      <c r="E74" s="592" t="s">
        <v>959</v>
      </c>
      <c r="F74" s="592" t="s">
        <v>982</v>
      </c>
      <c r="G74" s="592" t="s">
        <v>983</v>
      </c>
      <c r="H74" s="609">
        <v>105</v>
      </c>
      <c r="I74" s="609">
        <v>13860</v>
      </c>
      <c r="J74" s="592">
        <v>1.4788732394366197</v>
      </c>
      <c r="K74" s="592">
        <v>132</v>
      </c>
      <c r="L74" s="609">
        <v>71</v>
      </c>
      <c r="M74" s="609">
        <v>9372</v>
      </c>
      <c r="N74" s="592">
        <v>1</v>
      </c>
      <c r="O74" s="592">
        <v>132</v>
      </c>
      <c r="P74" s="609">
        <v>71</v>
      </c>
      <c r="Q74" s="609">
        <v>9585</v>
      </c>
      <c r="R74" s="597">
        <v>1.0227272727272727</v>
      </c>
      <c r="S74" s="610">
        <v>135</v>
      </c>
    </row>
    <row r="75" spans="1:19" ht="14.45" customHeight="1" x14ac:dyDescent="0.2">
      <c r="A75" s="591" t="s">
        <v>944</v>
      </c>
      <c r="B75" s="592" t="s">
        <v>945</v>
      </c>
      <c r="C75" s="592" t="s">
        <v>447</v>
      </c>
      <c r="D75" s="592" t="s">
        <v>542</v>
      </c>
      <c r="E75" s="592" t="s">
        <v>959</v>
      </c>
      <c r="F75" s="592" t="s">
        <v>984</v>
      </c>
      <c r="G75" s="592" t="s">
        <v>985</v>
      </c>
      <c r="H75" s="609">
        <v>180</v>
      </c>
      <c r="I75" s="609">
        <v>13320</v>
      </c>
      <c r="J75" s="592">
        <v>9.473684210526315</v>
      </c>
      <c r="K75" s="592">
        <v>74</v>
      </c>
      <c r="L75" s="609">
        <v>19</v>
      </c>
      <c r="M75" s="609">
        <v>1406</v>
      </c>
      <c r="N75" s="592">
        <v>1</v>
      </c>
      <c r="O75" s="592">
        <v>74</v>
      </c>
      <c r="P75" s="609">
        <v>30</v>
      </c>
      <c r="Q75" s="609">
        <v>2250</v>
      </c>
      <c r="R75" s="597">
        <v>1.6002844950213371</v>
      </c>
      <c r="S75" s="610">
        <v>75</v>
      </c>
    </row>
    <row r="76" spans="1:19" ht="14.45" customHeight="1" x14ac:dyDescent="0.2">
      <c r="A76" s="591" t="s">
        <v>944</v>
      </c>
      <c r="B76" s="592" t="s">
        <v>945</v>
      </c>
      <c r="C76" s="592" t="s">
        <v>447</v>
      </c>
      <c r="D76" s="592" t="s">
        <v>542</v>
      </c>
      <c r="E76" s="592" t="s">
        <v>959</v>
      </c>
      <c r="F76" s="592" t="s">
        <v>986</v>
      </c>
      <c r="G76" s="592" t="s">
        <v>987</v>
      </c>
      <c r="H76" s="609">
        <v>297</v>
      </c>
      <c r="I76" s="609">
        <v>105435</v>
      </c>
      <c r="J76" s="592">
        <v>1.133587786259542</v>
      </c>
      <c r="K76" s="592">
        <v>355</v>
      </c>
      <c r="L76" s="609">
        <v>262</v>
      </c>
      <c r="M76" s="609">
        <v>93010</v>
      </c>
      <c r="N76" s="592">
        <v>1</v>
      </c>
      <c r="O76" s="592">
        <v>355</v>
      </c>
      <c r="P76" s="609">
        <v>373</v>
      </c>
      <c r="Q76" s="609">
        <v>133534</v>
      </c>
      <c r="R76" s="597">
        <v>1.4356950865498332</v>
      </c>
      <c r="S76" s="610">
        <v>358</v>
      </c>
    </row>
    <row r="77" spans="1:19" ht="14.45" customHeight="1" x14ac:dyDescent="0.2">
      <c r="A77" s="591" t="s">
        <v>944</v>
      </c>
      <c r="B77" s="592" t="s">
        <v>945</v>
      </c>
      <c r="C77" s="592" t="s">
        <v>447</v>
      </c>
      <c r="D77" s="592" t="s">
        <v>542</v>
      </c>
      <c r="E77" s="592" t="s">
        <v>959</v>
      </c>
      <c r="F77" s="592" t="s">
        <v>988</v>
      </c>
      <c r="G77" s="592" t="s">
        <v>989</v>
      </c>
      <c r="H77" s="609">
        <v>120</v>
      </c>
      <c r="I77" s="609">
        <v>26760</v>
      </c>
      <c r="J77" s="592">
        <v>1.263157894736842</v>
      </c>
      <c r="K77" s="592">
        <v>223</v>
      </c>
      <c r="L77" s="609">
        <v>95</v>
      </c>
      <c r="M77" s="609">
        <v>21185</v>
      </c>
      <c r="N77" s="592">
        <v>1</v>
      </c>
      <c r="O77" s="592">
        <v>223</v>
      </c>
      <c r="P77" s="609">
        <v>114</v>
      </c>
      <c r="Q77" s="609">
        <v>25764</v>
      </c>
      <c r="R77" s="597">
        <v>1.2161434977578476</v>
      </c>
      <c r="S77" s="610">
        <v>226</v>
      </c>
    </row>
    <row r="78" spans="1:19" ht="14.45" customHeight="1" x14ac:dyDescent="0.2">
      <c r="A78" s="591" t="s">
        <v>944</v>
      </c>
      <c r="B78" s="592" t="s">
        <v>945</v>
      </c>
      <c r="C78" s="592" t="s">
        <v>447</v>
      </c>
      <c r="D78" s="592" t="s">
        <v>542</v>
      </c>
      <c r="E78" s="592" t="s">
        <v>959</v>
      </c>
      <c r="F78" s="592" t="s">
        <v>990</v>
      </c>
      <c r="G78" s="592" t="s">
        <v>991</v>
      </c>
      <c r="H78" s="609">
        <v>2</v>
      </c>
      <c r="I78" s="609">
        <v>154</v>
      </c>
      <c r="J78" s="592"/>
      <c r="K78" s="592">
        <v>77</v>
      </c>
      <c r="L78" s="609"/>
      <c r="M78" s="609"/>
      <c r="N78" s="592"/>
      <c r="O78" s="592"/>
      <c r="P78" s="609"/>
      <c r="Q78" s="609"/>
      <c r="R78" s="597"/>
      <c r="S78" s="610"/>
    </row>
    <row r="79" spans="1:19" ht="14.45" customHeight="1" x14ac:dyDescent="0.2">
      <c r="A79" s="591" t="s">
        <v>944</v>
      </c>
      <c r="B79" s="592" t="s">
        <v>945</v>
      </c>
      <c r="C79" s="592" t="s">
        <v>447</v>
      </c>
      <c r="D79" s="592" t="s">
        <v>542</v>
      </c>
      <c r="E79" s="592" t="s">
        <v>959</v>
      </c>
      <c r="F79" s="592" t="s">
        <v>994</v>
      </c>
      <c r="G79" s="592" t="s">
        <v>995</v>
      </c>
      <c r="H79" s="609"/>
      <c r="I79" s="609"/>
      <c r="J79" s="592"/>
      <c r="K79" s="592"/>
      <c r="L79" s="609"/>
      <c r="M79" s="609"/>
      <c r="N79" s="592"/>
      <c r="O79" s="592"/>
      <c r="P79" s="609">
        <v>1</v>
      </c>
      <c r="Q79" s="609">
        <v>61</v>
      </c>
      <c r="R79" s="597"/>
      <c r="S79" s="610">
        <v>61</v>
      </c>
    </row>
    <row r="80" spans="1:19" ht="14.45" customHeight="1" x14ac:dyDescent="0.2">
      <c r="A80" s="591" t="s">
        <v>944</v>
      </c>
      <c r="B80" s="592" t="s">
        <v>945</v>
      </c>
      <c r="C80" s="592" t="s">
        <v>447</v>
      </c>
      <c r="D80" s="592" t="s">
        <v>542</v>
      </c>
      <c r="E80" s="592" t="s">
        <v>959</v>
      </c>
      <c r="F80" s="592" t="s">
        <v>996</v>
      </c>
      <c r="G80" s="592" t="s">
        <v>997</v>
      </c>
      <c r="H80" s="609">
        <v>79</v>
      </c>
      <c r="I80" s="609">
        <v>55379</v>
      </c>
      <c r="J80" s="592">
        <v>0.79684307462085235</v>
      </c>
      <c r="K80" s="592">
        <v>701</v>
      </c>
      <c r="L80" s="609">
        <v>99</v>
      </c>
      <c r="M80" s="609">
        <v>69498</v>
      </c>
      <c r="N80" s="592">
        <v>1</v>
      </c>
      <c r="O80" s="592">
        <v>702</v>
      </c>
      <c r="P80" s="609">
        <v>59</v>
      </c>
      <c r="Q80" s="609">
        <v>41713</v>
      </c>
      <c r="R80" s="597">
        <v>0.60020432242654465</v>
      </c>
      <c r="S80" s="610">
        <v>707</v>
      </c>
    </row>
    <row r="81" spans="1:19" ht="14.45" customHeight="1" x14ac:dyDescent="0.2">
      <c r="A81" s="591" t="s">
        <v>944</v>
      </c>
      <c r="B81" s="592" t="s">
        <v>945</v>
      </c>
      <c r="C81" s="592" t="s">
        <v>447</v>
      </c>
      <c r="D81" s="592" t="s">
        <v>542</v>
      </c>
      <c r="E81" s="592" t="s">
        <v>959</v>
      </c>
      <c r="F81" s="592" t="s">
        <v>998</v>
      </c>
      <c r="G81" s="592" t="s">
        <v>999</v>
      </c>
      <c r="H81" s="609">
        <v>353</v>
      </c>
      <c r="I81" s="609">
        <v>81543</v>
      </c>
      <c r="J81" s="592">
        <v>0.97904860243972724</v>
      </c>
      <c r="K81" s="592">
        <v>231</v>
      </c>
      <c r="L81" s="609">
        <v>359</v>
      </c>
      <c r="M81" s="609">
        <v>83288</v>
      </c>
      <c r="N81" s="592">
        <v>1</v>
      </c>
      <c r="O81" s="592">
        <v>232</v>
      </c>
      <c r="P81" s="609">
        <v>416</v>
      </c>
      <c r="Q81" s="609">
        <v>96928</v>
      </c>
      <c r="R81" s="597">
        <v>1.1637690903851696</v>
      </c>
      <c r="S81" s="610">
        <v>233</v>
      </c>
    </row>
    <row r="82" spans="1:19" ht="14.45" customHeight="1" x14ac:dyDescent="0.2">
      <c r="A82" s="591" t="s">
        <v>944</v>
      </c>
      <c r="B82" s="592" t="s">
        <v>945</v>
      </c>
      <c r="C82" s="592" t="s">
        <v>447</v>
      </c>
      <c r="D82" s="592" t="s">
        <v>542</v>
      </c>
      <c r="E82" s="592" t="s">
        <v>959</v>
      </c>
      <c r="F82" s="592" t="s">
        <v>1000</v>
      </c>
      <c r="G82" s="592" t="s">
        <v>1001</v>
      </c>
      <c r="H82" s="609">
        <v>0</v>
      </c>
      <c r="I82" s="609">
        <v>0</v>
      </c>
      <c r="J82" s="592"/>
      <c r="K82" s="592"/>
      <c r="L82" s="609"/>
      <c r="M82" s="609"/>
      <c r="N82" s="592"/>
      <c r="O82" s="592"/>
      <c r="P82" s="609"/>
      <c r="Q82" s="609"/>
      <c r="R82" s="597"/>
      <c r="S82" s="610"/>
    </row>
    <row r="83" spans="1:19" ht="14.45" customHeight="1" x14ac:dyDescent="0.2">
      <c r="A83" s="591" t="s">
        <v>944</v>
      </c>
      <c r="B83" s="592" t="s">
        <v>945</v>
      </c>
      <c r="C83" s="592" t="s">
        <v>447</v>
      </c>
      <c r="D83" s="592" t="s">
        <v>940</v>
      </c>
      <c r="E83" s="592" t="s">
        <v>959</v>
      </c>
      <c r="F83" s="592" t="s">
        <v>966</v>
      </c>
      <c r="G83" s="592" t="s">
        <v>967</v>
      </c>
      <c r="H83" s="609">
        <v>1</v>
      </c>
      <c r="I83" s="609">
        <v>10</v>
      </c>
      <c r="J83" s="592"/>
      <c r="K83" s="592">
        <v>10</v>
      </c>
      <c r="L83" s="609"/>
      <c r="M83" s="609"/>
      <c r="N83" s="592"/>
      <c r="O83" s="592"/>
      <c r="P83" s="609"/>
      <c r="Q83" s="609"/>
      <c r="R83" s="597"/>
      <c r="S83" s="610"/>
    </row>
    <row r="84" spans="1:19" ht="14.45" customHeight="1" x14ac:dyDescent="0.2">
      <c r="A84" s="591" t="s">
        <v>944</v>
      </c>
      <c r="B84" s="592" t="s">
        <v>945</v>
      </c>
      <c r="C84" s="592" t="s">
        <v>447</v>
      </c>
      <c r="D84" s="592" t="s">
        <v>940</v>
      </c>
      <c r="E84" s="592" t="s">
        <v>959</v>
      </c>
      <c r="F84" s="592" t="s">
        <v>972</v>
      </c>
      <c r="G84" s="592" t="s">
        <v>973</v>
      </c>
      <c r="H84" s="609">
        <v>1</v>
      </c>
      <c r="I84" s="609">
        <v>74</v>
      </c>
      <c r="J84" s="592"/>
      <c r="K84" s="592">
        <v>74</v>
      </c>
      <c r="L84" s="609"/>
      <c r="M84" s="609"/>
      <c r="N84" s="592"/>
      <c r="O84" s="592"/>
      <c r="P84" s="609"/>
      <c r="Q84" s="609"/>
      <c r="R84" s="597"/>
      <c r="S84" s="610"/>
    </row>
    <row r="85" spans="1:19" ht="14.45" customHeight="1" x14ac:dyDescent="0.2">
      <c r="A85" s="591" t="s">
        <v>944</v>
      </c>
      <c r="B85" s="592" t="s">
        <v>945</v>
      </c>
      <c r="C85" s="592" t="s">
        <v>447</v>
      </c>
      <c r="D85" s="592" t="s">
        <v>940</v>
      </c>
      <c r="E85" s="592" t="s">
        <v>959</v>
      </c>
      <c r="F85" s="592" t="s">
        <v>974</v>
      </c>
      <c r="G85" s="592" t="s">
        <v>975</v>
      </c>
      <c r="H85" s="609">
        <v>1</v>
      </c>
      <c r="I85" s="609">
        <v>177</v>
      </c>
      <c r="J85" s="592"/>
      <c r="K85" s="592">
        <v>177</v>
      </c>
      <c r="L85" s="609"/>
      <c r="M85" s="609"/>
      <c r="N85" s="592"/>
      <c r="O85" s="592"/>
      <c r="P85" s="609"/>
      <c r="Q85" s="609"/>
      <c r="R85" s="597"/>
      <c r="S85" s="610"/>
    </row>
    <row r="86" spans="1:19" ht="14.45" customHeight="1" x14ac:dyDescent="0.2">
      <c r="A86" s="591" t="s">
        <v>944</v>
      </c>
      <c r="B86" s="592" t="s">
        <v>945</v>
      </c>
      <c r="C86" s="592" t="s">
        <v>447</v>
      </c>
      <c r="D86" s="592" t="s">
        <v>940</v>
      </c>
      <c r="E86" s="592" t="s">
        <v>959</v>
      </c>
      <c r="F86" s="592" t="s">
        <v>978</v>
      </c>
      <c r="G86" s="592" t="s">
        <v>979</v>
      </c>
      <c r="H86" s="609">
        <v>3</v>
      </c>
      <c r="I86" s="609">
        <v>100</v>
      </c>
      <c r="J86" s="592"/>
      <c r="K86" s="592">
        <v>33.333333333333336</v>
      </c>
      <c r="L86" s="609"/>
      <c r="M86" s="609"/>
      <c r="N86" s="592"/>
      <c r="O86" s="592"/>
      <c r="P86" s="609"/>
      <c r="Q86" s="609"/>
      <c r="R86" s="597"/>
      <c r="S86" s="610"/>
    </row>
    <row r="87" spans="1:19" ht="14.45" customHeight="1" x14ac:dyDescent="0.2">
      <c r="A87" s="591" t="s">
        <v>944</v>
      </c>
      <c r="B87" s="592" t="s">
        <v>945</v>
      </c>
      <c r="C87" s="592" t="s">
        <v>447</v>
      </c>
      <c r="D87" s="592" t="s">
        <v>940</v>
      </c>
      <c r="E87" s="592" t="s">
        <v>959</v>
      </c>
      <c r="F87" s="592" t="s">
        <v>984</v>
      </c>
      <c r="G87" s="592" t="s">
        <v>985</v>
      </c>
      <c r="H87" s="609">
        <v>6</v>
      </c>
      <c r="I87" s="609">
        <v>444</v>
      </c>
      <c r="J87" s="592"/>
      <c r="K87" s="592">
        <v>74</v>
      </c>
      <c r="L87" s="609"/>
      <c r="M87" s="609"/>
      <c r="N87" s="592"/>
      <c r="O87" s="592"/>
      <c r="P87" s="609"/>
      <c r="Q87" s="609"/>
      <c r="R87" s="597"/>
      <c r="S87" s="610"/>
    </row>
    <row r="88" spans="1:19" ht="14.45" customHeight="1" x14ac:dyDescent="0.2">
      <c r="A88" s="591" t="s">
        <v>944</v>
      </c>
      <c r="B88" s="592" t="s">
        <v>945</v>
      </c>
      <c r="C88" s="592" t="s">
        <v>447</v>
      </c>
      <c r="D88" s="592" t="s">
        <v>940</v>
      </c>
      <c r="E88" s="592" t="s">
        <v>959</v>
      </c>
      <c r="F88" s="592" t="s">
        <v>986</v>
      </c>
      <c r="G88" s="592" t="s">
        <v>987</v>
      </c>
      <c r="H88" s="609">
        <v>1</v>
      </c>
      <c r="I88" s="609">
        <v>355</v>
      </c>
      <c r="J88" s="592"/>
      <c r="K88" s="592">
        <v>355</v>
      </c>
      <c r="L88" s="609"/>
      <c r="M88" s="609"/>
      <c r="N88" s="592"/>
      <c r="O88" s="592"/>
      <c r="P88" s="609"/>
      <c r="Q88" s="609"/>
      <c r="R88" s="597"/>
      <c r="S88" s="610"/>
    </row>
    <row r="89" spans="1:19" ht="14.45" customHeight="1" x14ac:dyDescent="0.2">
      <c r="A89" s="591" t="s">
        <v>944</v>
      </c>
      <c r="B89" s="592" t="s">
        <v>945</v>
      </c>
      <c r="C89" s="592" t="s">
        <v>447</v>
      </c>
      <c r="D89" s="592" t="s">
        <v>940</v>
      </c>
      <c r="E89" s="592" t="s">
        <v>959</v>
      </c>
      <c r="F89" s="592" t="s">
        <v>988</v>
      </c>
      <c r="G89" s="592" t="s">
        <v>989</v>
      </c>
      <c r="H89" s="609">
        <v>2</v>
      </c>
      <c r="I89" s="609">
        <v>446</v>
      </c>
      <c r="J89" s="592"/>
      <c r="K89" s="592">
        <v>223</v>
      </c>
      <c r="L89" s="609"/>
      <c r="M89" s="609"/>
      <c r="N89" s="592"/>
      <c r="O89" s="592"/>
      <c r="P89" s="609"/>
      <c r="Q89" s="609"/>
      <c r="R89" s="597"/>
      <c r="S89" s="610"/>
    </row>
    <row r="90" spans="1:19" ht="14.45" customHeight="1" x14ac:dyDescent="0.2">
      <c r="A90" s="591" t="s">
        <v>944</v>
      </c>
      <c r="B90" s="592" t="s">
        <v>945</v>
      </c>
      <c r="C90" s="592" t="s">
        <v>447</v>
      </c>
      <c r="D90" s="592" t="s">
        <v>940</v>
      </c>
      <c r="E90" s="592" t="s">
        <v>959</v>
      </c>
      <c r="F90" s="592" t="s">
        <v>996</v>
      </c>
      <c r="G90" s="592" t="s">
        <v>997</v>
      </c>
      <c r="H90" s="609">
        <v>1</v>
      </c>
      <c r="I90" s="609">
        <v>701</v>
      </c>
      <c r="J90" s="592"/>
      <c r="K90" s="592">
        <v>701</v>
      </c>
      <c r="L90" s="609"/>
      <c r="M90" s="609"/>
      <c r="N90" s="592"/>
      <c r="O90" s="592"/>
      <c r="P90" s="609"/>
      <c r="Q90" s="609"/>
      <c r="R90" s="597"/>
      <c r="S90" s="610"/>
    </row>
    <row r="91" spans="1:19" ht="14.45" customHeight="1" x14ac:dyDescent="0.2">
      <c r="A91" s="591" t="s">
        <v>944</v>
      </c>
      <c r="B91" s="592" t="s">
        <v>945</v>
      </c>
      <c r="C91" s="592" t="s">
        <v>447</v>
      </c>
      <c r="D91" s="592" t="s">
        <v>543</v>
      </c>
      <c r="E91" s="592" t="s">
        <v>959</v>
      </c>
      <c r="F91" s="592" t="s">
        <v>964</v>
      </c>
      <c r="G91" s="592" t="s">
        <v>965</v>
      </c>
      <c r="H91" s="609">
        <v>25</v>
      </c>
      <c r="I91" s="609">
        <v>925</v>
      </c>
      <c r="J91" s="592">
        <v>0.80645161290322576</v>
      </c>
      <c r="K91" s="592">
        <v>37</v>
      </c>
      <c r="L91" s="609">
        <v>31</v>
      </c>
      <c r="M91" s="609">
        <v>1147</v>
      </c>
      <c r="N91" s="592">
        <v>1</v>
      </c>
      <c r="O91" s="592">
        <v>37</v>
      </c>
      <c r="P91" s="609">
        <v>13</v>
      </c>
      <c r="Q91" s="609">
        <v>494</v>
      </c>
      <c r="R91" s="597">
        <v>0.43068875326939843</v>
      </c>
      <c r="S91" s="610">
        <v>38</v>
      </c>
    </row>
    <row r="92" spans="1:19" ht="14.45" customHeight="1" x14ac:dyDescent="0.2">
      <c r="A92" s="591" t="s">
        <v>944</v>
      </c>
      <c r="B92" s="592" t="s">
        <v>945</v>
      </c>
      <c r="C92" s="592" t="s">
        <v>447</v>
      </c>
      <c r="D92" s="592" t="s">
        <v>543</v>
      </c>
      <c r="E92" s="592" t="s">
        <v>959</v>
      </c>
      <c r="F92" s="592" t="s">
        <v>966</v>
      </c>
      <c r="G92" s="592" t="s">
        <v>967</v>
      </c>
      <c r="H92" s="609">
        <v>2</v>
      </c>
      <c r="I92" s="609">
        <v>20</v>
      </c>
      <c r="J92" s="592">
        <v>0.25</v>
      </c>
      <c r="K92" s="592">
        <v>10</v>
      </c>
      <c r="L92" s="609">
        <v>8</v>
      </c>
      <c r="M92" s="609">
        <v>80</v>
      </c>
      <c r="N92" s="592">
        <v>1</v>
      </c>
      <c r="O92" s="592">
        <v>10</v>
      </c>
      <c r="P92" s="609">
        <v>6</v>
      </c>
      <c r="Q92" s="609">
        <v>60</v>
      </c>
      <c r="R92" s="597">
        <v>0.75</v>
      </c>
      <c r="S92" s="610">
        <v>10</v>
      </c>
    </row>
    <row r="93" spans="1:19" ht="14.45" customHeight="1" x14ac:dyDescent="0.2">
      <c r="A93" s="591" t="s">
        <v>944</v>
      </c>
      <c r="B93" s="592" t="s">
        <v>945</v>
      </c>
      <c r="C93" s="592" t="s">
        <v>447</v>
      </c>
      <c r="D93" s="592" t="s">
        <v>543</v>
      </c>
      <c r="E93" s="592" t="s">
        <v>959</v>
      </c>
      <c r="F93" s="592" t="s">
        <v>972</v>
      </c>
      <c r="G93" s="592" t="s">
        <v>973</v>
      </c>
      <c r="H93" s="609">
        <v>6</v>
      </c>
      <c r="I93" s="609">
        <v>444</v>
      </c>
      <c r="J93" s="592">
        <v>0.54545454545454541</v>
      </c>
      <c r="K93" s="592">
        <v>74</v>
      </c>
      <c r="L93" s="609">
        <v>11</v>
      </c>
      <c r="M93" s="609">
        <v>814</v>
      </c>
      <c r="N93" s="592">
        <v>1</v>
      </c>
      <c r="O93" s="592">
        <v>74</v>
      </c>
      <c r="P93" s="609">
        <v>4</v>
      </c>
      <c r="Q93" s="609">
        <v>300</v>
      </c>
      <c r="R93" s="597">
        <v>0.36855036855036855</v>
      </c>
      <c r="S93" s="610">
        <v>75</v>
      </c>
    </row>
    <row r="94" spans="1:19" ht="14.45" customHeight="1" x14ac:dyDescent="0.2">
      <c r="A94" s="591" t="s">
        <v>944</v>
      </c>
      <c r="B94" s="592" t="s">
        <v>945</v>
      </c>
      <c r="C94" s="592" t="s">
        <v>447</v>
      </c>
      <c r="D94" s="592" t="s">
        <v>543</v>
      </c>
      <c r="E94" s="592" t="s">
        <v>959</v>
      </c>
      <c r="F94" s="592" t="s">
        <v>974</v>
      </c>
      <c r="G94" s="592" t="s">
        <v>975</v>
      </c>
      <c r="H94" s="609">
        <v>4</v>
      </c>
      <c r="I94" s="609">
        <v>708</v>
      </c>
      <c r="J94" s="592">
        <v>0.49719101123595505</v>
      </c>
      <c r="K94" s="592">
        <v>177</v>
      </c>
      <c r="L94" s="609">
        <v>8</v>
      </c>
      <c r="M94" s="609">
        <v>1424</v>
      </c>
      <c r="N94" s="592">
        <v>1</v>
      </c>
      <c r="O94" s="592">
        <v>178</v>
      </c>
      <c r="P94" s="609">
        <v>4</v>
      </c>
      <c r="Q94" s="609">
        <v>716</v>
      </c>
      <c r="R94" s="597">
        <v>0.5028089887640449</v>
      </c>
      <c r="S94" s="610">
        <v>179</v>
      </c>
    </row>
    <row r="95" spans="1:19" ht="14.45" customHeight="1" x14ac:dyDescent="0.2">
      <c r="A95" s="591" t="s">
        <v>944</v>
      </c>
      <c r="B95" s="592" t="s">
        <v>945</v>
      </c>
      <c r="C95" s="592" t="s">
        <v>447</v>
      </c>
      <c r="D95" s="592" t="s">
        <v>543</v>
      </c>
      <c r="E95" s="592" t="s">
        <v>959</v>
      </c>
      <c r="F95" s="592" t="s">
        <v>978</v>
      </c>
      <c r="G95" s="592" t="s">
        <v>979</v>
      </c>
      <c r="H95" s="609">
        <v>14</v>
      </c>
      <c r="I95" s="609">
        <v>466.65999999999997</v>
      </c>
      <c r="J95" s="592">
        <v>1.0768911247519268</v>
      </c>
      <c r="K95" s="592">
        <v>33.332857142857144</v>
      </c>
      <c r="L95" s="609">
        <v>13</v>
      </c>
      <c r="M95" s="609">
        <v>433.34000000000003</v>
      </c>
      <c r="N95" s="592">
        <v>1</v>
      </c>
      <c r="O95" s="592">
        <v>33.333846153846153</v>
      </c>
      <c r="P95" s="609">
        <v>5</v>
      </c>
      <c r="Q95" s="609">
        <v>166.66</v>
      </c>
      <c r="R95" s="597">
        <v>0.38459408316795124</v>
      </c>
      <c r="S95" s="610">
        <v>33.332000000000001</v>
      </c>
    </row>
    <row r="96" spans="1:19" ht="14.45" customHeight="1" x14ac:dyDescent="0.2">
      <c r="A96" s="591" t="s">
        <v>944</v>
      </c>
      <c r="B96" s="592" t="s">
        <v>945</v>
      </c>
      <c r="C96" s="592" t="s">
        <v>447</v>
      </c>
      <c r="D96" s="592" t="s">
        <v>543</v>
      </c>
      <c r="E96" s="592" t="s">
        <v>959</v>
      </c>
      <c r="F96" s="592" t="s">
        <v>980</v>
      </c>
      <c r="G96" s="592" t="s">
        <v>981</v>
      </c>
      <c r="H96" s="609">
        <v>1</v>
      </c>
      <c r="I96" s="609">
        <v>37</v>
      </c>
      <c r="J96" s="592"/>
      <c r="K96" s="592">
        <v>37</v>
      </c>
      <c r="L96" s="609"/>
      <c r="M96" s="609"/>
      <c r="N96" s="592"/>
      <c r="O96" s="592"/>
      <c r="P96" s="609"/>
      <c r="Q96" s="609"/>
      <c r="R96" s="597"/>
      <c r="S96" s="610"/>
    </row>
    <row r="97" spans="1:19" ht="14.45" customHeight="1" x14ac:dyDescent="0.2">
      <c r="A97" s="591" t="s">
        <v>944</v>
      </c>
      <c r="B97" s="592" t="s">
        <v>945</v>
      </c>
      <c r="C97" s="592" t="s">
        <v>447</v>
      </c>
      <c r="D97" s="592" t="s">
        <v>543</v>
      </c>
      <c r="E97" s="592" t="s">
        <v>959</v>
      </c>
      <c r="F97" s="592" t="s">
        <v>984</v>
      </c>
      <c r="G97" s="592" t="s">
        <v>985</v>
      </c>
      <c r="H97" s="609">
        <v>21</v>
      </c>
      <c r="I97" s="609">
        <v>1554</v>
      </c>
      <c r="J97" s="592">
        <v>0.56756756756756754</v>
      </c>
      <c r="K97" s="592">
        <v>74</v>
      </c>
      <c r="L97" s="609">
        <v>37</v>
      </c>
      <c r="M97" s="609">
        <v>2738</v>
      </c>
      <c r="N97" s="592">
        <v>1</v>
      </c>
      <c r="O97" s="592">
        <v>74</v>
      </c>
      <c r="P97" s="609">
        <v>40</v>
      </c>
      <c r="Q97" s="609">
        <v>3000</v>
      </c>
      <c r="R97" s="597">
        <v>1.0956902848794741</v>
      </c>
      <c r="S97" s="610">
        <v>75</v>
      </c>
    </row>
    <row r="98" spans="1:19" ht="14.45" customHeight="1" x14ac:dyDescent="0.2">
      <c r="A98" s="591" t="s">
        <v>944</v>
      </c>
      <c r="B98" s="592" t="s">
        <v>945</v>
      </c>
      <c r="C98" s="592" t="s">
        <v>447</v>
      </c>
      <c r="D98" s="592" t="s">
        <v>543</v>
      </c>
      <c r="E98" s="592" t="s">
        <v>959</v>
      </c>
      <c r="F98" s="592" t="s">
        <v>986</v>
      </c>
      <c r="G98" s="592" t="s">
        <v>987</v>
      </c>
      <c r="H98" s="609">
        <v>6</v>
      </c>
      <c r="I98" s="609">
        <v>2130</v>
      </c>
      <c r="J98" s="592">
        <v>1</v>
      </c>
      <c r="K98" s="592">
        <v>355</v>
      </c>
      <c r="L98" s="609">
        <v>6</v>
      </c>
      <c r="M98" s="609">
        <v>2130</v>
      </c>
      <c r="N98" s="592">
        <v>1</v>
      </c>
      <c r="O98" s="592">
        <v>355</v>
      </c>
      <c r="P98" s="609">
        <v>4</v>
      </c>
      <c r="Q98" s="609">
        <v>1432</v>
      </c>
      <c r="R98" s="597">
        <v>0.67230046948356803</v>
      </c>
      <c r="S98" s="610">
        <v>358</v>
      </c>
    </row>
    <row r="99" spans="1:19" ht="14.45" customHeight="1" x14ac:dyDescent="0.2">
      <c r="A99" s="591" t="s">
        <v>944</v>
      </c>
      <c r="B99" s="592" t="s">
        <v>945</v>
      </c>
      <c r="C99" s="592" t="s">
        <v>447</v>
      </c>
      <c r="D99" s="592" t="s">
        <v>543</v>
      </c>
      <c r="E99" s="592" t="s">
        <v>959</v>
      </c>
      <c r="F99" s="592" t="s">
        <v>988</v>
      </c>
      <c r="G99" s="592" t="s">
        <v>989</v>
      </c>
      <c r="H99" s="609">
        <v>10</v>
      </c>
      <c r="I99" s="609">
        <v>2230</v>
      </c>
      <c r="J99" s="592">
        <v>0.47619047619047616</v>
      </c>
      <c r="K99" s="592">
        <v>223</v>
      </c>
      <c r="L99" s="609">
        <v>21</v>
      </c>
      <c r="M99" s="609">
        <v>4683</v>
      </c>
      <c r="N99" s="592">
        <v>1</v>
      </c>
      <c r="O99" s="592">
        <v>223</v>
      </c>
      <c r="P99" s="609">
        <v>9</v>
      </c>
      <c r="Q99" s="609">
        <v>2034</v>
      </c>
      <c r="R99" s="597">
        <v>0.43433696348494555</v>
      </c>
      <c r="S99" s="610">
        <v>226</v>
      </c>
    </row>
    <row r="100" spans="1:19" ht="14.45" customHeight="1" x14ac:dyDescent="0.2">
      <c r="A100" s="591" t="s">
        <v>944</v>
      </c>
      <c r="B100" s="592" t="s">
        <v>945</v>
      </c>
      <c r="C100" s="592" t="s">
        <v>447</v>
      </c>
      <c r="D100" s="592" t="s">
        <v>543</v>
      </c>
      <c r="E100" s="592" t="s">
        <v>959</v>
      </c>
      <c r="F100" s="592" t="s">
        <v>990</v>
      </c>
      <c r="G100" s="592" t="s">
        <v>991</v>
      </c>
      <c r="H100" s="609"/>
      <c r="I100" s="609"/>
      <c r="J100" s="592"/>
      <c r="K100" s="592"/>
      <c r="L100" s="609">
        <v>1</v>
      </c>
      <c r="M100" s="609">
        <v>77</v>
      </c>
      <c r="N100" s="592">
        <v>1</v>
      </c>
      <c r="O100" s="592">
        <v>77</v>
      </c>
      <c r="P100" s="609"/>
      <c r="Q100" s="609"/>
      <c r="R100" s="597"/>
      <c r="S100" s="610"/>
    </row>
    <row r="101" spans="1:19" ht="14.45" customHeight="1" x14ac:dyDescent="0.2">
      <c r="A101" s="591" t="s">
        <v>944</v>
      </c>
      <c r="B101" s="592" t="s">
        <v>945</v>
      </c>
      <c r="C101" s="592" t="s">
        <v>447</v>
      </c>
      <c r="D101" s="592" t="s">
        <v>543</v>
      </c>
      <c r="E101" s="592" t="s">
        <v>959</v>
      </c>
      <c r="F101" s="592" t="s">
        <v>996</v>
      </c>
      <c r="G101" s="592" t="s">
        <v>997</v>
      </c>
      <c r="H101" s="609">
        <v>4</v>
      </c>
      <c r="I101" s="609">
        <v>2804</v>
      </c>
      <c r="J101" s="592">
        <v>1.9971509971509971</v>
      </c>
      <c r="K101" s="592">
        <v>701</v>
      </c>
      <c r="L101" s="609">
        <v>2</v>
      </c>
      <c r="M101" s="609">
        <v>1404</v>
      </c>
      <c r="N101" s="592">
        <v>1</v>
      </c>
      <c r="O101" s="592">
        <v>702</v>
      </c>
      <c r="P101" s="609">
        <v>2</v>
      </c>
      <c r="Q101" s="609">
        <v>1414</v>
      </c>
      <c r="R101" s="597">
        <v>1.0071225071225072</v>
      </c>
      <c r="S101" s="610">
        <v>707</v>
      </c>
    </row>
    <row r="102" spans="1:19" ht="14.45" customHeight="1" x14ac:dyDescent="0.2">
      <c r="A102" s="591" t="s">
        <v>944</v>
      </c>
      <c r="B102" s="592" t="s">
        <v>945</v>
      </c>
      <c r="C102" s="592" t="s">
        <v>447</v>
      </c>
      <c r="D102" s="592" t="s">
        <v>543</v>
      </c>
      <c r="E102" s="592" t="s">
        <v>959</v>
      </c>
      <c r="F102" s="592" t="s">
        <v>998</v>
      </c>
      <c r="G102" s="592" t="s">
        <v>999</v>
      </c>
      <c r="H102" s="609">
        <v>95</v>
      </c>
      <c r="I102" s="609">
        <v>21945</v>
      </c>
      <c r="J102" s="592">
        <v>0.61422413793103448</v>
      </c>
      <c r="K102" s="592">
        <v>231</v>
      </c>
      <c r="L102" s="609">
        <v>154</v>
      </c>
      <c r="M102" s="609">
        <v>35728</v>
      </c>
      <c r="N102" s="592">
        <v>1</v>
      </c>
      <c r="O102" s="592">
        <v>232</v>
      </c>
      <c r="P102" s="609">
        <v>104</v>
      </c>
      <c r="Q102" s="609">
        <v>24232</v>
      </c>
      <c r="R102" s="597">
        <v>0.67823555754590237</v>
      </c>
      <c r="S102" s="610">
        <v>233</v>
      </c>
    </row>
    <row r="103" spans="1:19" ht="14.45" customHeight="1" x14ac:dyDescent="0.2">
      <c r="A103" s="591" t="s">
        <v>944</v>
      </c>
      <c r="B103" s="592" t="s">
        <v>945</v>
      </c>
      <c r="C103" s="592" t="s">
        <v>447</v>
      </c>
      <c r="D103" s="592" t="s">
        <v>543</v>
      </c>
      <c r="E103" s="592" t="s">
        <v>959</v>
      </c>
      <c r="F103" s="592" t="s">
        <v>1000</v>
      </c>
      <c r="G103" s="592" t="s">
        <v>1001</v>
      </c>
      <c r="H103" s="609"/>
      <c r="I103" s="609"/>
      <c r="J103" s="592"/>
      <c r="K103" s="592"/>
      <c r="L103" s="609">
        <v>0</v>
      </c>
      <c r="M103" s="609">
        <v>0</v>
      </c>
      <c r="N103" s="592"/>
      <c r="O103" s="592"/>
      <c r="P103" s="609"/>
      <c r="Q103" s="609"/>
      <c r="R103" s="597"/>
      <c r="S103" s="610"/>
    </row>
    <row r="104" spans="1:19" ht="14.45" customHeight="1" x14ac:dyDescent="0.2">
      <c r="A104" s="591" t="s">
        <v>944</v>
      </c>
      <c r="B104" s="592" t="s">
        <v>945</v>
      </c>
      <c r="C104" s="592" t="s">
        <v>447</v>
      </c>
      <c r="D104" s="592" t="s">
        <v>941</v>
      </c>
      <c r="E104" s="592" t="s">
        <v>946</v>
      </c>
      <c r="F104" s="592" t="s">
        <v>947</v>
      </c>
      <c r="G104" s="592" t="s">
        <v>948</v>
      </c>
      <c r="H104" s="609">
        <v>0.8</v>
      </c>
      <c r="I104" s="609">
        <v>43.28</v>
      </c>
      <c r="J104" s="592">
        <v>0.18181818181818182</v>
      </c>
      <c r="K104" s="592">
        <v>54.1</v>
      </c>
      <c r="L104" s="609">
        <v>4.4000000000000004</v>
      </c>
      <c r="M104" s="609">
        <v>238.04</v>
      </c>
      <c r="N104" s="592">
        <v>1</v>
      </c>
      <c r="O104" s="592">
        <v>54.099999999999994</v>
      </c>
      <c r="P104" s="609">
        <v>2.8</v>
      </c>
      <c r="Q104" s="609">
        <v>152.20000000000002</v>
      </c>
      <c r="R104" s="597">
        <v>0.63938833809443796</v>
      </c>
      <c r="S104" s="610">
        <v>54.357142857142868</v>
      </c>
    </row>
    <row r="105" spans="1:19" ht="14.45" customHeight="1" x14ac:dyDescent="0.2">
      <c r="A105" s="591" t="s">
        <v>944</v>
      </c>
      <c r="B105" s="592" t="s">
        <v>945</v>
      </c>
      <c r="C105" s="592" t="s">
        <v>447</v>
      </c>
      <c r="D105" s="592" t="s">
        <v>941</v>
      </c>
      <c r="E105" s="592" t="s">
        <v>946</v>
      </c>
      <c r="F105" s="592" t="s">
        <v>950</v>
      </c>
      <c r="G105" s="592" t="s">
        <v>488</v>
      </c>
      <c r="H105" s="609"/>
      <c r="I105" s="609"/>
      <c r="J105" s="592"/>
      <c r="K105" s="592"/>
      <c r="L105" s="609">
        <v>0.2</v>
      </c>
      <c r="M105" s="609">
        <v>11.21</v>
      </c>
      <c r="N105" s="592">
        <v>1</v>
      </c>
      <c r="O105" s="592">
        <v>56.050000000000004</v>
      </c>
      <c r="P105" s="609">
        <v>0.2</v>
      </c>
      <c r="Q105" s="609">
        <v>10.119999999999999</v>
      </c>
      <c r="R105" s="597">
        <v>0.90276538804638706</v>
      </c>
      <c r="S105" s="610">
        <v>50.599999999999994</v>
      </c>
    </row>
    <row r="106" spans="1:19" ht="14.45" customHeight="1" x14ac:dyDescent="0.2">
      <c r="A106" s="591" t="s">
        <v>944</v>
      </c>
      <c r="B106" s="592" t="s">
        <v>945</v>
      </c>
      <c r="C106" s="592" t="s">
        <v>447</v>
      </c>
      <c r="D106" s="592" t="s">
        <v>941</v>
      </c>
      <c r="E106" s="592" t="s">
        <v>946</v>
      </c>
      <c r="F106" s="592" t="s">
        <v>951</v>
      </c>
      <c r="G106" s="592" t="s">
        <v>952</v>
      </c>
      <c r="H106" s="609">
        <v>0.1</v>
      </c>
      <c r="I106" s="609">
        <v>17.7</v>
      </c>
      <c r="J106" s="592"/>
      <c r="K106" s="592">
        <v>176.99999999999997</v>
      </c>
      <c r="L106" s="609"/>
      <c r="M106" s="609"/>
      <c r="N106" s="592"/>
      <c r="O106" s="592"/>
      <c r="P106" s="609"/>
      <c r="Q106" s="609"/>
      <c r="R106" s="597"/>
      <c r="S106" s="610"/>
    </row>
    <row r="107" spans="1:19" ht="14.45" customHeight="1" x14ac:dyDescent="0.2">
      <c r="A107" s="591" t="s">
        <v>944</v>
      </c>
      <c r="B107" s="592" t="s">
        <v>945</v>
      </c>
      <c r="C107" s="592" t="s">
        <v>447</v>
      </c>
      <c r="D107" s="592" t="s">
        <v>941</v>
      </c>
      <c r="E107" s="592" t="s">
        <v>946</v>
      </c>
      <c r="F107" s="592" t="s">
        <v>955</v>
      </c>
      <c r="G107" s="592" t="s">
        <v>471</v>
      </c>
      <c r="H107" s="609">
        <v>0.2</v>
      </c>
      <c r="I107" s="609">
        <v>0.96</v>
      </c>
      <c r="J107" s="592">
        <v>0.1818181818181818</v>
      </c>
      <c r="K107" s="592">
        <v>4.8</v>
      </c>
      <c r="L107" s="609">
        <v>1.1000000000000001</v>
      </c>
      <c r="M107" s="609">
        <v>5.28</v>
      </c>
      <c r="N107" s="592">
        <v>1</v>
      </c>
      <c r="O107" s="592">
        <v>4.8</v>
      </c>
      <c r="P107" s="609">
        <v>0.95000000000000007</v>
      </c>
      <c r="Q107" s="609">
        <v>4.5600000000000005</v>
      </c>
      <c r="R107" s="597">
        <v>0.86363636363636365</v>
      </c>
      <c r="S107" s="610">
        <v>4.8</v>
      </c>
    </row>
    <row r="108" spans="1:19" ht="14.45" customHeight="1" x14ac:dyDescent="0.2">
      <c r="A108" s="591" t="s">
        <v>944</v>
      </c>
      <c r="B108" s="592" t="s">
        <v>945</v>
      </c>
      <c r="C108" s="592" t="s">
        <v>447</v>
      </c>
      <c r="D108" s="592" t="s">
        <v>941</v>
      </c>
      <c r="E108" s="592" t="s">
        <v>946</v>
      </c>
      <c r="F108" s="592" t="s">
        <v>956</v>
      </c>
      <c r="G108" s="592" t="s">
        <v>957</v>
      </c>
      <c r="H108" s="609"/>
      <c r="I108" s="609"/>
      <c r="J108" s="592"/>
      <c r="K108" s="592"/>
      <c r="L108" s="609">
        <v>1</v>
      </c>
      <c r="M108" s="609">
        <v>104.44</v>
      </c>
      <c r="N108" s="592">
        <v>1</v>
      </c>
      <c r="O108" s="592">
        <v>104.44</v>
      </c>
      <c r="P108" s="609"/>
      <c r="Q108" s="609"/>
      <c r="R108" s="597"/>
      <c r="S108" s="610"/>
    </row>
    <row r="109" spans="1:19" ht="14.45" customHeight="1" x14ac:dyDescent="0.2">
      <c r="A109" s="591" t="s">
        <v>944</v>
      </c>
      <c r="B109" s="592" t="s">
        <v>945</v>
      </c>
      <c r="C109" s="592" t="s">
        <v>447</v>
      </c>
      <c r="D109" s="592" t="s">
        <v>941</v>
      </c>
      <c r="E109" s="592" t="s">
        <v>959</v>
      </c>
      <c r="F109" s="592" t="s">
        <v>964</v>
      </c>
      <c r="G109" s="592" t="s">
        <v>965</v>
      </c>
      <c r="H109" s="609">
        <v>241</v>
      </c>
      <c r="I109" s="609">
        <v>8917</v>
      </c>
      <c r="J109" s="592">
        <v>1.3169398907103824</v>
      </c>
      <c r="K109" s="592">
        <v>37</v>
      </c>
      <c r="L109" s="609">
        <v>183</v>
      </c>
      <c r="M109" s="609">
        <v>6771</v>
      </c>
      <c r="N109" s="592">
        <v>1</v>
      </c>
      <c r="O109" s="592">
        <v>37</v>
      </c>
      <c r="P109" s="609">
        <v>136</v>
      </c>
      <c r="Q109" s="609">
        <v>5168</v>
      </c>
      <c r="R109" s="597">
        <v>0.76325505833702556</v>
      </c>
      <c r="S109" s="610">
        <v>38</v>
      </c>
    </row>
    <row r="110" spans="1:19" ht="14.45" customHeight="1" x14ac:dyDescent="0.2">
      <c r="A110" s="591" t="s">
        <v>944</v>
      </c>
      <c r="B110" s="592" t="s">
        <v>945</v>
      </c>
      <c r="C110" s="592" t="s">
        <v>447</v>
      </c>
      <c r="D110" s="592" t="s">
        <v>941</v>
      </c>
      <c r="E110" s="592" t="s">
        <v>959</v>
      </c>
      <c r="F110" s="592" t="s">
        <v>966</v>
      </c>
      <c r="G110" s="592" t="s">
        <v>967</v>
      </c>
      <c r="H110" s="609">
        <v>450</v>
      </c>
      <c r="I110" s="609">
        <v>4500</v>
      </c>
      <c r="J110" s="592">
        <v>1.6728624535315986</v>
      </c>
      <c r="K110" s="592">
        <v>10</v>
      </c>
      <c r="L110" s="609">
        <v>269</v>
      </c>
      <c r="M110" s="609">
        <v>2690</v>
      </c>
      <c r="N110" s="592">
        <v>1</v>
      </c>
      <c r="O110" s="592">
        <v>10</v>
      </c>
      <c r="P110" s="609">
        <v>307</v>
      </c>
      <c r="Q110" s="609">
        <v>3070</v>
      </c>
      <c r="R110" s="597">
        <v>1.1412639405204461</v>
      </c>
      <c r="S110" s="610">
        <v>10</v>
      </c>
    </row>
    <row r="111" spans="1:19" ht="14.45" customHeight="1" x14ac:dyDescent="0.2">
      <c r="A111" s="591" t="s">
        <v>944</v>
      </c>
      <c r="B111" s="592" t="s">
        <v>945</v>
      </c>
      <c r="C111" s="592" t="s">
        <v>447</v>
      </c>
      <c r="D111" s="592" t="s">
        <v>941</v>
      </c>
      <c r="E111" s="592" t="s">
        <v>959</v>
      </c>
      <c r="F111" s="592" t="s">
        <v>968</v>
      </c>
      <c r="G111" s="592" t="s">
        <v>969</v>
      </c>
      <c r="H111" s="609">
        <v>2</v>
      </c>
      <c r="I111" s="609">
        <v>10</v>
      </c>
      <c r="J111" s="592">
        <v>0.4</v>
      </c>
      <c r="K111" s="592">
        <v>5</v>
      </c>
      <c r="L111" s="609">
        <v>5</v>
      </c>
      <c r="M111" s="609">
        <v>25</v>
      </c>
      <c r="N111" s="592">
        <v>1</v>
      </c>
      <c r="O111" s="592">
        <v>5</v>
      </c>
      <c r="P111" s="609">
        <v>10</v>
      </c>
      <c r="Q111" s="609">
        <v>50</v>
      </c>
      <c r="R111" s="597">
        <v>2</v>
      </c>
      <c r="S111" s="610">
        <v>5</v>
      </c>
    </row>
    <row r="112" spans="1:19" ht="14.45" customHeight="1" x14ac:dyDescent="0.2">
      <c r="A112" s="591" t="s">
        <v>944</v>
      </c>
      <c r="B112" s="592" t="s">
        <v>945</v>
      </c>
      <c r="C112" s="592" t="s">
        <v>447</v>
      </c>
      <c r="D112" s="592" t="s">
        <v>941</v>
      </c>
      <c r="E112" s="592" t="s">
        <v>959</v>
      </c>
      <c r="F112" s="592" t="s">
        <v>970</v>
      </c>
      <c r="G112" s="592" t="s">
        <v>971</v>
      </c>
      <c r="H112" s="609">
        <v>1</v>
      </c>
      <c r="I112" s="609">
        <v>5</v>
      </c>
      <c r="J112" s="592"/>
      <c r="K112" s="592">
        <v>5</v>
      </c>
      <c r="L112" s="609"/>
      <c r="M112" s="609"/>
      <c r="N112" s="592"/>
      <c r="O112" s="592"/>
      <c r="P112" s="609"/>
      <c r="Q112" s="609"/>
      <c r="R112" s="597"/>
      <c r="S112" s="610"/>
    </row>
    <row r="113" spans="1:19" ht="14.45" customHeight="1" x14ac:dyDescent="0.2">
      <c r="A113" s="591" t="s">
        <v>944</v>
      </c>
      <c r="B113" s="592" t="s">
        <v>945</v>
      </c>
      <c r="C113" s="592" t="s">
        <v>447</v>
      </c>
      <c r="D113" s="592" t="s">
        <v>941</v>
      </c>
      <c r="E113" s="592" t="s">
        <v>959</v>
      </c>
      <c r="F113" s="592" t="s">
        <v>972</v>
      </c>
      <c r="G113" s="592" t="s">
        <v>973</v>
      </c>
      <c r="H113" s="609">
        <v>225</v>
      </c>
      <c r="I113" s="609">
        <v>16650</v>
      </c>
      <c r="J113" s="592">
        <v>1.5410958904109588</v>
      </c>
      <c r="K113" s="592">
        <v>74</v>
      </c>
      <c r="L113" s="609">
        <v>146</v>
      </c>
      <c r="M113" s="609">
        <v>10804</v>
      </c>
      <c r="N113" s="592">
        <v>1</v>
      </c>
      <c r="O113" s="592">
        <v>74</v>
      </c>
      <c r="P113" s="609">
        <v>107</v>
      </c>
      <c r="Q113" s="609">
        <v>8025</v>
      </c>
      <c r="R113" s="597">
        <v>0.7427804516845613</v>
      </c>
      <c r="S113" s="610">
        <v>75</v>
      </c>
    </row>
    <row r="114" spans="1:19" ht="14.45" customHeight="1" x14ac:dyDescent="0.2">
      <c r="A114" s="591" t="s">
        <v>944</v>
      </c>
      <c r="B114" s="592" t="s">
        <v>945</v>
      </c>
      <c r="C114" s="592" t="s">
        <v>447</v>
      </c>
      <c r="D114" s="592" t="s">
        <v>941</v>
      </c>
      <c r="E114" s="592" t="s">
        <v>959</v>
      </c>
      <c r="F114" s="592" t="s">
        <v>976</v>
      </c>
      <c r="G114" s="592" t="s">
        <v>977</v>
      </c>
      <c r="H114" s="609">
        <v>1</v>
      </c>
      <c r="I114" s="609">
        <v>272</v>
      </c>
      <c r="J114" s="592"/>
      <c r="K114" s="592">
        <v>272</v>
      </c>
      <c r="L114" s="609"/>
      <c r="M114" s="609"/>
      <c r="N114" s="592"/>
      <c r="O114" s="592"/>
      <c r="P114" s="609"/>
      <c r="Q114" s="609"/>
      <c r="R114" s="597"/>
      <c r="S114" s="610"/>
    </row>
    <row r="115" spans="1:19" ht="14.45" customHeight="1" x14ac:dyDescent="0.2">
      <c r="A115" s="591" t="s">
        <v>944</v>
      </c>
      <c r="B115" s="592" t="s">
        <v>945</v>
      </c>
      <c r="C115" s="592" t="s">
        <v>447</v>
      </c>
      <c r="D115" s="592" t="s">
        <v>941</v>
      </c>
      <c r="E115" s="592" t="s">
        <v>959</v>
      </c>
      <c r="F115" s="592" t="s">
        <v>978</v>
      </c>
      <c r="G115" s="592" t="s">
        <v>979</v>
      </c>
      <c r="H115" s="609">
        <v>601</v>
      </c>
      <c r="I115" s="609">
        <v>20033.330000000002</v>
      </c>
      <c r="J115" s="592">
        <v>1.8323173269260145</v>
      </c>
      <c r="K115" s="592">
        <v>33.333327787021631</v>
      </c>
      <c r="L115" s="609">
        <v>328</v>
      </c>
      <c r="M115" s="609">
        <v>10933.33</v>
      </c>
      <c r="N115" s="592">
        <v>1</v>
      </c>
      <c r="O115" s="592">
        <v>33.33332317073171</v>
      </c>
      <c r="P115" s="609">
        <v>349</v>
      </c>
      <c r="Q115" s="609">
        <v>11633.35</v>
      </c>
      <c r="R115" s="597">
        <v>1.06402623903239</v>
      </c>
      <c r="S115" s="610">
        <v>33.333381088825213</v>
      </c>
    </row>
    <row r="116" spans="1:19" ht="14.45" customHeight="1" x14ac:dyDescent="0.2">
      <c r="A116" s="591" t="s">
        <v>944</v>
      </c>
      <c r="B116" s="592" t="s">
        <v>945</v>
      </c>
      <c r="C116" s="592" t="s">
        <v>447</v>
      </c>
      <c r="D116" s="592" t="s">
        <v>941</v>
      </c>
      <c r="E116" s="592" t="s">
        <v>959</v>
      </c>
      <c r="F116" s="592" t="s">
        <v>980</v>
      </c>
      <c r="G116" s="592" t="s">
        <v>981</v>
      </c>
      <c r="H116" s="609">
        <v>6</v>
      </c>
      <c r="I116" s="609">
        <v>222</v>
      </c>
      <c r="J116" s="592">
        <v>2</v>
      </c>
      <c r="K116" s="592">
        <v>37</v>
      </c>
      <c r="L116" s="609">
        <v>3</v>
      </c>
      <c r="M116" s="609">
        <v>111</v>
      </c>
      <c r="N116" s="592">
        <v>1</v>
      </c>
      <c r="O116" s="592">
        <v>37</v>
      </c>
      <c r="P116" s="609"/>
      <c r="Q116" s="609"/>
      <c r="R116" s="597"/>
      <c r="S116" s="610"/>
    </row>
    <row r="117" spans="1:19" ht="14.45" customHeight="1" x14ac:dyDescent="0.2">
      <c r="A117" s="591" t="s">
        <v>944</v>
      </c>
      <c r="B117" s="592" t="s">
        <v>945</v>
      </c>
      <c r="C117" s="592" t="s">
        <v>447</v>
      </c>
      <c r="D117" s="592" t="s">
        <v>941</v>
      </c>
      <c r="E117" s="592" t="s">
        <v>959</v>
      </c>
      <c r="F117" s="592" t="s">
        <v>982</v>
      </c>
      <c r="G117" s="592" t="s">
        <v>983</v>
      </c>
      <c r="H117" s="609">
        <v>27</v>
      </c>
      <c r="I117" s="609">
        <v>3564</v>
      </c>
      <c r="J117" s="592">
        <v>1.125</v>
      </c>
      <c r="K117" s="592">
        <v>132</v>
      </c>
      <c r="L117" s="609">
        <v>24</v>
      </c>
      <c r="M117" s="609">
        <v>3168</v>
      </c>
      <c r="N117" s="592">
        <v>1</v>
      </c>
      <c r="O117" s="592">
        <v>132</v>
      </c>
      <c r="P117" s="609">
        <v>20</v>
      </c>
      <c r="Q117" s="609">
        <v>2700</v>
      </c>
      <c r="R117" s="597">
        <v>0.85227272727272729</v>
      </c>
      <c r="S117" s="610">
        <v>135</v>
      </c>
    </row>
    <row r="118" spans="1:19" ht="14.45" customHeight="1" x14ac:dyDescent="0.2">
      <c r="A118" s="591" t="s">
        <v>944</v>
      </c>
      <c r="B118" s="592" t="s">
        <v>945</v>
      </c>
      <c r="C118" s="592" t="s">
        <v>447</v>
      </c>
      <c r="D118" s="592" t="s">
        <v>941</v>
      </c>
      <c r="E118" s="592" t="s">
        <v>959</v>
      </c>
      <c r="F118" s="592" t="s">
        <v>984</v>
      </c>
      <c r="G118" s="592" t="s">
        <v>985</v>
      </c>
      <c r="H118" s="609">
        <v>216</v>
      </c>
      <c r="I118" s="609">
        <v>15984</v>
      </c>
      <c r="J118" s="592">
        <v>43.2</v>
      </c>
      <c r="K118" s="592">
        <v>74</v>
      </c>
      <c r="L118" s="609">
        <v>5</v>
      </c>
      <c r="M118" s="609">
        <v>370</v>
      </c>
      <c r="N118" s="592">
        <v>1</v>
      </c>
      <c r="O118" s="592">
        <v>74</v>
      </c>
      <c r="P118" s="609">
        <v>5</v>
      </c>
      <c r="Q118" s="609">
        <v>375</v>
      </c>
      <c r="R118" s="597">
        <v>1.0135135135135136</v>
      </c>
      <c r="S118" s="610">
        <v>75</v>
      </c>
    </row>
    <row r="119" spans="1:19" ht="14.45" customHeight="1" x14ac:dyDescent="0.2">
      <c r="A119" s="591" t="s">
        <v>944</v>
      </c>
      <c r="B119" s="592" t="s">
        <v>945</v>
      </c>
      <c r="C119" s="592" t="s">
        <v>447</v>
      </c>
      <c r="D119" s="592" t="s">
        <v>941</v>
      </c>
      <c r="E119" s="592" t="s">
        <v>959</v>
      </c>
      <c r="F119" s="592" t="s">
        <v>986</v>
      </c>
      <c r="G119" s="592" t="s">
        <v>987</v>
      </c>
      <c r="H119" s="609">
        <v>452</v>
      </c>
      <c r="I119" s="609">
        <v>160460</v>
      </c>
      <c r="J119" s="592">
        <v>1.7121212121212122</v>
      </c>
      <c r="K119" s="592">
        <v>355</v>
      </c>
      <c r="L119" s="609">
        <v>264</v>
      </c>
      <c r="M119" s="609">
        <v>93720</v>
      </c>
      <c r="N119" s="592">
        <v>1</v>
      </c>
      <c r="O119" s="592">
        <v>355</v>
      </c>
      <c r="P119" s="609">
        <v>303</v>
      </c>
      <c r="Q119" s="609">
        <v>108474</v>
      </c>
      <c r="R119" s="597">
        <v>1.1574263764404609</v>
      </c>
      <c r="S119" s="610">
        <v>358</v>
      </c>
    </row>
    <row r="120" spans="1:19" ht="14.45" customHeight="1" x14ac:dyDescent="0.2">
      <c r="A120" s="591" t="s">
        <v>944</v>
      </c>
      <c r="B120" s="592" t="s">
        <v>945</v>
      </c>
      <c r="C120" s="592" t="s">
        <v>447</v>
      </c>
      <c r="D120" s="592" t="s">
        <v>941</v>
      </c>
      <c r="E120" s="592" t="s">
        <v>959</v>
      </c>
      <c r="F120" s="592" t="s">
        <v>988</v>
      </c>
      <c r="G120" s="592" t="s">
        <v>989</v>
      </c>
      <c r="H120" s="609">
        <v>651</v>
      </c>
      <c r="I120" s="609">
        <v>145173</v>
      </c>
      <c r="J120" s="592">
        <v>1.3478260869565217</v>
      </c>
      <c r="K120" s="592">
        <v>223</v>
      </c>
      <c r="L120" s="609">
        <v>483</v>
      </c>
      <c r="M120" s="609">
        <v>107709</v>
      </c>
      <c r="N120" s="592">
        <v>1</v>
      </c>
      <c r="O120" s="592">
        <v>223</v>
      </c>
      <c r="P120" s="609">
        <v>480</v>
      </c>
      <c r="Q120" s="609">
        <v>108480</v>
      </c>
      <c r="R120" s="597">
        <v>1.0071581761969752</v>
      </c>
      <c r="S120" s="610">
        <v>226</v>
      </c>
    </row>
    <row r="121" spans="1:19" ht="14.45" customHeight="1" x14ac:dyDescent="0.2">
      <c r="A121" s="591" t="s">
        <v>944</v>
      </c>
      <c r="B121" s="592" t="s">
        <v>945</v>
      </c>
      <c r="C121" s="592" t="s">
        <v>447</v>
      </c>
      <c r="D121" s="592" t="s">
        <v>941</v>
      </c>
      <c r="E121" s="592" t="s">
        <v>959</v>
      </c>
      <c r="F121" s="592" t="s">
        <v>990</v>
      </c>
      <c r="G121" s="592" t="s">
        <v>991</v>
      </c>
      <c r="H121" s="609">
        <v>8</v>
      </c>
      <c r="I121" s="609">
        <v>616</v>
      </c>
      <c r="J121" s="592"/>
      <c r="K121" s="592">
        <v>77</v>
      </c>
      <c r="L121" s="609"/>
      <c r="M121" s="609"/>
      <c r="N121" s="592"/>
      <c r="O121" s="592"/>
      <c r="P121" s="609"/>
      <c r="Q121" s="609"/>
      <c r="R121" s="597"/>
      <c r="S121" s="610"/>
    </row>
    <row r="122" spans="1:19" ht="14.45" customHeight="1" x14ac:dyDescent="0.2">
      <c r="A122" s="591" t="s">
        <v>944</v>
      </c>
      <c r="B122" s="592" t="s">
        <v>945</v>
      </c>
      <c r="C122" s="592" t="s">
        <v>447</v>
      </c>
      <c r="D122" s="592" t="s">
        <v>941</v>
      </c>
      <c r="E122" s="592" t="s">
        <v>959</v>
      </c>
      <c r="F122" s="592" t="s">
        <v>996</v>
      </c>
      <c r="G122" s="592" t="s">
        <v>997</v>
      </c>
      <c r="H122" s="609">
        <v>149</v>
      </c>
      <c r="I122" s="609">
        <v>104449</v>
      </c>
      <c r="J122" s="592">
        <v>1.293806515545646</v>
      </c>
      <c r="K122" s="592">
        <v>701</v>
      </c>
      <c r="L122" s="609">
        <v>115</v>
      </c>
      <c r="M122" s="609">
        <v>80730</v>
      </c>
      <c r="N122" s="592">
        <v>1</v>
      </c>
      <c r="O122" s="592">
        <v>702</v>
      </c>
      <c r="P122" s="609">
        <v>78</v>
      </c>
      <c r="Q122" s="609">
        <v>55146</v>
      </c>
      <c r="R122" s="597">
        <v>0.68309178743961352</v>
      </c>
      <c r="S122" s="610">
        <v>707</v>
      </c>
    </row>
    <row r="123" spans="1:19" ht="14.45" customHeight="1" x14ac:dyDescent="0.2">
      <c r="A123" s="591" t="s">
        <v>944</v>
      </c>
      <c r="B123" s="592" t="s">
        <v>945</v>
      </c>
      <c r="C123" s="592" t="s">
        <v>447</v>
      </c>
      <c r="D123" s="592" t="s">
        <v>941</v>
      </c>
      <c r="E123" s="592" t="s">
        <v>959</v>
      </c>
      <c r="F123" s="592" t="s">
        <v>998</v>
      </c>
      <c r="G123" s="592" t="s">
        <v>999</v>
      </c>
      <c r="H123" s="609">
        <v>484</v>
      </c>
      <c r="I123" s="609">
        <v>111804</v>
      </c>
      <c r="J123" s="592">
        <v>1.2954671857619577</v>
      </c>
      <c r="K123" s="592">
        <v>231</v>
      </c>
      <c r="L123" s="609">
        <v>372</v>
      </c>
      <c r="M123" s="609">
        <v>86304</v>
      </c>
      <c r="N123" s="592">
        <v>1</v>
      </c>
      <c r="O123" s="592">
        <v>232</v>
      </c>
      <c r="P123" s="609">
        <v>341</v>
      </c>
      <c r="Q123" s="609">
        <v>79453</v>
      </c>
      <c r="R123" s="597">
        <v>0.92061781609195403</v>
      </c>
      <c r="S123" s="610">
        <v>233</v>
      </c>
    </row>
    <row r="124" spans="1:19" ht="14.45" customHeight="1" x14ac:dyDescent="0.2">
      <c r="A124" s="591" t="s">
        <v>944</v>
      </c>
      <c r="B124" s="592" t="s">
        <v>945</v>
      </c>
      <c r="C124" s="592" t="s">
        <v>447</v>
      </c>
      <c r="D124" s="592" t="s">
        <v>941</v>
      </c>
      <c r="E124" s="592" t="s">
        <v>959</v>
      </c>
      <c r="F124" s="592" t="s">
        <v>1000</v>
      </c>
      <c r="G124" s="592" t="s">
        <v>1001</v>
      </c>
      <c r="H124" s="609">
        <v>7</v>
      </c>
      <c r="I124" s="609">
        <v>3311</v>
      </c>
      <c r="J124" s="592"/>
      <c r="K124" s="592">
        <v>473</v>
      </c>
      <c r="L124" s="609"/>
      <c r="M124" s="609"/>
      <c r="N124" s="592"/>
      <c r="O124" s="592"/>
      <c r="P124" s="609"/>
      <c r="Q124" s="609"/>
      <c r="R124" s="597"/>
      <c r="S124" s="610"/>
    </row>
    <row r="125" spans="1:19" ht="14.45" customHeight="1" x14ac:dyDescent="0.2">
      <c r="A125" s="591" t="s">
        <v>944</v>
      </c>
      <c r="B125" s="592" t="s">
        <v>945</v>
      </c>
      <c r="C125" s="592" t="s">
        <v>447</v>
      </c>
      <c r="D125" s="592" t="s">
        <v>544</v>
      </c>
      <c r="E125" s="592" t="s">
        <v>946</v>
      </c>
      <c r="F125" s="592" t="s">
        <v>947</v>
      </c>
      <c r="G125" s="592" t="s">
        <v>948</v>
      </c>
      <c r="H125" s="609">
        <v>34.200000000000003</v>
      </c>
      <c r="I125" s="609">
        <v>1850.2199999999998</v>
      </c>
      <c r="J125" s="592">
        <v>1.4869565217391303</v>
      </c>
      <c r="K125" s="592">
        <v>54.099999999999987</v>
      </c>
      <c r="L125" s="609">
        <v>23</v>
      </c>
      <c r="M125" s="609">
        <v>1244.3</v>
      </c>
      <c r="N125" s="592">
        <v>1</v>
      </c>
      <c r="O125" s="592">
        <v>54.1</v>
      </c>
      <c r="P125" s="609">
        <v>23</v>
      </c>
      <c r="Q125" s="609">
        <v>1248.56</v>
      </c>
      <c r="R125" s="597">
        <v>1.0034236116692117</v>
      </c>
      <c r="S125" s="610">
        <v>54.285217391304343</v>
      </c>
    </row>
    <row r="126" spans="1:19" ht="14.45" customHeight="1" x14ac:dyDescent="0.2">
      <c r="A126" s="591" t="s">
        <v>944</v>
      </c>
      <c r="B126" s="592" t="s">
        <v>945</v>
      </c>
      <c r="C126" s="592" t="s">
        <v>447</v>
      </c>
      <c r="D126" s="592" t="s">
        <v>544</v>
      </c>
      <c r="E126" s="592" t="s">
        <v>946</v>
      </c>
      <c r="F126" s="592" t="s">
        <v>950</v>
      </c>
      <c r="G126" s="592" t="s">
        <v>488</v>
      </c>
      <c r="H126" s="609">
        <v>3.7</v>
      </c>
      <c r="I126" s="609">
        <v>227.18</v>
      </c>
      <c r="J126" s="592">
        <v>2.7813418217433887</v>
      </c>
      <c r="K126" s="592">
        <v>61.4</v>
      </c>
      <c r="L126" s="609">
        <v>1.4</v>
      </c>
      <c r="M126" s="609">
        <v>81.680000000000007</v>
      </c>
      <c r="N126" s="592">
        <v>1</v>
      </c>
      <c r="O126" s="592">
        <v>58.342857142857149</v>
      </c>
      <c r="P126" s="609">
        <v>2.1</v>
      </c>
      <c r="Q126" s="609">
        <v>106.37</v>
      </c>
      <c r="R126" s="597">
        <v>1.302277179236043</v>
      </c>
      <c r="S126" s="610">
        <v>50.652380952380952</v>
      </c>
    </row>
    <row r="127" spans="1:19" ht="14.45" customHeight="1" x14ac:dyDescent="0.2">
      <c r="A127" s="591" t="s">
        <v>944</v>
      </c>
      <c r="B127" s="592" t="s">
        <v>945</v>
      </c>
      <c r="C127" s="592" t="s">
        <v>447</v>
      </c>
      <c r="D127" s="592" t="s">
        <v>544</v>
      </c>
      <c r="E127" s="592" t="s">
        <v>946</v>
      </c>
      <c r="F127" s="592" t="s">
        <v>951</v>
      </c>
      <c r="G127" s="592" t="s">
        <v>952</v>
      </c>
      <c r="H127" s="609">
        <v>1.1000000000000001</v>
      </c>
      <c r="I127" s="609">
        <v>194.7</v>
      </c>
      <c r="J127" s="592">
        <v>3.666666666666667</v>
      </c>
      <c r="K127" s="592">
        <v>176.99999999999997</v>
      </c>
      <c r="L127" s="609">
        <v>0.30000000000000004</v>
      </c>
      <c r="M127" s="609">
        <v>53.099999999999994</v>
      </c>
      <c r="N127" s="592">
        <v>1</v>
      </c>
      <c r="O127" s="592">
        <v>176.99999999999994</v>
      </c>
      <c r="P127" s="609">
        <v>0.2</v>
      </c>
      <c r="Q127" s="609">
        <v>35.4</v>
      </c>
      <c r="R127" s="597">
        <v>0.66666666666666674</v>
      </c>
      <c r="S127" s="610">
        <v>176.99999999999997</v>
      </c>
    </row>
    <row r="128" spans="1:19" ht="14.45" customHeight="1" x14ac:dyDescent="0.2">
      <c r="A128" s="591" t="s">
        <v>944</v>
      </c>
      <c r="B128" s="592" t="s">
        <v>945</v>
      </c>
      <c r="C128" s="592" t="s">
        <v>447</v>
      </c>
      <c r="D128" s="592" t="s">
        <v>544</v>
      </c>
      <c r="E128" s="592" t="s">
        <v>946</v>
      </c>
      <c r="F128" s="592" t="s">
        <v>955</v>
      </c>
      <c r="G128" s="592" t="s">
        <v>471</v>
      </c>
      <c r="H128" s="609">
        <v>8.65</v>
      </c>
      <c r="I128" s="609">
        <v>41.52</v>
      </c>
      <c r="J128" s="592">
        <v>1.5727272727272728</v>
      </c>
      <c r="K128" s="592">
        <v>4.8</v>
      </c>
      <c r="L128" s="609">
        <v>5.5</v>
      </c>
      <c r="M128" s="609">
        <v>26.400000000000002</v>
      </c>
      <c r="N128" s="592">
        <v>1</v>
      </c>
      <c r="O128" s="592">
        <v>4.8000000000000007</v>
      </c>
      <c r="P128" s="609">
        <v>5.95</v>
      </c>
      <c r="Q128" s="609">
        <v>28.560000000000002</v>
      </c>
      <c r="R128" s="597">
        <v>1.0818181818181818</v>
      </c>
      <c r="S128" s="610">
        <v>4.8</v>
      </c>
    </row>
    <row r="129" spans="1:19" ht="14.45" customHeight="1" x14ac:dyDescent="0.2">
      <c r="A129" s="591" t="s">
        <v>944</v>
      </c>
      <c r="B129" s="592" t="s">
        <v>945</v>
      </c>
      <c r="C129" s="592" t="s">
        <v>447</v>
      </c>
      <c r="D129" s="592" t="s">
        <v>544</v>
      </c>
      <c r="E129" s="592" t="s">
        <v>946</v>
      </c>
      <c r="F129" s="592" t="s">
        <v>956</v>
      </c>
      <c r="G129" s="592" t="s">
        <v>957</v>
      </c>
      <c r="H129" s="609">
        <v>1</v>
      </c>
      <c r="I129" s="609">
        <v>104.44</v>
      </c>
      <c r="J129" s="592">
        <v>0.19999999999999998</v>
      </c>
      <c r="K129" s="592">
        <v>104.44</v>
      </c>
      <c r="L129" s="609">
        <v>5</v>
      </c>
      <c r="M129" s="609">
        <v>522.20000000000005</v>
      </c>
      <c r="N129" s="592">
        <v>1</v>
      </c>
      <c r="O129" s="592">
        <v>104.44000000000001</v>
      </c>
      <c r="P129" s="609"/>
      <c r="Q129" s="609"/>
      <c r="R129" s="597"/>
      <c r="S129" s="610"/>
    </row>
    <row r="130" spans="1:19" ht="14.45" customHeight="1" x14ac:dyDescent="0.2">
      <c r="A130" s="591" t="s">
        <v>944</v>
      </c>
      <c r="B130" s="592" t="s">
        <v>945</v>
      </c>
      <c r="C130" s="592" t="s">
        <v>447</v>
      </c>
      <c r="D130" s="592" t="s">
        <v>544</v>
      </c>
      <c r="E130" s="592" t="s">
        <v>959</v>
      </c>
      <c r="F130" s="592" t="s">
        <v>962</v>
      </c>
      <c r="G130" s="592" t="s">
        <v>963</v>
      </c>
      <c r="H130" s="609">
        <v>1</v>
      </c>
      <c r="I130" s="609">
        <v>122</v>
      </c>
      <c r="J130" s="592"/>
      <c r="K130" s="592">
        <v>122</v>
      </c>
      <c r="L130" s="609"/>
      <c r="M130" s="609"/>
      <c r="N130" s="592"/>
      <c r="O130" s="592"/>
      <c r="P130" s="609"/>
      <c r="Q130" s="609"/>
      <c r="R130" s="597"/>
      <c r="S130" s="610"/>
    </row>
    <row r="131" spans="1:19" ht="14.45" customHeight="1" x14ac:dyDescent="0.2">
      <c r="A131" s="591" t="s">
        <v>944</v>
      </c>
      <c r="B131" s="592" t="s">
        <v>945</v>
      </c>
      <c r="C131" s="592" t="s">
        <v>447</v>
      </c>
      <c r="D131" s="592" t="s">
        <v>544</v>
      </c>
      <c r="E131" s="592" t="s">
        <v>959</v>
      </c>
      <c r="F131" s="592" t="s">
        <v>964</v>
      </c>
      <c r="G131" s="592" t="s">
        <v>965</v>
      </c>
      <c r="H131" s="609">
        <v>215</v>
      </c>
      <c r="I131" s="609">
        <v>7955</v>
      </c>
      <c r="J131" s="592">
        <v>1.6929133858267718</v>
      </c>
      <c r="K131" s="592">
        <v>37</v>
      </c>
      <c r="L131" s="609">
        <v>127</v>
      </c>
      <c r="M131" s="609">
        <v>4699</v>
      </c>
      <c r="N131" s="592">
        <v>1</v>
      </c>
      <c r="O131" s="592">
        <v>37</v>
      </c>
      <c r="P131" s="609">
        <v>132</v>
      </c>
      <c r="Q131" s="609">
        <v>5016</v>
      </c>
      <c r="R131" s="597">
        <v>1.067461161949351</v>
      </c>
      <c r="S131" s="610">
        <v>38</v>
      </c>
    </row>
    <row r="132" spans="1:19" ht="14.45" customHeight="1" x14ac:dyDescent="0.2">
      <c r="A132" s="591" t="s">
        <v>944</v>
      </c>
      <c r="B132" s="592" t="s">
        <v>945</v>
      </c>
      <c r="C132" s="592" t="s">
        <v>447</v>
      </c>
      <c r="D132" s="592" t="s">
        <v>544</v>
      </c>
      <c r="E132" s="592" t="s">
        <v>959</v>
      </c>
      <c r="F132" s="592" t="s">
        <v>966</v>
      </c>
      <c r="G132" s="592" t="s">
        <v>967</v>
      </c>
      <c r="H132" s="609">
        <v>70</v>
      </c>
      <c r="I132" s="609">
        <v>700</v>
      </c>
      <c r="J132" s="592">
        <v>0.88607594936708856</v>
      </c>
      <c r="K132" s="592">
        <v>10</v>
      </c>
      <c r="L132" s="609">
        <v>79</v>
      </c>
      <c r="M132" s="609">
        <v>790</v>
      </c>
      <c r="N132" s="592">
        <v>1</v>
      </c>
      <c r="O132" s="592">
        <v>10</v>
      </c>
      <c r="P132" s="609">
        <v>139</v>
      </c>
      <c r="Q132" s="609">
        <v>1390</v>
      </c>
      <c r="R132" s="597">
        <v>1.759493670886076</v>
      </c>
      <c r="S132" s="610">
        <v>10</v>
      </c>
    </row>
    <row r="133" spans="1:19" ht="14.45" customHeight="1" x14ac:dyDescent="0.2">
      <c r="A133" s="591" t="s">
        <v>944</v>
      </c>
      <c r="B133" s="592" t="s">
        <v>945</v>
      </c>
      <c r="C133" s="592" t="s">
        <v>447</v>
      </c>
      <c r="D133" s="592" t="s">
        <v>544</v>
      </c>
      <c r="E133" s="592" t="s">
        <v>959</v>
      </c>
      <c r="F133" s="592" t="s">
        <v>968</v>
      </c>
      <c r="G133" s="592" t="s">
        <v>969</v>
      </c>
      <c r="H133" s="609">
        <v>11</v>
      </c>
      <c r="I133" s="609">
        <v>55</v>
      </c>
      <c r="J133" s="592">
        <v>0.5</v>
      </c>
      <c r="K133" s="592">
        <v>5</v>
      </c>
      <c r="L133" s="609">
        <v>22</v>
      </c>
      <c r="M133" s="609">
        <v>110</v>
      </c>
      <c r="N133" s="592">
        <v>1</v>
      </c>
      <c r="O133" s="592">
        <v>5</v>
      </c>
      <c r="P133" s="609">
        <v>11</v>
      </c>
      <c r="Q133" s="609">
        <v>55</v>
      </c>
      <c r="R133" s="597">
        <v>0.5</v>
      </c>
      <c r="S133" s="610">
        <v>5</v>
      </c>
    </row>
    <row r="134" spans="1:19" ht="14.45" customHeight="1" x14ac:dyDescent="0.2">
      <c r="A134" s="591" t="s">
        <v>944</v>
      </c>
      <c r="B134" s="592" t="s">
        <v>945</v>
      </c>
      <c r="C134" s="592" t="s">
        <v>447</v>
      </c>
      <c r="D134" s="592" t="s">
        <v>544</v>
      </c>
      <c r="E134" s="592" t="s">
        <v>959</v>
      </c>
      <c r="F134" s="592" t="s">
        <v>970</v>
      </c>
      <c r="G134" s="592" t="s">
        <v>971</v>
      </c>
      <c r="H134" s="609">
        <v>3</v>
      </c>
      <c r="I134" s="609">
        <v>15</v>
      </c>
      <c r="J134" s="592"/>
      <c r="K134" s="592">
        <v>5</v>
      </c>
      <c r="L134" s="609"/>
      <c r="M134" s="609"/>
      <c r="N134" s="592"/>
      <c r="O134" s="592"/>
      <c r="P134" s="609"/>
      <c r="Q134" s="609"/>
      <c r="R134" s="597"/>
      <c r="S134" s="610"/>
    </row>
    <row r="135" spans="1:19" ht="14.45" customHeight="1" x14ac:dyDescent="0.2">
      <c r="A135" s="591" t="s">
        <v>944</v>
      </c>
      <c r="B135" s="592" t="s">
        <v>945</v>
      </c>
      <c r="C135" s="592" t="s">
        <v>447</v>
      </c>
      <c r="D135" s="592" t="s">
        <v>544</v>
      </c>
      <c r="E135" s="592" t="s">
        <v>959</v>
      </c>
      <c r="F135" s="592" t="s">
        <v>972</v>
      </c>
      <c r="G135" s="592" t="s">
        <v>973</v>
      </c>
      <c r="H135" s="609">
        <v>79</v>
      </c>
      <c r="I135" s="609">
        <v>5846</v>
      </c>
      <c r="J135" s="592">
        <v>0.92941176470588238</v>
      </c>
      <c r="K135" s="592">
        <v>74</v>
      </c>
      <c r="L135" s="609">
        <v>85</v>
      </c>
      <c r="M135" s="609">
        <v>6290</v>
      </c>
      <c r="N135" s="592">
        <v>1</v>
      </c>
      <c r="O135" s="592">
        <v>74</v>
      </c>
      <c r="P135" s="609">
        <v>106</v>
      </c>
      <c r="Q135" s="609">
        <v>7950</v>
      </c>
      <c r="R135" s="597">
        <v>1.2639109697933226</v>
      </c>
      <c r="S135" s="610">
        <v>75</v>
      </c>
    </row>
    <row r="136" spans="1:19" ht="14.45" customHeight="1" x14ac:dyDescent="0.2">
      <c r="A136" s="591" t="s">
        <v>944</v>
      </c>
      <c r="B136" s="592" t="s">
        <v>945</v>
      </c>
      <c r="C136" s="592" t="s">
        <v>447</v>
      </c>
      <c r="D136" s="592" t="s">
        <v>544</v>
      </c>
      <c r="E136" s="592" t="s">
        <v>959</v>
      </c>
      <c r="F136" s="592" t="s">
        <v>974</v>
      </c>
      <c r="G136" s="592" t="s">
        <v>975</v>
      </c>
      <c r="H136" s="609">
        <v>41</v>
      </c>
      <c r="I136" s="609">
        <v>7257</v>
      </c>
      <c r="J136" s="592">
        <v>1.8531664964249235</v>
      </c>
      <c r="K136" s="592">
        <v>177</v>
      </c>
      <c r="L136" s="609">
        <v>22</v>
      </c>
      <c r="M136" s="609">
        <v>3916</v>
      </c>
      <c r="N136" s="592">
        <v>1</v>
      </c>
      <c r="O136" s="592">
        <v>178</v>
      </c>
      <c r="P136" s="609">
        <v>21</v>
      </c>
      <c r="Q136" s="609">
        <v>3759</v>
      </c>
      <c r="R136" s="597">
        <v>0.95990806945863127</v>
      </c>
      <c r="S136" s="610">
        <v>179</v>
      </c>
    </row>
    <row r="137" spans="1:19" ht="14.45" customHeight="1" x14ac:dyDescent="0.2">
      <c r="A137" s="591" t="s">
        <v>944</v>
      </c>
      <c r="B137" s="592" t="s">
        <v>945</v>
      </c>
      <c r="C137" s="592" t="s">
        <v>447</v>
      </c>
      <c r="D137" s="592" t="s">
        <v>544</v>
      </c>
      <c r="E137" s="592" t="s">
        <v>959</v>
      </c>
      <c r="F137" s="592" t="s">
        <v>976</v>
      </c>
      <c r="G137" s="592" t="s">
        <v>977</v>
      </c>
      <c r="H137" s="609"/>
      <c r="I137" s="609"/>
      <c r="J137" s="592"/>
      <c r="K137" s="592"/>
      <c r="L137" s="609">
        <v>1</v>
      </c>
      <c r="M137" s="609">
        <v>272</v>
      </c>
      <c r="N137" s="592">
        <v>1</v>
      </c>
      <c r="O137" s="592">
        <v>272</v>
      </c>
      <c r="P137" s="609"/>
      <c r="Q137" s="609"/>
      <c r="R137" s="597"/>
      <c r="S137" s="610"/>
    </row>
    <row r="138" spans="1:19" ht="14.45" customHeight="1" x14ac:dyDescent="0.2">
      <c r="A138" s="591" t="s">
        <v>944</v>
      </c>
      <c r="B138" s="592" t="s">
        <v>945</v>
      </c>
      <c r="C138" s="592" t="s">
        <v>447</v>
      </c>
      <c r="D138" s="592" t="s">
        <v>544</v>
      </c>
      <c r="E138" s="592" t="s">
        <v>959</v>
      </c>
      <c r="F138" s="592" t="s">
        <v>978</v>
      </c>
      <c r="G138" s="592" t="s">
        <v>979</v>
      </c>
      <c r="H138" s="609">
        <v>162</v>
      </c>
      <c r="I138" s="609">
        <v>5400.01</v>
      </c>
      <c r="J138" s="592">
        <v>1.2089538538690929</v>
      </c>
      <c r="K138" s="592">
        <v>33.333395061728396</v>
      </c>
      <c r="L138" s="609">
        <v>134</v>
      </c>
      <c r="M138" s="609">
        <v>4466.68</v>
      </c>
      <c r="N138" s="592">
        <v>1</v>
      </c>
      <c r="O138" s="592">
        <v>33.333432835820901</v>
      </c>
      <c r="P138" s="609">
        <v>169</v>
      </c>
      <c r="Q138" s="609">
        <v>5633.33</v>
      </c>
      <c r="R138" s="597">
        <v>1.2611895188372571</v>
      </c>
      <c r="S138" s="610">
        <v>33.333313609467453</v>
      </c>
    </row>
    <row r="139" spans="1:19" ht="14.45" customHeight="1" x14ac:dyDescent="0.2">
      <c r="A139" s="591" t="s">
        <v>944</v>
      </c>
      <c r="B139" s="592" t="s">
        <v>945</v>
      </c>
      <c r="C139" s="592" t="s">
        <v>447</v>
      </c>
      <c r="D139" s="592" t="s">
        <v>544</v>
      </c>
      <c r="E139" s="592" t="s">
        <v>959</v>
      </c>
      <c r="F139" s="592" t="s">
        <v>980</v>
      </c>
      <c r="G139" s="592" t="s">
        <v>981</v>
      </c>
      <c r="H139" s="609">
        <v>5</v>
      </c>
      <c r="I139" s="609">
        <v>185</v>
      </c>
      <c r="J139" s="592">
        <v>2.5</v>
      </c>
      <c r="K139" s="592">
        <v>37</v>
      </c>
      <c r="L139" s="609">
        <v>2</v>
      </c>
      <c r="M139" s="609">
        <v>74</v>
      </c>
      <c r="N139" s="592">
        <v>1</v>
      </c>
      <c r="O139" s="592">
        <v>37</v>
      </c>
      <c r="P139" s="609"/>
      <c r="Q139" s="609"/>
      <c r="R139" s="597"/>
      <c r="S139" s="610"/>
    </row>
    <row r="140" spans="1:19" ht="14.45" customHeight="1" x14ac:dyDescent="0.2">
      <c r="A140" s="591" t="s">
        <v>944</v>
      </c>
      <c r="B140" s="592" t="s">
        <v>945</v>
      </c>
      <c r="C140" s="592" t="s">
        <v>447</v>
      </c>
      <c r="D140" s="592" t="s">
        <v>544</v>
      </c>
      <c r="E140" s="592" t="s">
        <v>959</v>
      </c>
      <c r="F140" s="592" t="s">
        <v>982</v>
      </c>
      <c r="G140" s="592" t="s">
        <v>983</v>
      </c>
      <c r="H140" s="609">
        <v>198</v>
      </c>
      <c r="I140" s="609">
        <v>26136</v>
      </c>
      <c r="J140" s="592">
        <v>1.65</v>
      </c>
      <c r="K140" s="592">
        <v>132</v>
      </c>
      <c r="L140" s="609">
        <v>120</v>
      </c>
      <c r="M140" s="609">
        <v>15840</v>
      </c>
      <c r="N140" s="592">
        <v>1</v>
      </c>
      <c r="O140" s="592">
        <v>132</v>
      </c>
      <c r="P140" s="609">
        <v>128</v>
      </c>
      <c r="Q140" s="609">
        <v>17280</v>
      </c>
      <c r="R140" s="597">
        <v>1.0909090909090908</v>
      </c>
      <c r="S140" s="610">
        <v>135</v>
      </c>
    </row>
    <row r="141" spans="1:19" ht="14.45" customHeight="1" x14ac:dyDescent="0.2">
      <c r="A141" s="591" t="s">
        <v>944</v>
      </c>
      <c r="B141" s="592" t="s">
        <v>945</v>
      </c>
      <c r="C141" s="592" t="s">
        <v>447</v>
      </c>
      <c r="D141" s="592" t="s">
        <v>544</v>
      </c>
      <c r="E141" s="592" t="s">
        <v>959</v>
      </c>
      <c r="F141" s="592" t="s">
        <v>984</v>
      </c>
      <c r="G141" s="592" t="s">
        <v>985</v>
      </c>
      <c r="H141" s="609">
        <v>86</v>
      </c>
      <c r="I141" s="609">
        <v>6364</v>
      </c>
      <c r="J141" s="592">
        <v>10.75</v>
      </c>
      <c r="K141" s="592">
        <v>74</v>
      </c>
      <c r="L141" s="609">
        <v>8</v>
      </c>
      <c r="M141" s="609">
        <v>592</v>
      </c>
      <c r="N141" s="592">
        <v>1</v>
      </c>
      <c r="O141" s="592">
        <v>74</v>
      </c>
      <c r="P141" s="609">
        <v>9</v>
      </c>
      <c r="Q141" s="609">
        <v>675</v>
      </c>
      <c r="R141" s="597">
        <v>1.1402027027027026</v>
      </c>
      <c r="S141" s="610">
        <v>75</v>
      </c>
    </row>
    <row r="142" spans="1:19" ht="14.45" customHeight="1" x14ac:dyDescent="0.2">
      <c r="A142" s="591" t="s">
        <v>944</v>
      </c>
      <c r="B142" s="592" t="s">
        <v>945</v>
      </c>
      <c r="C142" s="592" t="s">
        <v>447</v>
      </c>
      <c r="D142" s="592" t="s">
        <v>544</v>
      </c>
      <c r="E142" s="592" t="s">
        <v>959</v>
      </c>
      <c r="F142" s="592" t="s">
        <v>986</v>
      </c>
      <c r="G142" s="592" t="s">
        <v>987</v>
      </c>
      <c r="H142" s="609">
        <v>91</v>
      </c>
      <c r="I142" s="609">
        <v>32305</v>
      </c>
      <c r="J142" s="592">
        <v>0.89215686274509809</v>
      </c>
      <c r="K142" s="592">
        <v>355</v>
      </c>
      <c r="L142" s="609">
        <v>102</v>
      </c>
      <c r="M142" s="609">
        <v>36210</v>
      </c>
      <c r="N142" s="592">
        <v>1</v>
      </c>
      <c r="O142" s="592">
        <v>355</v>
      </c>
      <c r="P142" s="609">
        <v>145</v>
      </c>
      <c r="Q142" s="609">
        <v>51910</v>
      </c>
      <c r="R142" s="597">
        <v>1.4335818834576084</v>
      </c>
      <c r="S142" s="610">
        <v>358</v>
      </c>
    </row>
    <row r="143" spans="1:19" ht="14.45" customHeight="1" x14ac:dyDescent="0.2">
      <c r="A143" s="591" t="s">
        <v>944</v>
      </c>
      <c r="B143" s="592" t="s">
        <v>945</v>
      </c>
      <c r="C143" s="592" t="s">
        <v>447</v>
      </c>
      <c r="D143" s="592" t="s">
        <v>544</v>
      </c>
      <c r="E143" s="592" t="s">
        <v>959</v>
      </c>
      <c r="F143" s="592" t="s">
        <v>988</v>
      </c>
      <c r="G143" s="592" t="s">
        <v>989</v>
      </c>
      <c r="H143" s="609">
        <v>151</v>
      </c>
      <c r="I143" s="609">
        <v>33673</v>
      </c>
      <c r="J143" s="592">
        <v>0.94968553459119498</v>
      </c>
      <c r="K143" s="592">
        <v>223</v>
      </c>
      <c r="L143" s="609">
        <v>159</v>
      </c>
      <c r="M143" s="609">
        <v>35457</v>
      </c>
      <c r="N143" s="592">
        <v>1</v>
      </c>
      <c r="O143" s="592">
        <v>223</v>
      </c>
      <c r="P143" s="609">
        <v>217</v>
      </c>
      <c r="Q143" s="609">
        <v>49042</v>
      </c>
      <c r="R143" s="597">
        <v>1.3831401415799418</v>
      </c>
      <c r="S143" s="610">
        <v>226</v>
      </c>
    </row>
    <row r="144" spans="1:19" ht="14.45" customHeight="1" x14ac:dyDescent="0.2">
      <c r="A144" s="591" t="s">
        <v>944</v>
      </c>
      <c r="B144" s="592" t="s">
        <v>945</v>
      </c>
      <c r="C144" s="592" t="s">
        <v>447</v>
      </c>
      <c r="D144" s="592" t="s">
        <v>544</v>
      </c>
      <c r="E144" s="592" t="s">
        <v>959</v>
      </c>
      <c r="F144" s="592" t="s">
        <v>990</v>
      </c>
      <c r="G144" s="592" t="s">
        <v>991</v>
      </c>
      <c r="H144" s="609">
        <v>1</v>
      </c>
      <c r="I144" s="609">
        <v>77</v>
      </c>
      <c r="J144" s="592">
        <v>1</v>
      </c>
      <c r="K144" s="592">
        <v>77</v>
      </c>
      <c r="L144" s="609">
        <v>1</v>
      </c>
      <c r="M144" s="609">
        <v>77</v>
      </c>
      <c r="N144" s="592">
        <v>1</v>
      </c>
      <c r="O144" s="592">
        <v>77</v>
      </c>
      <c r="P144" s="609"/>
      <c r="Q144" s="609"/>
      <c r="R144" s="597"/>
      <c r="S144" s="610"/>
    </row>
    <row r="145" spans="1:19" ht="14.45" customHeight="1" x14ac:dyDescent="0.2">
      <c r="A145" s="591" t="s">
        <v>944</v>
      </c>
      <c r="B145" s="592" t="s">
        <v>945</v>
      </c>
      <c r="C145" s="592" t="s">
        <v>447</v>
      </c>
      <c r="D145" s="592" t="s">
        <v>544</v>
      </c>
      <c r="E145" s="592" t="s">
        <v>959</v>
      </c>
      <c r="F145" s="592" t="s">
        <v>992</v>
      </c>
      <c r="G145" s="592" t="s">
        <v>993</v>
      </c>
      <c r="H145" s="609">
        <v>1</v>
      </c>
      <c r="I145" s="609">
        <v>28</v>
      </c>
      <c r="J145" s="592"/>
      <c r="K145" s="592">
        <v>28</v>
      </c>
      <c r="L145" s="609"/>
      <c r="M145" s="609"/>
      <c r="N145" s="592"/>
      <c r="O145" s="592"/>
      <c r="P145" s="609"/>
      <c r="Q145" s="609"/>
      <c r="R145" s="597"/>
      <c r="S145" s="610"/>
    </row>
    <row r="146" spans="1:19" ht="14.45" customHeight="1" x14ac:dyDescent="0.2">
      <c r="A146" s="591" t="s">
        <v>944</v>
      </c>
      <c r="B146" s="592" t="s">
        <v>945</v>
      </c>
      <c r="C146" s="592" t="s">
        <v>447</v>
      </c>
      <c r="D146" s="592" t="s">
        <v>544</v>
      </c>
      <c r="E146" s="592" t="s">
        <v>959</v>
      </c>
      <c r="F146" s="592" t="s">
        <v>996</v>
      </c>
      <c r="G146" s="592" t="s">
        <v>997</v>
      </c>
      <c r="H146" s="609">
        <v>30</v>
      </c>
      <c r="I146" s="609">
        <v>21030</v>
      </c>
      <c r="J146" s="592">
        <v>1.2482193732193732</v>
      </c>
      <c r="K146" s="592">
        <v>701</v>
      </c>
      <c r="L146" s="609">
        <v>24</v>
      </c>
      <c r="M146" s="609">
        <v>16848</v>
      </c>
      <c r="N146" s="592">
        <v>1</v>
      </c>
      <c r="O146" s="592">
        <v>702</v>
      </c>
      <c r="P146" s="609">
        <v>24</v>
      </c>
      <c r="Q146" s="609">
        <v>16968</v>
      </c>
      <c r="R146" s="597">
        <v>1.0071225071225072</v>
      </c>
      <c r="S146" s="610">
        <v>707</v>
      </c>
    </row>
    <row r="147" spans="1:19" ht="14.45" customHeight="1" x14ac:dyDescent="0.2">
      <c r="A147" s="591" t="s">
        <v>944</v>
      </c>
      <c r="B147" s="592" t="s">
        <v>945</v>
      </c>
      <c r="C147" s="592" t="s">
        <v>447</v>
      </c>
      <c r="D147" s="592" t="s">
        <v>544</v>
      </c>
      <c r="E147" s="592" t="s">
        <v>959</v>
      </c>
      <c r="F147" s="592" t="s">
        <v>998</v>
      </c>
      <c r="G147" s="592" t="s">
        <v>999</v>
      </c>
      <c r="H147" s="609">
        <v>101</v>
      </c>
      <c r="I147" s="609">
        <v>23331</v>
      </c>
      <c r="J147" s="592">
        <v>1.0158045977011494</v>
      </c>
      <c r="K147" s="592">
        <v>231</v>
      </c>
      <c r="L147" s="609">
        <v>99</v>
      </c>
      <c r="M147" s="609">
        <v>22968</v>
      </c>
      <c r="N147" s="592">
        <v>1</v>
      </c>
      <c r="O147" s="592">
        <v>232</v>
      </c>
      <c r="P147" s="609">
        <v>150</v>
      </c>
      <c r="Q147" s="609">
        <v>34950</v>
      </c>
      <c r="R147" s="597">
        <v>1.5216823406478579</v>
      </c>
      <c r="S147" s="610">
        <v>233</v>
      </c>
    </row>
    <row r="148" spans="1:19" ht="14.45" customHeight="1" x14ac:dyDescent="0.2">
      <c r="A148" s="591" t="s">
        <v>944</v>
      </c>
      <c r="B148" s="592" t="s">
        <v>945</v>
      </c>
      <c r="C148" s="592" t="s">
        <v>447</v>
      </c>
      <c r="D148" s="592" t="s">
        <v>942</v>
      </c>
      <c r="E148" s="592" t="s">
        <v>959</v>
      </c>
      <c r="F148" s="592" t="s">
        <v>964</v>
      </c>
      <c r="G148" s="592" t="s">
        <v>965</v>
      </c>
      <c r="H148" s="609"/>
      <c r="I148" s="609"/>
      <c r="J148" s="592"/>
      <c r="K148" s="592"/>
      <c r="L148" s="609">
        <v>6</v>
      </c>
      <c r="M148" s="609">
        <v>222</v>
      </c>
      <c r="N148" s="592">
        <v>1</v>
      </c>
      <c r="O148" s="592">
        <v>37</v>
      </c>
      <c r="P148" s="609">
        <v>5</v>
      </c>
      <c r="Q148" s="609">
        <v>190</v>
      </c>
      <c r="R148" s="597">
        <v>0.85585585585585588</v>
      </c>
      <c r="S148" s="610">
        <v>38</v>
      </c>
    </row>
    <row r="149" spans="1:19" ht="14.45" customHeight="1" x14ac:dyDescent="0.2">
      <c r="A149" s="591" t="s">
        <v>944</v>
      </c>
      <c r="B149" s="592" t="s">
        <v>945</v>
      </c>
      <c r="C149" s="592" t="s">
        <v>447</v>
      </c>
      <c r="D149" s="592" t="s">
        <v>942</v>
      </c>
      <c r="E149" s="592" t="s">
        <v>959</v>
      </c>
      <c r="F149" s="592" t="s">
        <v>966</v>
      </c>
      <c r="G149" s="592" t="s">
        <v>967</v>
      </c>
      <c r="H149" s="609"/>
      <c r="I149" s="609"/>
      <c r="J149" s="592"/>
      <c r="K149" s="592"/>
      <c r="L149" s="609">
        <v>1</v>
      </c>
      <c r="M149" s="609">
        <v>10</v>
      </c>
      <c r="N149" s="592">
        <v>1</v>
      </c>
      <c r="O149" s="592">
        <v>10</v>
      </c>
      <c r="P149" s="609">
        <v>40</v>
      </c>
      <c r="Q149" s="609">
        <v>400</v>
      </c>
      <c r="R149" s="597">
        <v>40</v>
      </c>
      <c r="S149" s="610">
        <v>10</v>
      </c>
    </row>
    <row r="150" spans="1:19" ht="14.45" customHeight="1" x14ac:dyDescent="0.2">
      <c r="A150" s="591" t="s">
        <v>944</v>
      </c>
      <c r="B150" s="592" t="s">
        <v>945</v>
      </c>
      <c r="C150" s="592" t="s">
        <v>447</v>
      </c>
      <c r="D150" s="592" t="s">
        <v>942</v>
      </c>
      <c r="E150" s="592" t="s">
        <v>959</v>
      </c>
      <c r="F150" s="592" t="s">
        <v>972</v>
      </c>
      <c r="G150" s="592" t="s">
        <v>973</v>
      </c>
      <c r="H150" s="609"/>
      <c r="I150" s="609"/>
      <c r="J150" s="592"/>
      <c r="K150" s="592"/>
      <c r="L150" s="609">
        <v>1</v>
      </c>
      <c r="M150" s="609">
        <v>74</v>
      </c>
      <c r="N150" s="592">
        <v>1</v>
      </c>
      <c r="O150" s="592">
        <v>74</v>
      </c>
      <c r="P150" s="609">
        <v>1</v>
      </c>
      <c r="Q150" s="609">
        <v>75</v>
      </c>
      <c r="R150" s="597">
        <v>1.0135135135135136</v>
      </c>
      <c r="S150" s="610">
        <v>75</v>
      </c>
    </row>
    <row r="151" spans="1:19" ht="14.45" customHeight="1" x14ac:dyDescent="0.2">
      <c r="A151" s="591" t="s">
        <v>944</v>
      </c>
      <c r="B151" s="592" t="s">
        <v>945</v>
      </c>
      <c r="C151" s="592" t="s">
        <v>447</v>
      </c>
      <c r="D151" s="592" t="s">
        <v>942</v>
      </c>
      <c r="E151" s="592" t="s">
        <v>959</v>
      </c>
      <c r="F151" s="592" t="s">
        <v>974</v>
      </c>
      <c r="G151" s="592" t="s">
        <v>975</v>
      </c>
      <c r="H151" s="609"/>
      <c r="I151" s="609"/>
      <c r="J151" s="592"/>
      <c r="K151" s="592"/>
      <c r="L151" s="609">
        <v>1</v>
      </c>
      <c r="M151" s="609">
        <v>178</v>
      </c>
      <c r="N151" s="592">
        <v>1</v>
      </c>
      <c r="O151" s="592">
        <v>178</v>
      </c>
      <c r="P151" s="609">
        <v>1</v>
      </c>
      <c r="Q151" s="609">
        <v>179</v>
      </c>
      <c r="R151" s="597">
        <v>1.0056179775280898</v>
      </c>
      <c r="S151" s="610">
        <v>179</v>
      </c>
    </row>
    <row r="152" spans="1:19" ht="14.45" customHeight="1" x14ac:dyDescent="0.2">
      <c r="A152" s="591" t="s">
        <v>944</v>
      </c>
      <c r="B152" s="592" t="s">
        <v>945</v>
      </c>
      <c r="C152" s="592" t="s">
        <v>447</v>
      </c>
      <c r="D152" s="592" t="s">
        <v>942</v>
      </c>
      <c r="E152" s="592" t="s">
        <v>959</v>
      </c>
      <c r="F152" s="592" t="s">
        <v>978</v>
      </c>
      <c r="G152" s="592" t="s">
        <v>979</v>
      </c>
      <c r="H152" s="609"/>
      <c r="I152" s="609"/>
      <c r="J152" s="592"/>
      <c r="K152" s="592"/>
      <c r="L152" s="609">
        <v>4</v>
      </c>
      <c r="M152" s="609">
        <v>133.32999999999998</v>
      </c>
      <c r="N152" s="592">
        <v>1</v>
      </c>
      <c r="O152" s="592">
        <v>33.332499999999996</v>
      </c>
      <c r="P152" s="609">
        <v>40</v>
      </c>
      <c r="Q152" s="609">
        <v>1333.3300000000002</v>
      </c>
      <c r="R152" s="597">
        <v>10.000225005625143</v>
      </c>
      <c r="S152" s="610">
        <v>33.333250000000007</v>
      </c>
    </row>
    <row r="153" spans="1:19" ht="14.45" customHeight="1" x14ac:dyDescent="0.2">
      <c r="A153" s="591" t="s">
        <v>944</v>
      </c>
      <c r="B153" s="592" t="s">
        <v>945</v>
      </c>
      <c r="C153" s="592" t="s">
        <v>447</v>
      </c>
      <c r="D153" s="592" t="s">
        <v>942</v>
      </c>
      <c r="E153" s="592" t="s">
        <v>959</v>
      </c>
      <c r="F153" s="592" t="s">
        <v>984</v>
      </c>
      <c r="G153" s="592" t="s">
        <v>985</v>
      </c>
      <c r="H153" s="609"/>
      <c r="I153" s="609"/>
      <c r="J153" s="592"/>
      <c r="K153" s="592"/>
      <c r="L153" s="609"/>
      <c r="M153" s="609"/>
      <c r="N153" s="592"/>
      <c r="O153" s="592"/>
      <c r="P153" s="609">
        <v>5</v>
      </c>
      <c r="Q153" s="609">
        <v>375</v>
      </c>
      <c r="R153" s="597"/>
      <c r="S153" s="610">
        <v>75</v>
      </c>
    </row>
    <row r="154" spans="1:19" ht="14.45" customHeight="1" x14ac:dyDescent="0.2">
      <c r="A154" s="591" t="s">
        <v>944</v>
      </c>
      <c r="B154" s="592" t="s">
        <v>945</v>
      </c>
      <c r="C154" s="592" t="s">
        <v>447</v>
      </c>
      <c r="D154" s="592" t="s">
        <v>942</v>
      </c>
      <c r="E154" s="592" t="s">
        <v>959</v>
      </c>
      <c r="F154" s="592" t="s">
        <v>986</v>
      </c>
      <c r="G154" s="592" t="s">
        <v>987</v>
      </c>
      <c r="H154" s="609"/>
      <c r="I154" s="609"/>
      <c r="J154" s="592"/>
      <c r="K154" s="592"/>
      <c r="L154" s="609">
        <v>1</v>
      </c>
      <c r="M154" s="609">
        <v>355</v>
      </c>
      <c r="N154" s="592">
        <v>1</v>
      </c>
      <c r="O154" s="592">
        <v>355</v>
      </c>
      <c r="P154" s="609">
        <v>36</v>
      </c>
      <c r="Q154" s="609">
        <v>12888</v>
      </c>
      <c r="R154" s="597">
        <v>36.304225352112674</v>
      </c>
      <c r="S154" s="610">
        <v>358</v>
      </c>
    </row>
    <row r="155" spans="1:19" ht="14.45" customHeight="1" x14ac:dyDescent="0.2">
      <c r="A155" s="591" t="s">
        <v>944</v>
      </c>
      <c r="B155" s="592" t="s">
        <v>945</v>
      </c>
      <c r="C155" s="592" t="s">
        <v>447</v>
      </c>
      <c r="D155" s="592" t="s">
        <v>942</v>
      </c>
      <c r="E155" s="592" t="s">
        <v>959</v>
      </c>
      <c r="F155" s="592" t="s">
        <v>988</v>
      </c>
      <c r="G155" s="592" t="s">
        <v>989</v>
      </c>
      <c r="H155" s="609"/>
      <c r="I155" s="609"/>
      <c r="J155" s="592"/>
      <c r="K155" s="592"/>
      <c r="L155" s="609">
        <v>5</v>
      </c>
      <c r="M155" s="609">
        <v>1115</v>
      </c>
      <c r="N155" s="592">
        <v>1</v>
      </c>
      <c r="O155" s="592">
        <v>223</v>
      </c>
      <c r="P155" s="609">
        <v>42</v>
      </c>
      <c r="Q155" s="609">
        <v>9492</v>
      </c>
      <c r="R155" s="597">
        <v>8.5130044843049326</v>
      </c>
      <c r="S155" s="610">
        <v>226</v>
      </c>
    </row>
    <row r="156" spans="1:19" ht="14.45" customHeight="1" x14ac:dyDescent="0.2">
      <c r="A156" s="591" t="s">
        <v>944</v>
      </c>
      <c r="B156" s="592" t="s">
        <v>945</v>
      </c>
      <c r="C156" s="592" t="s">
        <v>447</v>
      </c>
      <c r="D156" s="592" t="s">
        <v>942</v>
      </c>
      <c r="E156" s="592" t="s">
        <v>959</v>
      </c>
      <c r="F156" s="592" t="s">
        <v>996</v>
      </c>
      <c r="G156" s="592" t="s">
        <v>997</v>
      </c>
      <c r="H156" s="609"/>
      <c r="I156" s="609"/>
      <c r="J156" s="592"/>
      <c r="K156" s="592"/>
      <c r="L156" s="609">
        <v>3</v>
      </c>
      <c r="M156" s="609">
        <v>2106</v>
      </c>
      <c r="N156" s="592">
        <v>1</v>
      </c>
      <c r="O156" s="592">
        <v>702</v>
      </c>
      <c r="P156" s="609">
        <v>5</v>
      </c>
      <c r="Q156" s="609">
        <v>3535</v>
      </c>
      <c r="R156" s="597">
        <v>1.6785375118708452</v>
      </c>
      <c r="S156" s="610">
        <v>707</v>
      </c>
    </row>
    <row r="157" spans="1:19" ht="14.45" customHeight="1" x14ac:dyDescent="0.2">
      <c r="A157" s="591" t="s">
        <v>944</v>
      </c>
      <c r="B157" s="592" t="s">
        <v>945</v>
      </c>
      <c r="C157" s="592" t="s">
        <v>452</v>
      </c>
      <c r="D157" s="592" t="s">
        <v>936</v>
      </c>
      <c r="E157" s="592" t="s">
        <v>959</v>
      </c>
      <c r="F157" s="592" t="s">
        <v>984</v>
      </c>
      <c r="G157" s="592" t="s">
        <v>985</v>
      </c>
      <c r="H157" s="609"/>
      <c r="I157" s="609"/>
      <c r="J157" s="592"/>
      <c r="K157" s="592"/>
      <c r="L157" s="609"/>
      <c r="M157" s="609"/>
      <c r="N157" s="592"/>
      <c r="O157" s="592"/>
      <c r="P157" s="609">
        <v>2</v>
      </c>
      <c r="Q157" s="609">
        <v>150</v>
      </c>
      <c r="R157" s="597"/>
      <c r="S157" s="610">
        <v>75</v>
      </c>
    </row>
    <row r="158" spans="1:19" ht="14.45" customHeight="1" x14ac:dyDescent="0.2">
      <c r="A158" s="591" t="s">
        <v>944</v>
      </c>
      <c r="B158" s="592" t="s">
        <v>945</v>
      </c>
      <c r="C158" s="592" t="s">
        <v>452</v>
      </c>
      <c r="D158" s="592" t="s">
        <v>541</v>
      </c>
      <c r="E158" s="592" t="s">
        <v>946</v>
      </c>
      <c r="F158" s="592" t="s">
        <v>947</v>
      </c>
      <c r="G158" s="592" t="s">
        <v>948</v>
      </c>
      <c r="H158" s="609"/>
      <c r="I158" s="609"/>
      <c r="J158" s="592"/>
      <c r="K158" s="592"/>
      <c r="L158" s="609">
        <v>2.5999999999999996</v>
      </c>
      <c r="M158" s="609">
        <v>140.66</v>
      </c>
      <c r="N158" s="592">
        <v>1</v>
      </c>
      <c r="O158" s="592">
        <v>54.100000000000009</v>
      </c>
      <c r="P158" s="609"/>
      <c r="Q158" s="609"/>
      <c r="R158" s="597"/>
      <c r="S158" s="610"/>
    </row>
    <row r="159" spans="1:19" ht="14.45" customHeight="1" x14ac:dyDescent="0.2">
      <c r="A159" s="591" t="s">
        <v>944</v>
      </c>
      <c r="B159" s="592" t="s">
        <v>945</v>
      </c>
      <c r="C159" s="592" t="s">
        <v>452</v>
      </c>
      <c r="D159" s="592" t="s">
        <v>541</v>
      </c>
      <c r="E159" s="592" t="s">
        <v>946</v>
      </c>
      <c r="F159" s="592" t="s">
        <v>955</v>
      </c>
      <c r="G159" s="592" t="s">
        <v>471</v>
      </c>
      <c r="H159" s="609"/>
      <c r="I159" s="609"/>
      <c r="J159" s="592"/>
      <c r="K159" s="592"/>
      <c r="L159" s="609">
        <v>0.64999999999999991</v>
      </c>
      <c r="M159" s="609">
        <v>3.12</v>
      </c>
      <c r="N159" s="592">
        <v>1</v>
      </c>
      <c r="O159" s="592">
        <v>4.8000000000000007</v>
      </c>
      <c r="P159" s="609"/>
      <c r="Q159" s="609"/>
      <c r="R159" s="597"/>
      <c r="S159" s="610"/>
    </row>
    <row r="160" spans="1:19" ht="14.45" customHeight="1" x14ac:dyDescent="0.2">
      <c r="A160" s="591" t="s">
        <v>944</v>
      </c>
      <c r="B160" s="592" t="s">
        <v>945</v>
      </c>
      <c r="C160" s="592" t="s">
        <v>452</v>
      </c>
      <c r="D160" s="592" t="s">
        <v>541</v>
      </c>
      <c r="E160" s="592" t="s">
        <v>959</v>
      </c>
      <c r="F160" s="592" t="s">
        <v>964</v>
      </c>
      <c r="G160" s="592" t="s">
        <v>965</v>
      </c>
      <c r="H160" s="609"/>
      <c r="I160" s="609"/>
      <c r="J160" s="592"/>
      <c r="K160" s="592"/>
      <c r="L160" s="609">
        <v>12</v>
      </c>
      <c r="M160" s="609">
        <v>444</v>
      </c>
      <c r="N160" s="592">
        <v>1</v>
      </c>
      <c r="O160" s="592">
        <v>37</v>
      </c>
      <c r="P160" s="609"/>
      <c r="Q160" s="609"/>
      <c r="R160" s="597"/>
      <c r="S160" s="610"/>
    </row>
    <row r="161" spans="1:19" ht="14.45" customHeight="1" x14ac:dyDescent="0.2">
      <c r="A161" s="591" t="s">
        <v>944</v>
      </c>
      <c r="B161" s="592" t="s">
        <v>945</v>
      </c>
      <c r="C161" s="592" t="s">
        <v>452</v>
      </c>
      <c r="D161" s="592" t="s">
        <v>541</v>
      </c>
      <c r="E161" s="592" t="s">
        <v>959</v>
      </c>
      <c r="F161" s="592" t="s">
        <v>982</v>
      </c>
      <c r="G161" s="592" t="s">
        <v>983</v>
      </c>
      <c r="H161" s="609"/>
      <c r="I161" s="609"/>
      <c r="J161" s="592"/>
      <c r="K161" s="592"/>
      <c r="L161" s="609">
        <v>13</v>
      </c>
      <c r="M161" s="609">
        <v>1716</v>
      </c>
      <c r="N161" s="592">
        <v>1</v>
      </c>
      <c r="O161" s="592">
        <v>132</v>
      </c>
      <c r="P161" s="609"/>
      <c r="Q161" s="609"/>
      <c r="R161" s="597"/>
      <c r="S161" s="610"/>
    </row>
    <row r="162" spans="1:19" ht="14.45" customHeight="1" x14ac:dyDescent="0.2">
      <c r="A162" s="591" t="s">
        <v>944</v>
      </c>
      <c r="B162" s="592" t="s">
        <v>945</v>
      </c>
      <c r="C162" s="592" t="s">
        <v>452</v>
      </c>
      <c r="D162" s="592" t="s">
        <v>541</v>
      </c>
      <c r="E162" s="592" t="s">
        <v>959</v>
      </c>
      <c r="F162" s="592" t="s">
        <v>984</v>
      </c>
      <c r="G162" s="592" t="s">
        <v>985</v>
      </c>
      <c r="H162" s="609"/>
      <c r="I162" s="609"/>
      <c r="J162" s="592"/>
      <c r="K162" s="592"/>
      <c r="L162" s="609">
        <v>1</v>
      </c>
      <c r="M162" s="609">
        <v>74</v>
      </c>
      <c r="N162" s="592">
        <v>1</v>
      </c>
      <c r="O162" s="592">
        <v>74</v>
      </c>
      <c r="P162" s="609"/>
      <c r="Q162" s="609"/>
      <c r="R162" s="597"/>
      <c r="S162" s="610"/>
    </row>
    <row r="163" spans="1:19" ht="14.45" customHeight="1" x14ac:dyDescent="0.2">
      <c r="A163" s="591" t="s">
        <v>1002</v>
      </c>
      <c r="B163" s="592" t="s">
        <v>1003</v>
      </c>
      <c r="C163" s="592" t="s">
        <v>447</v>
      </c>
      <c r="D163" s="592" t="s">
        <v>936</v>
      </c>
      <c r="E163" s="592" t="s">
        <v>959</v>
      </c>
      <c r="F163" s="592" t="s">
        <v>1004</v>
      </c>
      <c r="G163" s="592" t="s">
        <v>1005</v>
      </c>
      <c r="H163" s="609">
        <v>10</v>
      </c>
      <c r="I163" s="609">
        <v>1210</v>
      </c>
      <c r="J163" s="592">
        <v>1.6575342465753424</v>
      </c>
      <c r="K163" s="592">
        <v>121</v>
      </c>
      <c r="L163" s="609">
        <v>6</v>
      </c>
      <c r="M163" s="609">
        <v>730</v>
      </c>
      <c r="N163" s="592">
        <v>1</v>
      </c>
      <c r="O163" s="592">
        <v>121.66666666666667</v>
      </c>
      <c r="P163" s="609">
        <v>4</v>
      </c>
      <c r="Q163" s="609">
        <v>488</v>
      </c>
      <c r="R163" s="597">
        <v>0.66849315068493154</v>
      </c>
      <c r="S163" s="610">
        <v>122</v>
      </c>
    </row>
    <row r="164" spans="1:19" ht="14.45" customHeight="1" x14ac:dyDescent="0.2">
      <c r="A164" s="591" t="s">
        <v>1002</v>
      </c>
      <c r="B164" s="592" t="s">
        <v>1003</v>
      </c>
      <c r="C164" s="592" t="s">
        <v>447</v>
      </c>
      <c r="D164" s="592" t="s">
        <v>541</v>
      </c>
      <c r="E164" s="592" t="s">
        <v>959</v>
      </c>
      <c r="F164" s="592" t="s">
        <v>964</v>
      </c>
      <c r="G164" s="592" t="s">
        <v>965</v>
      </c>
      <c r="H164" s="609"/>
      <c r="I164" s="609"/>
      <c r="J164" s="592"/>
      <c r="K164" s="592"/>
      <c r="L164" s="609"/>
      <c r="M164" s="609"/>
      <c r="N164" s="592"/>
      <c r="O164" s="592"/>
      <c r="P164" s="609">
        <v>3</v>
      </c>
      <c r="Q164" s="609">
        <v>114</v>
      </c>
      <c r="R164" s="597"/>
      <c r="S164" s="610">
        <v>38</v>
      </c>
    </row>
    <row r="165" spans="1:19" ht="14.45" customHeight="1" x14ac:dyDescent="0.2">
      <c r="A165" s="591" t="s">
        <v>1002</v>
      </c>
      <c r="B165" s="592" t="s">
        <v>1003</v>
      </c>
      <c r="C165" s="592" t="s">
        <v>447</v>
      </c>
      <c r="D165" s="592" t="s">
        <v>541</v>
      </c>
      <c r="E165" s="592" t="s">
        <v>959</v>
      </c>
      <c r="F165" s="592" t="s">
        <v>1004</v>
      </c>
      <c r="G165" s="592" t="s">
        <v>1005</v>
      </c>
      <c r="H165" s="609">
        <v>486</v>
      </c>
      <c r="I165" s="609">
        <v>58806</v>
      </c>
      <c r="J165" s="592">
        <v>0.68066439030036463</v>
      </c>
      <c r="K165" s="592">
        <v>121</v>
      </c>
      <c r="L165" s="609">
        <v>709</v>
      </c>
      <c r="M165" s="609">
        <v>86395</v>
      </c>
      <c r="N165" s="592">
        <v>1</v>
      </c>
      <c r="O165" s="592">
        <v>121.85472496473906</v>
      </c>
      <c r="P165" s="609">
        <v>589</v>
      </c>
      <c r="Q165" s="609">
        <v>71858</v>
      </c>
      <c r="R165" s="597">
        <v>0.831737947797905</v>
      </c>
      <c r="S165" s="610">
        <v>122</v>
      </c>
    </row>
    <row r="166" spans="1:19" ht="14.45" customHeight="1" x14ac:dyDescent="0.2">
      <c r="A166" s="591" t="s">
        <v>1002</v>
      </c>
      <c r="B166" s="592" t="s">
        <v>1003</v>
      </c>
      <c r="C166" s="592" t="s">
        <v>447</v>
      </c>
      <c r="D166" s="592" t="s">
        <v>541</v>
      </c>
      <c r="E166" s="592" t="s">
        <v>959</v>
      </c>
      <c r="F166" s="592" t="s">
        <v>982</v>
      </c>
      <c r="G166" s="592" t="s">
        <v>983</v>
      </c>
      <c r="H166" s="609"/>
      <c r="I166" s="609"/>
      <c r="J166" s="592"/>
      <c r="K166" s="592"/>
      <c r="L166" s="609"/>
      <c r="M166" s="609"/>
      <c r="N166" s="592"/>
      <c r="O166" s="592"/>
      <c r="P166" s="609">
        <v>3</v>
      </c>
      <c r="Q166" s="609">
        <v>405</v>
      </c>
      <c r="R166" s="597"/>
      <c r="S166" s="610">
        <v>135</v>
      </c>
    </row>
    <row r="167" spans="1:19" ht="14.45" customHeight="1" x14ac:dyDescent="0.2">
      <c r="A167" s="591" t="s">
        <v>1002</v>
      </c>
      <c r="B167" s="592" t="s">
        <v>1003</v>
      </c>
      <c r="C167" s="592" t="s">
        <v>447</v>
      </c>
      <c r="D167" s="592" t="s">
        <v>542</v>
      </c>
      <c r="E167" s="592" t="s">
        <v>959</v>
      </c>
      <c r="F167" s="592" t="s">
        <v>1004</v>
      </c>
      <c r="G167" s="592" t="s">
        <v>1005</v>
      </c>
      <c r="H167" s="609">
        <v>18</v>
      </c>
      <c r="I167" s="609">
        <v>2178</v>
      </c>
      <c r="J167" s="592">
        <v>0.99361313868613144</v>
      </c>
      <c r="K167" s="592">
        <v>121</v>
      </c>
      <c r="L167" s="609">
        <v>18</v>
      </c>
      <c r="M167" s="609">
        <v>2192</v>
      </c>
      <c r="N167" s="592">
        <v>1</v>
      </c>
      <c r="O167" s="592">
        <v>121.77777777777777</v>
      </c>
      <c r="P167" s="609">
        <v>28</v>
      </c>
      <c r="Q167" s="609">
        <v>3416</v>
      </c>
      <c r="R167" s="597">
        <v>1.5583941605839415</v>
      </c>
      <c r="S167" s="610">
        <v>122</v>
      </c>
    </row>
    <row r="168" spans="1:19" ht="14.45" customHeight="1" x14ac:dyDescent="0.2">
      <c r="A168" s="591" t="s">
        <v>1002</v>
      </c>
      <c r="B168" s="592" t="s">
        <v>1003</v>
      </c>
      <c r="C168" s="592" t="s">
        <v>447</v>
      </c>
      <c r="D168" s="592" t="s">
        <v>941</v>
      </c>
      <c r="E168" s="592" t="s">
        <v>959</v>
      </c>
      <c r="F168" s="592" t="s">
        <v>1004</v>
      </c>
      <c r="G168" s="592" t="s">
        <v>1005</v>
      </c>
      <c r="H168" s="609"/>
      <c r="I168" s="609"/>
      <c r="J168" s="592"/>
      <c r="K168" s="592"/>
      <c r="L168" s="609">
        <v>12</v>
      </c>
      <c r="M168" s="609">
        <v>1464</v>
      </c>
      <c r="N168" s="592">
        <v>1</v>
      </c>
      <c r="O168" s="592">
        <v>122</v>
      </c>
      <c r="P168" s="609">
        <v>7</v>
      </c>
      <c r="Q168" s="609">
        <v>854</v>
      </c>
      <c r="R168" s="597">
        <v>0.58333333333333337</v>
      </c>
      <c r="S168" s="610">
        <v>122</v>
      </c>
    </row>
    <row r="169" spans="1:19" ht="14.45" customHeight="1" x14ac:dyDescent="0.2">
      <c r="A169" s="591" t="s">
        <v>1002</v>
      </c>
      <c r="B169" s="592" t="s">
        <v>1003</v>
      </c>
      <c r="C169" s="592" t="s">
        <v>447</v>
      </c>
      <c r="D169" s="592" t="s">
        <v>544</v>
      </c>
      <c r="E169" s="592" t="s">
        <v>959</v>
      </c>
      <c r="F169" s="592" t="s">
        <v>1004</v>
      </c>
      <c r="G169" s="592" t="s">
        <v>1005</v>
      </c>
      <c r="H169" s="609">
        <v>51</v>
      </c>
      <c r="I169" s="609">
        <v>6171</v>
      </c>
      <c r="J169" s="592">
        <v>1.6860655737704917</v>
      </c>
      <c r="K169" s="592">
        <v>121</v>
      </c>
      <c r="L169" s="609">
        <v>30</v>
      </c>
      <c r="M169" s="609">
        <v>3660</v>
      </c>
      <c r="N169" s="592">
        <v>1</v>
      </c>
      <c r="O169" s="592">
        <v>122</v>
      </c>
      <c r="P169" s="609">
        <v>32</v>
      </c>
      <c r="Q169" s="609">
        <v>3904</v>
      </c>
      <c r="R169" s="597">
        <v>1.0666666666666667</v>
      </c>
      <c r="S169" s="610">
        <v>122</v>
      </c>
    </row>
    <row r="170" spans="1:19" ht="14.45" customHeight="1" thickBot="1" x14ac:dyDescent="0.25">
      <c r="A170" s="599" t="s">
        <v>1002</v>
      </c>
      <c r="B170" s="600" t="s">
        <v>1003</v>
      </c>
      <c r="C170" s="600" t="s">
        <v>447</v>
      </c>
      <c r="D170" s="600" t="s">
        <v>544</v>
      </c>
      <c r="E170" s="600" t="s">
        <v>959</v>
      </c>
      <c r="F170" s="600" t="s">
        <v>984</v>
      </c>
      <c r="G170" s="600" t="s">
        <v>985</v>
      </c>
      <c r="H170" s="611">
        <v>0</v>
      </c>
      <c r="I170" s="611">
        <v>0</v>
      </c>
      <c r="J170" s="600"/>
      <c r="K170" s="600"/>
      <c r="L170" s="611"/>
      <c r="M170" s="611"/>
      <c r="N170" s="600"/>
      <c r="O170" s="600"/>
      <c r="P170" s="611"/>
      <c r="Q170" s="611"/>
      <c r="R170" s="605"/>
      <c r="S170" s="612"/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C2F4D7E2-5EDF-4A5D-8B56-E4783F31BC3A}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8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29" bestFit="1" customWidth="1" collapsed="1"/>
    <col min="2" max="2" width="7.7109375" style="106" hidden="1" customWidth="1" outlineLevel="1"/>
    <col min="3" max="3" width="0.140625" style="129" hidden="1" customWidth="1"/>
    <col min="4" max="4" width="7.7109375" style="106" customWidth="1"/>
    <col min="5" max="5" width="5.42578125" style="129" hidden="1" customWidth="1"/>
    <col min="6" max="6" width="7.7109375" style="106" customWidth="1"/>
    <col min="7" max="7" width="7.7109375" style="210" customWidth="1" collapsed="1"/>
    <col min="8" max="8" width="7.7109375" style="106" hidden="1" customWidth="1" outlineLevel="1"/>
    <col min="9" max="9" width="5.42578125" style="129" hidden="1" customWidth="1"/>
    <col min="10" max="10" width="7.7109375" style="106" customWidth="1"/>
    <col min="11" max="11" width="5.42578125" style="129" hidden="1" customWidth="1"/>
    <col min="12" max="12" width="7.7109375" style="106" customWidth="1"/>
    <col min="13" max="13" width="7.7109375" style="210" customWidth="1" collapsed="1"/>
    <col min="14" max="14" width="7.7109375" style="106" hidden="1" customWidth="1" outlineLevel="1"/>
    <col min="15" max="15" width="5" style="129" hidden="1" customWidth="1"/>
    <col min="16" max="16" width="7.7109375" style="106" customWidth="1"/>
    <col min="17" max="17" width="5" style="129" hidden="1" customWidth="1"/>
    <col min="18" max="18" width="7.7109375" style="106" customWidth="1"/>
    <col min="19" max="19" width="7.7109375" style="210" customWidth="1"/>
    <col min="20" max="16384" width="8.85546875" style="129"/>
  </cols>
  <sheetData>
    <row r="1" spans="1:19" ht="18.600000000000001" customHeight="1" thickBot="1" x14ac:dyDescent="0.35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5" customHeight="1" thickBot="1" x14ac:dyDescent="0.25">
      <c r="A2" s="232" t="s">
        <v>270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5" customHeight="1" thickBot="1" x14ac:dyDescent="0.25">
      <c r="A3" s="220" t="s">
        <v>127</v>
      </c>
      <c r="B3" s="221">
        <f>SUBTOTAL(9,B6:B1048576)</f>
        <v>3097</v>
      </c>
      <c r="C3" s="222">
        <f t="shared" ref="C3:R3" si="0">SUBTOTAL(9,C6:C1048576)</f>
        <v>1.9186507936507937</v>
      </c>
      <c r="D3" s="222">
        <f t="shared" si="0"/>
        <v>1008</v>
      </c>
      <c r="E3" s="222">
        <f t="shared" si="0"/>
        <v>1</v>
      </c>
      <c r="F3" s="222">
        <f t="shared" si="0"/>
        <v>0</v>
      </c>
      <c r="G3" s="225">
        <f>IF(D3&lt;&gt;0,F3/D3,"")</f>
        <v>0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IF(J3&lt;&gt;0,L3/J3,"")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IF(P3&lt;&gt;0,R3/P3,"")</f>
        <v/>
      </c>
    </row>
    <row r="4" spans="1:19" ht="14.45" customHeight="1" x14ac:dyDescent="0.2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5" customHeight="1" thickBot="1" x14ac:dyDescent="0.25">
      <c r="A5" s="625"/>
      <c r="B5" s="626">
        <v>2015</v>
      </c>
      <c r="C5" s="627"/>
      <c r="D5" s="627">
        <v>2018</v>
      </c>
      <c r="E5" s="627"/>
      <c r="F5" s="627">
        <v>2019</v>
      </c>
      <c r="G5" s="665" t="s">
        <v>2</v>
      </c>
      <c r="H5" s="626">
        <v>2015</v>
      </c>
      <c r="I5" s="627"/>
      <c r="J5" s="627">
        <v>2018</v>
      </c>
      <c r="K5" s="627"/>
      <c r="L5" s="627">
        <v>2019</v>
      </c>
      <c r="M5" s="665" t="s">
        <v>2</v>
      </c>
      <c r="N5" s="626">
        <v>2015</v>
      </c>
      <c r="O5" s="627"/>
      <c r="P5" s="627">
        <v>2018</v>
      </c>
      <c r="Q5" s="627"/>
      <c r="R5" s="627">
        <v>2019</v>
      </c>
      <c r="S5" s="665" t="s">
        <v>2</v>
      </c>
    </row>
    <row r="6" spans="1:19" ht="14.45" customHeight="1" x14ac:dyDescent="0.2">
      <c r="A6" s="616" t="s">
        <v>1008</v>
      </c>
      <c r="B6" s="647">
        <v>462</v>
      </c>
      <c r="C6" s="585"/>
      <c r="D6" s="647"/>
      <c r="E6" s="585"/>
      <c r="F6" s="647"/>
      <c r="G6" s="590"/>
      <c r="H6" s="647"/>
      <c r="I6" s="585"/>
      <c r="J6" s="647"/>
      <c r="K6" s="585"/>
      <c r="L6" s="647"/>
      <c r="M6" s="590"/>
      <c r="N6" s="647"/>
      <c r="O6" s="585"/>
      <c r="P6" s="647"/>
      <c r="Q6" s="585"/>
      <c r="R6" s="647"/>
      <c r="S6" s="122"/>
    </row>
    <row r="7" spans="1:19" ht="14.45" customHeight="1" x14ac:dyDescent="0.2">
      <c r="A7" s="617" t="s">
        <v>1009</v>
      </c>
      <c r="B7" s="649">
        <v>701</v>
      </c>
      <c r="C7" s="592"/>
      <c r="D7" s="649"/>
      <c r="E7" s="592"/>
      <c r="F7" s="649"/>
      <c r="G7" s="597"/>
      <c r="H7" s="649"/>
      <c r="I7" s="592"/>
      <c r="J7" s="649"/>
      <c r="K7" s="592"/>
      <c r="L7" s="649"/>
      <c r="M7" s="597"/>
      <c r="N7" s="649"/>
      <c r="O7" s="592"/>
      <c r="P7" s="649"/>
      <c r="Q7" s="592"/>
      <c r="R7" s="649"/>
      <c r="S7" s="598"/>
    </row>
    <row r="8" spans="1:19" ht="14.45" customHeight="1" thickBot="1" x14ac:dyDescent="0.25">
      <c r="A8" s="653" t="s">
        <v>1010</v>
      </c>
      <c r="B8" s="651">
        <v>1934</v>
      </c>
      <c r="C8" s="600">
        <v>1.9186507936507937</v>
      </c>
      <c r="D8" s="651">
        <v>1008</v>
      </c>
      <c r="E8" s="600">
        <v>1</v>
      </c>
      <c r="F8" s="651"/>
      <c r="G8" s="605"/>
      <c r="H8" s="651"/>
      <c r="I8" s="600"/>
      <c r="J8" s="651"/>
      <c r="K8" s="600"/>
      <c r="L8" s="651"/>
      <c r="M8" s="605"/>
      <c r="N8" s="651"/>
      <c r="O8" s="600"/>
      <c r="P8" s="651"/>
      <c r="Q8" s="600"/>
      <c r="R8" s="651"/>
      <c r="S8" s="606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B91CF753-9DE0-456C-A602-9FA6314A9F24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12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29" bestFit="1" customWidth="1"/>
    <col min="2" max="2" width="8.7109375" style="129" bestFit="1" customWidth="1"/>
    <col min="3" max="3" width="2.140625" style="129" bestFit="1" customWidth="1"/>
    <col min="4" max="4" width="8" style="129" bestFit="1" customWidth="1"/>
    <col min="5" max="5" width="52.85546875" style="129" bestFit="1" customWidth="1" collapsed="1"/>
    <col min="6" max="7" width="11.140625" style="207" hidden="1" customWidth="1" outlineLevel="1"/>
    <col min="8" max="9" width="9.28515625" style="207" hidden="1" customWidth="1"/>
    <col min="10" max="11" width="11.140625" style="207" customWidth="1"/>
    <col min="12" max="13" width="9.28515625" style="207" hidden="1" customWidth="1"/>
    <col min="14" max="15" width="11.140625" style="207" customWidth="1"/>
    <col min="16" max="16" width="11.140625" style="210" customWidth="1"/>
    <col min="17" max="17" width="11.140625" style="207" customWidth="1"/>
    <col min="18" max="16384" width="8.85546875" style="129"/>
  </cols>
  <sheetData>
    <row r="1" spans="1:17" ht="18.600000000000001" customHeight="1" thickBot="1" x14ac:dyDescent="0.35">
      <c r="A1" s="329" t="s">
        <v>1014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5" customHeight="1" thickBot="1" x14ac:dyDescent="0.25">
      <c r="A2" s="232" t="s">
        <v>270</v>
      </c>
      <c r="B2" s="130"/>
      <c r="C2" s="130"/>
      <c r="D2" s="130"/>
      <c r="E2" s="130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5" customHeight="1" thickBot="1" x14ac:dyDescent="0.25">
      <c r="E3" s="87" t="s">
        <v>127</v>
      </c>
      <c r="F3" s="102">
        <f t="shared" ref="F3:O3" si="0">SUBTOTAL(9,F6:F1048576)</f>
        <v>7</v>
      </c>
      <c r="G3" s="103">
        <f t="shared" si="0"/>
        <v>3097</v>
      </c>
      <c r="H3" s="103"/>
      <c r="I3" s="103"/>
      <c r="J3" s="103">
        <f t="shared" si="0"/>
        <v>3</v>
      </c>
      <c r="K3" s="103">
        <f t="shared" si="0"/>
        <v>1008</v>
      </c>
      <c r="L3" s="103"/>
      <c r="M3" s="103"/>
      <c r="N3" s="103">
        <f t="shared" si="0"/>
        <v>0</v>
      </c>
      <c r="O3" s="103">
        <f t="shared" si="0"/>
        <v>0</v>
      </c>
      <c r="P3" s="75">
        <f>IF(K3=0,0,O3/K3)</f>
        <v>0</v>
      </c>
      <c r="Q3" s="104">
        <f>IF(N3=0,0,O3/N3)</f>
        <v>0</v>
      </c>
    </row>
    <row r="4" spans="1:17" ht="14.45" customHeight="1" x14ac:dyDescent="0.2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2015</v>
      </c>
      <c r="G4" s="456"/>
      <c r="H4" s="105"/>
      <c r="I4" s="105"/>
      <c r="J4" s="455">
        <v>2018</v>
      </c>
      <c r="K4" s="456"/>
      <c r="L4" s="105"/>
      <c r="M4" s="105"/>
      <c r="N4" s="455">
        <v>2019</v>
      </c>
      <c r="O4" s="456"/>
      <c r="P4" s="458" t="s">
        <v>2</v>
      </c>
      <c r="Q4" s="447" t="s">
        <v>97</v>
      </c>
    </row>
    <row r="5" spans="1:17" ht="14.45" customHeight="1" thickBot="1" x14ac:dyDescent="0.25">
      <c r="A5" s="656"/>
      <c r="B5" s="654"/>
      <c r="C5" s="656"/>
      <c r="D5" s="666"/>
      <c r="E5" s="658"/>
      <c r="F5" s="667" t="s">
        <v>71</v>
      </c>
      <c r="G5" s="668" t="s">
        <v>14</v>
      </c>
      <c r="H5" s="669"/>
      <c r="I5" s="669"/>
      <c r="J5" s="667" t="s">
        <v>71</v>
      </c>
      <c r="K5" s="668" t="s">
        <v>14</v>
      </c>
      <c r="L5" s="669"/>
      <c r="M5" s="669"/>
      <c r="N5" s="667" t="s">
        <v>71</v>
      </c>
      <c r="O5" s="668" t="s">
        <v>14</v>
      </c>
      <c r="P5" s="670"/>
      <c r="Q5" s="663"/>
    </row>
    <row r="6" spans="1:17" ht="14.45" customHeight="1" x14ac:dyDescent="0.2">
      <c r="A6" s="584" t="s">
        <v>1011</v>
      </c>
      <c r="B6" s="585" t="s">
        <v>945</v>
      </c>
      <c r="C6" s="585" t="s">
        <v>959</v>
      </c>
      <c r="D6" s="585" t="s">
        <v>998</v>
      </c>
      <c r="E6" s="585" t="s">
        <v>999</v>
      </c>
      <c r="F6" s="116">
        <v>2</v>
      </c>
      <c r="G6" s="116">
        <v>462</v>
      </c>
      <c r="H6" s="116"/>
      <c r="I6" s="116">
        <v>231</v>
      </c>
      <c r="J6" s="116"/>
      <c r="K6" s="116"/>
      <c r="L6" s="116"/>
      <c r="M6" s="116"/>
      <c r="N6" s="116"/>
      <c r="O6" s="116"/>
      <c r="P6" s="590"/>
      <c r="Q6" s="608"/>
    </row>
    <row r="7" spans="1:17" ht="14.45" customHeight="1" x14ac:dyDescent="0.2">
      <c r="A7" s="591" t="s">
        <v>1012</v>
      </c>
      <c r="B7" s="592" t="s">
        <v>945</v>
      </c>
      <c r="C7" s="592" t="s">
        <v>959</v>
      </c>
      <c r="D7" s="592" t="s">
        <v>996</v>
      </c>
      <c r="E7" s="592" t="s">
        <v>997</v>
      </c>
      <c r="F7" s="609">
        <v>1</v>
      </c>
      <c r="G7" s="609">
        <v>701</v>
      </c>
      <c r="H7" s="609"/>
      <c r="I7" s="609">
        <v>701</v>
      </c>
      <c r="J7" s="609"/>
      <c r="K7" s="609"/>
      <c r="L7" s="609"/>
      <c r="M7" s="609"/>
      <c r="N7" s="609"/>
      <c r="O7" s="609"/>
      <c r="P7" s="597"/>
      <c r="Q7" s="610"/>
    </row>
    <row r="8" spans="1:17" ht="14.45" customHeight="1" x14ac:dyDescent="0.2">
      <c r="A8" s="591" t="s">
        <v>1013</v>
      </c>
      <c r="B8" s="592" t="s">
        <v>945</v>
      </c>
      <c r="C8" s="592" t="s">
        <v>959</v>
      </c>
      <c r="D8" s="592" t="s">
        <v>972</v>
      </c>
      <c r="E8" s="592" t="s">
        <v>973</v>
      </c>
      <c r="F8" s="609"/>
      <c r="G8" s="609"/>
      <c r="H8" s="609"/>
      <c r="I8" s="609"/>
      <c r="J8" s="609">
        <v>1</v>
      </c>
      <c r="K8" s="609">
        <v>74</v>
      </c>
      <c r="L8" s="609">
        <v>1</v>
      </c>
      <c r="M8" s="609">
        <v>74</v>
      </c>
      <c r="N8" s="609"/>
      <c r="O8" s="609"/>
      <c r="P8" s="597"/>
      <c r="Q8" s="610"/>
    </row>
    <row r="9" spans="1:17" ht="14.45" customHeight="1" x14ac:dyDescent="0.2">
      <c r="A9" s="591" t="s">
        <v>1013</v>
      </c>
      <c r="B9" s="592" t="s">
        <v>945</v>
      </c>
      <c r="C9" s="592" t="s">
        <v>959</v>
      </c>
      <c r="D9" s="592" t="s">
        <v>974</v>
      </c>
      <c r="E9" s="592" t="s">
        <v>975</v>
      </c>
      <c r="F9" s="609">
        <v>1</v>
      </c>
      <c r="G9" s="609">
        <v>177</v>
      </c>
      <c r="H9" s="609"/>
      <c r="I9" s="609">
        <v>177</v>
      </c>
      <c r="J9" s="609"/>
      <c r="K9" s="609"/>
      <c r="L9" s="609"/>
      <c r="M9" s="609"/>
      <c r="N9" s="609"/>
      <c r="O9" s="609"/>
      <c r="P9" s="597"/>
      <c r="Q9" s="610"/>
    </row>
    <row r="10" spans="1:17" ht="14.45" customHeight="1" x14ac:dyDescent="0.2">
      <c r="A10" s="591" t="s">
        <v>1013</v>
      </c>
      <c r="B10" s="592" t="s">
        <v>945</v>
      </c>
      <c r="C10" s="592" t="s">
        <v>959</v>
      </c>
      <c r="D10" s="592" t="s">
        <v>986</v>
      </c>
      <c r="E10" s="592" t="s">
        <v>987</v>
      </c>
      <c r="F10" s="609">
        <v>1</v>
      </c>
      <c r="G10" s="609">
        <v>355</v>
      </c>
      <c r="H10" s="609"/>
      <c r="I10" s="609">
        <v>355</v>
      </c>
      <c r="J10" s="609"/>
      <c r="K10" s="609"/>
      <c r="L10" s="609"/>
      <c r="M10" s="609"/>
      <c r="N10" s="609"/>
      <c r="O10" s="609"/>
      <c r="P10" s="597"/>
      <c r="Q10" s="610"/>
    </row>
    <row r="11" spans="1:17" ht="14.45" customHeight="1" x14ac:dyDescent="0.2">
      <c r="A11" s="591" t="s">
        <v>1013</v>
      </c>
      <c r="B11" s="592" t="s">
        <v>945</v>
      </c>
      <c r="C11" s="592" t="s">
        <v>959</v>
      </c>
      <c r="D11" s="592" t="s">
        <v>996</v>
      </c>
      <c r="E11" s="592" t="s">
        <v>997</v>
      </c>
      <c r="F11" s="609">
        <v>2</v>
      </c>
      <c r="G11" s="609">
        <v>1402</v>
      </c>
      <c r="H11" s="609">
        <v>1.9971509971509971</v>
      </c>
      <c r="I11" s="609">
        <v>701</v>
      </c>
      <c r="J11" s="609">
        <v>1</v>
      </c>
      <c r="K11" s="609">
        <v>702</v>
      </c>
      <c r="L11" s="609">
        <v>1</v>
      </c>
      <c r="M11" s="609">
        <v>702</v>
      </c>
      <c r="N11" s="609"/>
      <c r="O11" s="609"/>
      <c r="P11" s="597"/>
      <c r="Q11" s="610"/>
    </row>
    <row r="12" spans="1:17" ht="14.45" customHeight="1" thickBot="1" x14ac:dyDescent="0.25">
      <c r="A12" s="599" t="s">
        <v>1013</v>
      </c>
      <c r="B12" s="600" t="s">
        <v>945</v>
      </c>
      <c r="C12" s="600" t="s">
        <v>959</v>
      </c>
      <c r="D12" s="600" t="s">
        <v>998</v>
      </c>
      <c r="E12" s="600" t="s">
        <v>999</v>
      </c>
      <c r="F12" s="611"/>
      <c r="G12" s="611"/>
      <c r="H12" s="611"/>
      <c r="I12" s="611"/>
      <c r="J12" s="611">
        <v>1</v>
      </c>
      <c r="K12" s="611">
        <v>232</v>
      </c>
      <c r="L12" s="611">
        <v>1</v>
      </c>
      <c r="M12" s="611">
        <v>232</v>
      </c>
      <c r="N12" s="611"/>
      <c r="O12" s="611"/>
      <c r="P12" s="605"/>
      <c r="Q12" s="612"/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984771C1-9CC7-485E-B569-ECA0A34A11B8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29" bestFit="1" customWidth="1"/>
    <col min="2" max="2" width="9.5703125" style="129" hidden="1" customWidth="1" outlineLevel="1"/>
    <col min="3" max="3" width="9.5703125" style="129" customWidth="1" collapsed="1"/>
    <col min="4" max="4" width="2.28515625" style="129" customWidth="1"/>
    <col min="5" max="8" width="9.5703125" style="129" customWidth="1"/>
    <col min="9" max="10" width="9.7109375" style="129" hidden="1" customWidth="1" outlineLevel="1"/>
    <col min="11" max="11" width="8.85546875" style="129" collapsed="1"/>
    <col min="12" max="16384" width="8.85546875" style="129"/>
  </cols>
  <sheetData>
    <row r="1" spans="1:10" ht="18.600000000000001" customHeight="1" thickBot="1" x14ac:dyDescent="0.35">
      <c r="A1" s="340" t="s">
        <v>136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5" customHeight="1" thickBot="1" x14ac:dyDescent="0.25">
      <c r="A2" s="232" t="s">
        <v>270</v>
      </c>
      <c r="B2" s="111"/>
      <c r="C2" s="111"/>
      <c r="D2" s="111"/>
      <c r="E2" s="111"/>
      <c r="F2" s="111"/>
    </row>
    <row r="3" spans="1:10" ht="14.45" customHeight="1" x14ac:dyDescent="0.2">
      <c r="A3" s="331"/>
      <c r="B3" s="107">
        <v>2015</v>
      </c>
      <c r="C3" s="40">
        <v>2018</v>
      </c>
      <c r="D3" s="7"/>
      <c r="E3" s="335">
        <v>2019</v>
      </c>
      <c r="F3" s="336"/>
      <c r="G3" s="336"/>
      <c r="H3" s="337"/>
      <c r="I3" s="338">
        <v>2017</v>
      </c>
      <c r="J3" s="339"/>
    </row>
    <row r="4" spans="1:10" ht="14.45" customHeight="1" thickBot="1" x14ac:dyDescent="0.2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8" t="s">
        <v>214</v>
      </c>
      <c r="J4" s="269" t="s">
        <v>215</v>
      </c>
    </row>
    <row r="5" spans="1:10" ht="14.45" customHeight="1" x14ac:dyDescent="0.2">
      <c r="A5" s="112" t="str">
        <f>HYPERLINK("#'Léky Žádanky'!A1","Léky (Kč)")</f>
        <v>Léky (Kč)</v>
      </c>
      <c r="B5" s="27">
        <v>442.11296999999996</v>
      </c>
      <c r="C5" s="29">
        <v>399.30837000000014</v>
      </c>
      <c r="D5" s="8"/>
      <c r="E5" s="117">
        <v>953.11535000000003</v>
      </c>
      <c r="F5" s="28">
        <v>836.24454687499997</v>
      </c>
      <c r="G5" s="116">
        <f>E5-F5</f>
        <v>116.87080312500007</v>
      </c>
      <c r="H5" s="122">
        <f>IF(F5&lt;0.00000001,"",E5/F5)</f>
        <v>1.1397567297290485</v>
      </c>
    </row>
    <row r="6" spans="1:10" ht="14.45" customHeight="1" x14ac:dyDescent="0.2">
      <c r="A6" s="112" t="str">
        <f>HYPERLINK("#'Materiál Žádanky'!A1","Materiál - SZM (Kč)")</f>
        <v>Materiál - SZM (Kč)</v>
      </c>
      <c r="B6" s="10">
        <v>58.037270000000007</v>
      </c>
      <c r="C6" s="31">
        <v>63.339170000000003</v>
      </c>
      <c r="D6" s="8"/>
      <c r="E6" s="118">
        <v>63.788689999999988</v>
      </c>
      <c r="F6" s="30">
        <v>69.749999694824226</v>
      </c>
      <c r="G6" s="119">
        <f>E6-F6</f>
        <v>-5.9613096948242372</v>
      </c>
      <c r="H6" s="123">
        <f>IF(F6&lt;0.00000001,"",E6/F6)</f>
        <v>0.91453319396549626</v>
      </c>
    </row>
    <row r="7" spans="1:10" ht="14.45" customHeight="1" x14ac:dyDescent="0.2">
      <c r="A7" s="112" t="str">
        <f>HYPERLINK("#'Osobní náklady'!A1","Osobní náklady (Kč) *")</f>
        <v>Osobní náklady (Kč) *</v>
      </c>
      <c r="B7" s="10">
        <v>6247.6464099999994</v>
      </c>
      <c r="C7" s="31">
        <v>6942.9447099999998</v>
      </c>
      <c r="D7" s="8"/>
      <c r="E7" s="118">
        <v>7663.9858300000005</v>
      </c>
      <c r="F7" s="30">
        <v>6958.4472734374995</v>
      </c>
      <c r="G7" s="119">
        <f>E7-F7</f>
        <v>705.53855656250107</v>
      </c>
      <c r="H7" s="123">
        <f>IF(F7&lt;0.00000001,"",E7/F7)</f>
        <v>1.1013931023456562</v>
      </c>
    </row>
    <row r="8" spans="1:10" ht="14.45" customHeight="1" thickBot="1" x14ac:dyDescent="0.25">
      <c r="A8" s="1" t="s">
        <v>75</v>
      </c>
      <c r="B8" s="11">
        <v>1355.2243800000006</v>
      </c>
      <c r="C8" s="33">
        <v>1560.1692100000016</v>
      </c>
      <c r="D8" s="8"/>
      <c r="E8" s="120">
        <v>1598.0897299999981</v>
      </c>
      <c r="F8" s="32">
        <v>1566.151872535705</v>
      </c>
      <c r="G8" s="121">
        <f>E8-F8</f>
        <v>31.937857464293074</v>
      </c>
      <c r="H8" s="124">
        <f>IF(F8&lt;0.00000001,"",E8/F8)</f>
        <v>1.0203925673010137</v>
      </c>
    </row>
    <row r="9" spans="1:10" ht="14.45" customHeight="1" thickBot="1" x14ac:dyDescent="0.25">
      <c r="A9" s="2" t="s">
        <v>76</v>
      </c>
      <c r="B9" s="3">
        <v>8103.0210299999999</v>
      </c>
      <c r="C9" s="35">
        <v>8965.7614600000015</v>
      </c>
      <c r="D9" s="8"/>
      <c r="E9" s="3">
        <v>10278.979599999999</v>
      </c>
      <c r="F9" s="34">
        <v>9430.5936925430287</v>
      </c>
      <c r="G9" s="34">
        <f>E9-F9</f>
        <v>848.38590745697002</v>
      </c>
      <c r="H9" s="125">
        <f>IF(F9&lt;0.00000001,"",E9/F9)</f>
        <v>1.0899610284480612</v>
      </c>
    </row>
    <row r="10" spans="1:10" ht="14.45" customHeight="1" thickBot="1" x14ac:dyDescent="0.25">
      <c r="A10" s="12"/>
      <c r="B10" s="12"/>
      <c r="C10" s="108"/>
      <c r="D10" s="8"/>
      <c r="E10" s="12"/>
      <c r="F10" s="13"/>
    </row>
    <row r="11" spans="1:10" ht="14.45" customHeight="1" x14ac:dyDescent="0.2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1996.1429900000003</v>
      </c>
      <c r="C11" s="29">
        <f>IF(ISERROR(VLOOKUP("Celkem:",'ZV Vykáz.-A'!A:H,5,0)),0,VLOOKUP("Celkem:",'ZV Vykáz.-A'!A:H,5,0)/1000)</f>
        <v>1923.5743399999999</v>
      </c>
      <c r="D11" s="8"/>
      <c r="E11" s="117">
        <f>IF(ISERROR(VLOOKUP("Celkem:",'ZV Vykáz.-A'!A:H,8,0)),0,VLOOKUP("Celkem:",'ZV Vykáz.-A'!A:H,8,0)/1000)</f>
        <v>2107.14066</v>
      </c>
      <c r="F11" s="28">
        <f>C11</f>
        <v>1923.5743399999999</v>
      </c>
      <c r="G11" s="116">
        <f>E11-F11</f>
        <v>183.56632000000013</v>
      </c>
      <c r="H11" s="122">
        <f>IF(F11&lt;0.00000001,"",E11/F11)</f>
        <v>1.0954298028325749</v>
      </c>
      <c r="I11" s="116">
        <f>E11-B11</f>
        <v>110.99766999999974</v>
      </c>
      <c r="J11" s="122">
        <f>IF(B11&lt;0.00000001,"",E11/B11)</f>
        <v>1.0556060715870859</v>
      </c>
    </row>
    <row r="12" spans="1:10" ht="14.45" customHeight="1" thickBot="1" x14ac:dyDescent="0.2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5" customHeight="1" thickBot="1" x14ac:dyDescent="0.25">
      <c r="A13" s="4" t="s">
        <v>79</v>
      </c>
      <c r="B13" s="5">
        <f>SUM(B11:B12)</f>
        <v>1996.1429900000003</v>
      </c>
      <c r="C13" s="37">
        <f>SUM(C11:C12)</f>
        <v>1923.5743399999999</v>
      </c>
      <c r="D13" s="8"/>
      <c r="E13" s="5">
        <f>SUM(E11:E12)</f>
        <v>2107.14066</v>
      </c>
      <c r="F13" s="36">
        <f>SUM(F11:F12)</f>
        <v>1923.5743399999999</v>
      </c>
      <c r="G13" s="36">
        <f>E13-F13</f>
        <v>183.56632000000013</v>
      </c>
      <c r="H13" s="126">
        <f>IF(F13&lt;0.00000001,"",E13/F13)</f>
        <v>1.0954298028325749</v>
      </c>
      <c r="I13" s="36">
        <f>SUM(I11:I12)</f>
        <v>110.99766999999974</v>
      </c>
      <c r="J13" s="126">
        <f>IF(B13&lt;0.00000001,"",E13/B13)</f>
        <v>1.0556060715870859</v>
      </c>
    </row>
    <row r="14" spans="1:10" ht="14.45" customHeight="1" thickBot="1" x14ac:dyDescent="0.25">
      <c r="A14" s="12"/>
      <c r="B14" s="12"/>
      <c r="C14" s="108"/>
      <c r="D14" s="8"/>
      <c r="E14" s="12"/>
      <c r="F14" s="13"/>
    </row>
    <row r="15" spans="1:10" ht="14.45" customHeight="1" thickBot="1" x14ac:dyDescent="0.25">
      <c r="A15" s="134" t="str">
        <f>HYPERLINK("#'HI Graf'!A1","Hospodářský index (Výnosy / Náklady) *")</f>
        <v>Hospodářský index (Výnosy / Náklady) *</v>
      </c>
      <c r="B15" s="6">
        <f>IF(B9=0,"",B13/B9)</f>
        <v>0.24634552750259867</v>
      </c>
      <c r="C15" s="39">
        <f>IF(C9=0,"",C13/C9)</f>
        <v>0.21454667833645438</v>
      </c>
      <c r="D15" s="8"/>
      <c r="E15" s="6">
        <f>IF(E9=0,"",E13/E9)</f>
        <v>0.20499512033276146</v>
      </c>
      <c r="F15" s="38">
        <f>IF(F9=0,"",F13/F9)</f>
        <v>0.20397171193166885</v>
      </c>
      <c r="G15" s="38">
        <f>IF(ISERROR(F15-E15),"",E15-F15)</f>
        <v>1.023408401092607E-3</v>
      </c>
      <c r="H15" s="127">
        <f>IF(ISERROR(F15-E15),"",IF(F15&lt;0.00000001,"",E15/F15))</f>
        <v>1.0050174035968058</v>
      </c>
    </row>
    <row r="17" spans="1:8" ht="14.45" customHeight="1" x14ac:dyDescent="0.2">
      <c r="A17" s="113" t="s">
        <v>160</v>
      </c>
    </row>
    <row r="18" spans="1:8" ht="14.45" customHeight="1" x14ac:dyDescent="0.25">
      <c r="A18" s="235" t="s">
        <v>188</v>
      </c>
      <c r="B18" s="236"/>
      <c r="C18" s="236"/>
      <c r="D18" s="236"/>
      <c r="E18" s="236"/>
      <c r="F18" s="236"/>
      <c r="G18" s="236"/>
      <c r="H18" s="236"/>
    </row>
    <row r="19" spans="1:8" ht="15" x14ac:dyDescent="0.25">
      <c r="A19" s="234" t="s">
        <v>187</v>
      </c>
      <c r="B19" s="236"/>
      <c r="C19" s="236"/>
      <c r="D19" s="236"/>
      <c r="E19" s="236"/>
      <c r="F19" s="236"/>
      <c r="G19" s="236"/>
      <c r="H19" s="236"/>
    </row>
    <row r="20" spans="1:8" ht="14.45" customHeight="1" x14ac:dyDescent="0.2">
      <c r="A20" s="114" t="s">
        <v>207</v>
      </c>
    </row>
    <row r="21" spans="1:8" ht="14.45" customHeight="1" x14ac:dyDescent="0.2">
      <c r="A21" s="114" t="s">
        <v>161</v>
      </c>
    </row>
    <row r="22" spans="1:8" ht="14.45" customHeight="1" x14ac:dyDescent="0.2">
      <c r="A22" s="115" t="s">
        <v>249</v>
      </c>
    </row>
    <row r="23" spans="1:8" ht="14.45" customHeight="1" x14ac:dyDescent="0.2">
      <c r="A23" s="115" t="s">
        <v>162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0" priority="8" operator="greaterThan">
      <formula>0</formula>
    </cfRule>
  </conditionalFormatting>
  <conditionalFormatting sqref="G11:G13 G15">
    <cfRule type="cellIs" dxfId="59" priority="7" operator="lessThan">
      <formula>0</formula>
    </cfRule>
  </conditionalFormatting>
  <conditionalFormatting sqref="H5:H9">
    <cfRule type="cellIs" dxfId="58" priority="6" operator="greaterThan">
      <formula>1</formula>
    </cfRule>
  </conditionalFormatting>
  <conditionalFormatting sqref="H11:H13 H15">
    <cfRule type="cellIs" dxfId="57" priority="5" operator="lessThan">
      <formula>1</formula>
    </cfRule>
  </conditionalFormatting>
  <conditionalFormatting sqref="I11:I13">
    <cfRule type="cellIs" dxfId="56" priority="4" operator="lessThan">
      <formula>0</formula>
    </cfRule>
  </conditionalFormatting>
  <conditionalFormatting sqref="J11:J13">
    <cfRule type="cellIs" dxfId="55" priority="3" operator="lessThan">
      <formula>1</formula>
    </cfRule>
  </conditionalFormatting>
  <hyperlinks>
    <hyperlink ref="A2" location="Obsah!A1" display="Zpět na Obsah  KL 01  1.-4.měsíc" xr:uid="{4CB96962-B21D-4F28-AE90-EE2FCE760CF0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29"/>
    <col min="2" max="13" width="8.85546875" style="129" customWidth="1"/>
    <col min="14" max="16384" width="8.85546875" style="129"/>
  </cols>
  <sheetData>
    <row r="1" spans="1:13" ht="18.600000000000001" customHeight="1" thickBot="1" x14ac:dyDescent="0.35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5" customHeight="1" x14ac:dyDescent="0.2">
      <c r="A2" s="232" t="s">
        <v>270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5" customHeight="1" x14ac:dyDescent="0.2">
      <c r="A3" s="198"/>
      <c r="B3" s="199" t="s">
        <v>81</v>
      </c>
      <c r="C3" s="200" t="s">
        <v>82</v>
      </c>
      <c r="D3" s="200" t="s">
        <v>83</v>
      </c>
      <c r="E3" s="199" t="s">
        <v>84</v>
      </c>
      <c r="F3" s="200" t="s">
        <v>85</v>
      </c>
      <c r="G3" s="200" t="s">
        <v>86</v>
      </c>
      <c r="H3" s="200" t="s">
        <v>87</v>
      </c>
      <c r="I3" s="200" t="s">
        <v>88</v>
      </c>
      <c r="J3" s="200" t="s">
        <v>89</v>
      </c>
      <c r="K3" s="200" t="s">
        <v>90</v>
      </c>
      <c r="L3" s="200" t="s">
        <v>91</v>
      </c>
      <c r="M3" s="200" t="s">
        <v>92</v>
      </c>
    </row>
    <row r="4" spans="1:13" ht="14.45" customHeight="1" x14ac:dyDescent="0.2">
      <c r="A4" s="198" t="s">
        <v>80</v>
      </c>
      <c r="B4" s="201">
        <f>(B10+B8)/B6</f>
        <v>0.26162768499311145</v>
      </c>
      <c r="C4" s="201">
        <f t="shared" ref="C4:M4" si="0">(C10+C8)/C6</f>
        <v>0.28833448857067084</v>
      </c>
      <c r="D4" s="201">
        <f t="shared" si="0"/>
        <v>0.23606785499414809</v>
      </c>
      <c r="E4" s="201">
        <f t="shared" si="0"/>
        <v>0.23150651902164837</v>
      </c>
      <c r="F4" s="201">
        <f t="shared" si="0"/>
        <v>0.21958953068689593</v>
      </c>
      <c r="G4" s="201">
        <f t="shared" si="0"/>
        <v>0.21501124880994144</v>
      </c>
      <c r="H4" s="201">
        <f t="shared" si="0"/>
        <v>0.20230375066915959</v>
      </c>
      <c r="I4" s="201">
        <f t="shared" si="0"/>
        <v>0.201922534285259</v>
      </c>
      <c r="J4" s="201">
        <f t="shared" si="0"/>
        <v>0.20499511741418372</v>
      </c>
      <c r="K4" s="201">
        <f t="shared" si="0"/>
        <v>0.20499511741418372</v>
      </c>
      <c r="L4" s="201">
        <f t="shared" si="0"/>
        <v>0.20499511741418372</v>
      </c>
      <c r="M4" s="201">
        <f t="shared" si="0"/>
        <v>0.20499511741418372</v>
      </c>
    </row>
    <row r="5" spans="1:13" ht="14.45" customHeight="1" x14ac:dyDescent="0.2">
      <c r="A5" s="202" t="s">
        <v>53</v>
      </c>
      <c r="B5" s="201">
        <f>IF(ISERROR(VLOOKUP($A5,'Man Tab'!$A:$Q,COLUMN()+2,0)),0,VLOOKUP($A5,'Man Tab'!$A:$Q,COLUMN()+2,0))</f>
        <v>1043.44588</v>
      </c>
      <c r="C5" s="201">
        <f>IF(ISERROR(VLOOKUP($A5,'Man Tab'!$A:$Q,COLUMN()+2,0)),0,VLOOKUP($A5,'Man Tab'!$A:$Q,COLUMN()+2,0))</f>
        <v>990.91242000000204</v>
      </c>
      <c r="D5" s="201">
        <f>IF(ISERROR(VLOOKUP($A5,'Man Tab'!$A:$Q,COLUMN()+2,0)),0,VLOOKUP($A5,'Man Tab'!$A:$Q,COLUMN()+2,0))</f>
        <v>1371.82341</v>
      </c>
      <c r="E5" s="201">
        <f>IF(ISERROR(VLOOKUP($A5,'Man Tab'!$A:$Q,COLUMN()+2,0)),0,VLOOKUP($A5,'Man Tab'!$A:$Q,COLUMN()+2,0))</f>
        <v>1141.08268</v>
      </c>
      <c r="F5" s="201">
        <f>IF(ISERROR(VLOOKUP($A5,'Man Tab'!$A:$Q,COLUMN()+2,0)),0,VLOOKUP($A5,'Man Tab'!$A:$Q,COLUMN()+2,0))</f>
        <v>1281.6853599999999</v>
      </c>
      <c r="G5" s="201">
        <f>IF(ISERROR(VLOOKUP($A5,'Man Tab'!$A:$Q,COLUMN()+2,0)),0,VLOOKUP($A5,'Man Tab'!$A:$Q,COLUMN()+2,0))</f>
        <v>1035.5763999999999</v>
      </c>
      <c r="H5" s="201">
        <f>IF(ISERROR(VLOOKUP($A5,'Man Tab'!$A:$Q,COLUMN()+2,0)),0,VLOOKUP($A5,'Man Tab'!$A:$Q,COLUMN()+2,0))</f>
        <v>1442.66536</v>
      </c>
      <c r="I5" s="201">
        <f>IF(ISERROR(VLOOKUP($A5,'Man Tab'!$A:$Q,COLUMN()+2,0)),0,VLOOKUP($A5,'Man Tab'!$A:$Q,COLUMN()+2,0))</f>
        <v>967.12736000000098</v>
      </c>
      <c r="J5" s="201">
        <f>IF(ISERROR(VLOOKUP($A5,'Man Tab'!$A:$Q,COLUMN()+2,0)),0,VLOOKUP($A5,'Man Tab'!$A:$Q,COLUMN()+2,0))</f>
        <v>1004.6607299999999</v>
      </c>
      <c r="K5" s="201">
        <f>IF(ISERROR(VLOOKUP($A5,'Man Tab'!$A:$Q,COLUMN()+2,0)),0,VLOOKUP($A5,'Man Tab'!$A:$Q,COLUMN()+2,0))</f>
        <v>0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5" customHeight="1" x14ac:dyDescent="0.2">
      <c r="A6" s="202" t="s">
        <v>76</v>
      </c>
      <c r="B6" s="203">
        <f>B5</f>
        <v>1043.44588</v>
      </c>
      <c r="C6" s="203">
        <f t="shared" ref="C6:M6" si="1">C5+B6</f>
        <v>2034.3583000000021</v>
      </c>
      <c r="D6" s="203">
        <f t="shared" si="1"/>
        <v>3406.1817100000021</v>
      </c>
      <c r="E6" s="203">
        <f t="shared" si="1"/>
        <v>4547.2643900000021</v>
      </c>
      <c r="F6" s="203">
        <f t="shared" si="1"/>
        <v>5828.9497500000016</v>
      </c>
      <c r="G6" s="203">
        <f t="shared" si="1"/>
        <v>6864.5261500000015</v>
      </c>
      <c r="H6" s="203">
        <f t="shared" si="1"/>
        <v>8307.1915100000006</v>
      </c>
      <c r="I6" s="203">
        <f t="shared" si="1"/>
        <v>9274.318870000001</v>
      </c>
      <c r="J6" s="203">
        <f t="shared" si="1"/>
        <v>10278.979600000001</v>
      </c>
      <c r="K6" s="203">
        <f t="shared" si="1"/>
        <v>10278.979600000001</v>
      </c>
      <c r="L6" s="203">
        <f t="shared" si="1"/>
        <v>10278.979600000001</v>
      </c>
      <c r="M6" s="203">
        <f t="shared" si="1"/>
        <v>10278.979600000001</v>
      </c>
    </row>
    <row r="7" spans="1:13" ht="14.45" customHeight="1" x14ac:dyDescent="0.2">
      <c r="A7" s="202" t="s">
        <v>101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5" customHeight="1" x14ac:dyDescent="0.2">
      <c r="A8" s="202" t="s">
        <v>77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5" customHeight="1" x14ac:dyDescent="0.2">
      <c r="A9" s="202" t="s">
        <v>102</v>
      </c>
      <c r="B9" s="202">
        <v>272994.33</v>
      </c>
      <c r="C9" s="202">
        <v>313581.33</v>
      </c>
      <c r="D9" s="202">
        <v>217514.34999999998</v>
      </c>
      <c r="E9" s="202">
        <v>248631.34</v>
      </c>
      <c r="F9" s="202">
        <v>227254.99</v>
      </c>
      <c r="G9" s="202">
        <v>195974</v>
      </c>
      <c r="H9" s="202">
        <v>204625.65999999997</v>
      </c>
      <c r="I9" s="202">
        <v>192117.97</v>
      </c>
      <c r="J9" s="202">
        <v>234446.66000000003</v>
      </c>
      <c r="K9" s="202">
        <v>0</v>
      </c>
      <c r="L9" s="202">
        <v>0</v>
      </c>
      <c r="M9" s="202">
        <v>0</v>
      </c>
    </row>
    <row r="10" spans="1:13" ht="14.45" customHeight="1" x14ac:dyDescent="0.2">
      <c r="A10" s="202" t="s">
        <v>78</v>
      </c>
      <c r="B10" s="203">
        <f>B9/1000</f>
        <v>272.99432999999999</v>
      </c>
      <c r="C10" s="203">
        <f t="shared" ref="C10:M10" si="3">C9/1000+B10</f>
        <v>586.57565999999997</v>
      </c>
      <c r="D10" s="203">
        <f t="shared" si="3"/>
        <v>804.09000999999989</v>
      </c>
      <c r="E10" s="203">
        <f t="shared" si="3"/>
        <v>1052.7213499999998</v>
      </c>
      <c r="F10" s="203">
        <f t="shared" si="3"/>
        <v>1279.9763399999997</v>
      </c>
      <c r="G10" s="203">
        <f t="shared" si="3"/>
        <v>1475.9503399999996</v>
      </c>
      <c r="H10" s="203">
        <f t="shared" si="3"/>
        <v>1680.5759999999996</v>
      </c>
      <c r="I10" s="203">
        <f t="shared" si="3"/>
        <v>1872.6939699999996</v>
      </c>
      <c r="J10" s="203">
        <f t="shared" si="3"/>
        <v>2107.1406299999994</v>
      </c>
      <c r="K10" s="203">
        <f t="shared" si="3"/>
        <v>2107.1406299999994</v>
      </c>
      <c r="L10" s="203">
        <f t="shared" si="3"/>
        <v>2107.1406299999994</v>
      </c>
      <c r="M10" s="203">
        <f t="shared" si="3"/>
        <v>2107.1406299999994</v>
      </c>
    </row>
    <row r="11" spans="1:13" ht="14.45" customHeight="1" x14ac:dyDescent="0.2">
      <c r="A11" s="198"/>
      <c r="B11" s="198" t="s">
        <v>93</v>
      </c>
      <c r="C11" s="198">
        <f ca="1">IF(MONTH(TODAY())=1,12,MONTH(TODAY())-1)</f>
        <v>9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5" customHeight="1" x14ac:dyDescent="0.2">
      <c r="A12" s="198">
        <v>0</v>
      </c>
      <c r="B12" s="201">
        <f>IF(ISERROR(HI!F15),#REF!,HI!F15)</f>
        <v>0.20397171193166885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5" customHeight="1" x14ac:dyDescent="0.2">
      <c r="A13" s="198">
        <v>1</v>
      </c>
      <c r="B13" s="201">
        <f>IF(ISERROR(HI!F15),#REF!,HI!F15)</f>
        <v>0.20397171193166885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 xr:uid="{2210E256-302F-4509-BBA8-9BC9B68A7661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29" bestFit="1" customWidth="1"/>
    <col min="2" max="2" width="12.7109375" style="129" bestFit="1" customWidth="1"/>
    <col min="3" max="3" width="13.7109375" style="129" bestFit="1" customWidth="1"/>
    <col min="4" max="15" width="7.7109375" style="129" bestFit="1" customWidth="1"/>
    <col min="16" max="16" width="8.85546875" style="129" customWidth="1"/>
    <col min="17" max="17" width="6.7109375" style="129" bestFit="1" customWidth="1"/>
    <col min="18" max="16384" width="8.85546875" style="129"/>
  </cols>
  <sheetData>
    <row r="1" spans="1:17" s="204" customFormat="1" ht="18.600000000000001" customHeight="1" thickBot="1" x14ac:dyDescent="0.35">
      <c r="A1" s="341" t="s">
        <v>272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4" customFormat="1" ht="14.45" customHeight="1" thickBot="1" x14ac:dyDescent="0.25">
      <c r="A2" s="232" t="s">
        <v>270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5" customHeight="1" x14ac:dyDescent="0.2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5" customHeight="1" x14ac:dyDescent="0.2">
      <c r="A4" s="77"/>
      <c r="B4" s="20">
        <v>2019</v>
      </c>
      <c r="C4" s="138" t="s">
        <v>30</v>
      </c>
      <c r="D4" s="262" t="s">
        <v>250</v>
      </c>
      <c r="E4" s="262" t="s">
        <v>251</v>
      </c>
      <c r="F4" s="262" t="s">
        <v>252</v>
      </c>
      <c r="G4" s="262" t="s">
        <v>253</v>
      </c>
      <c r="H4" s="262" t="s">
        <v>254</v>
      </c>
      <c r="I4" s="262" t="s">
        <v>255</v>
      </c>
      <c r="J4" s="262" t="s">
        <v>256</v>
      </c>
      <c r="K4" s="262" t="s">
        <v>257</v>
      </c>
      <c r="L4" s="262" t="s">
        <v>258</v>
      </c>
      <c r="M4" s="262" t="s">
        <v>259</v>
      </c>
      <c r="N4" s="262" t="s">
        <v>260</v>
      </c>
      <c r="O4" s="262" t="s">
        <v>261</v>
      </c>
      <c r="P4" s="344" t="s">
        <v>3</v>
      </c>
      <c r="Q4" s="345"/>
    </row>
    <row r="5" spans="1:17" ht="14.45" customHeight="1" thickBot="1" x14ac:dyDescent="0.2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5" customHeight="1" x14ac:dyDescent="0.2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271</v>
      </c>
    </row>
    <row r="7" spans="1:17" ht="14.45" customHeight="1" x14ac:dyDescent="0.2">
      <c r="A7" s="15" t="s">
        <v>35</v>
      </c>
      <c r="B7" s="51">
        <v>1114.9927264241501</v>
      </c>
      <c r="C7" s="52">
        <v>92.916060535346006</v>
      </c>
      <c r="D7" s="52">
        <v>27.20429</v>
      </c>
      <c r="E7" s="52">
        <v>33.108820000000001</v>
      </c>
      <c r="F7" s="52">
        <v>126.97521999999999</v>
      </c>
      <c r="G7" s="52">
        <v>179.95882999999901</v>
      </c>
      <c r="H7" s="52">
        <v>321.46532000000002</v>
      </c>
      <c r="I7" s="52">
        <v>91.425949999999006</v>
      </c>
      <c r="J7" s="52">
        <v>70.464550000000003</v>
      </c>
      <c r="K7" s="52">
        <v>37.713679999999997</v>
      </c>
      <c r="L7" s="52">
        <v>64.798689999998999</v>
      </c>
      <c r="M7" s="52">
        <v>0</v>
      </c>
      <c r="N7" s="52">
        <v>0</v>
      </c>
      <c r="O7" s="52">
        <v>0</v>
      </c>
      <c r="P7" s="53">
        <v>953.11534999999799</v>
      </c>
      <c r="Q7" s="95">
        <v>1.1397567325319999</v>
      </c>
    </row>
    <row r="8" spans="1:17" ht="14.45" customHeight="1" x14ac:dyDescent="0.2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271</v>
      </c>
    </row>
    <row r="9" spans="1:17" ht="14.45" customHeight="1" x14ac:dyDescent="0.2">
      <c r="A9" s="15" t="s">
        <v>37</v>
      </c>
      <c r="B9" s="51">
        <v>93</v>
      </c>
      <c r="C9" s="52">
        <v>7.75</v>
      </c>
      <c r="D9" s="52">
        <v>7.4164199999999996</v>
      </c>
      <c r="E9" s="52">
        <v>4.6745000000000001</v>
      </c>
      <c r="F9" s="52">
        <v>6.6367699999990002</v>
      </c>
      <c r="G9" s="52">
        <v>7.3114799999990003</v>
      </c>
      <c r="H9" s="52">
        <v>8.00915</v>
      </c>
      <c r="I9" s="52">
        <v>9.6938299999990001</v>
      </c>
      <c r="J9" s="52">
        <v>7.3887</v>
      </c>
      <c r="K9" s="52">
        <v>5.5327200000000003</v>
      </c>
      <c r="L9" s="52">
        <v>7.1251199999989998</v>
      </c>
      <c r="M9" s="52">
        <v>0</v>
      </c>
      <c r="N9" s="52">
        <v>0</v>
      </c>
      <c r="O9" s="52">
        <v>0</v>
      </c>
      <c r="P9" s="53">
        <v>63.788689999999001</v>
      </c>
      <c r="Q9" s="95">
        <v>0.91453318996400002</v>
      </c>
    </row>
    <row r="10" spans="1:17" ht="14.45" customHeight="1" x14ac:dyDescent="0.2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271</v>
      </c>
    </row>
    <row r="11" spans="1:17" ht="14.45" customHeight="1" x14ac:dyDescent="0.2">
      <c r="A11" s="15" t="s">
        <v>39</v>
      </c>
      <c r="B11" s="51">
        <v>70.391269851475002</v>
      </c>
      <c r="C11" s="52">
        <v>5.8659391542890003</v>
      </c>
      <c r="D11" s="52">
        <v>5.7554100000000004</v>
      </c>
      <c r="E11" s="52">
        <v>6.99261</v>
      </c>
      <c r="F11" s="52">
        <v>4.8342499999989998</v>
      </c>
      <c r="G11" s="52">
        <v>5.125279999999</v>
      </c>
      <c r="H11" s="52">
        <v>6.7043499999999998</v>
      </c>
      <c r="I11" s="52">
        <v>4.5537299999989997</v>
      </c>
      <c r="J11" s="52">
        <v>5.9476800000000001</v>
      </c>
      <c r="K11" s="52">
        <v>4.2760499999999997</v>
      </c>
      <c r="L11" s="52">
        <v>5.490049999999</v>
      </c>
      <c r="M11" s="52">
        <v>0</v>
      </c>
      <c r="N11" s="52">
        <v>0</v>
      </c>
      <c r="O11" s="52">
        <v>0</v>
      </c>
      <c r="P11" s="53">
        <v>49.679409999999002</v>
      </c>
      <c r="Q11" s="95">
        <v>0.94101460980999996</v>
      </c>
    </row>
    <row r="12" spans="1:17" ht="14.45" customHeight="1" x14ac:dyDescent="0.2">
      <c r="A12" s="15" t="s">
        <v>40</v>
      </c>
      <c r="B12" s="51">
        <v>10.098247556438</v>
      </c>
      <c r="C12" s="52">
        <v>0.84152062970300001</v>
      </c>
      <c r="D12" s="52">
        <v>1.399</v>
      </c>
      <c r="E12" s="52">
        <v>0</v>
      </c>
      <c r="F12" s="52">
        <v>6.8369999999989997</v>
      </c>
      <c r="G12" s="52">
        <v>20.496999999999002</v>
      </c>
      <c r="H12" s="52">
        <v>0.49709999999999999</v>
      </c>
      <c r="I12" s="52">
        <v>6.2999999998999995E-2</v>
      </c>
      <c r="J12" s="52">
        <v>0</v>
      </c>
      <c r="K12" s="52">
        <v>0</v>
      </c>
      <c r="L12" s="52">
        <v>0.41819999999899998</v>
      </c>
      <c r="M12" s="52">
        <v>0</v>
      </c>
      <c r="N12" s="52">
        <v>0</v>
      </c>
      <c r="O12" s="52">
        <v>0</v>
      </c>
      <c r="P12" s="53">
        <v>29.711299999999</v>
      </c>
      <c r="Q12" s="95">
        <v>3.9229644990630002</v>
      </c>
    </row>
    <row r="13" spans="1:17" ht="14.45" customHeight="1" x14ac:dyDescent="0.2">
      <c r="A13" s="15" t="s">
        <v>41</v>
      </c>
      <c r="B13" s="51">
        <v>4</v>
      </c>
      <c r="C13" s="52">
        <v>0.33333333333300003</v>
      </c>
      <c r="D13" s="52">
        <v>0.27762999999999999</v>
      </c>
      <c r="E13" s="52">
        <v>0.42059999999999997</v>
      </c>
      <c r="F13" s="52">
        <v>0.222639999999</v>
      </c>
      <c r="G13" s="52">
        <v>0.26716999999899999</v>
      </c>
      <c r="H13" s="52">
        <v>0.26717000000000002</v>
      </c>
      <c r="I13" s="52">
        <v>0.311699999999</v>
      </c>
      <c r="J13" s="52">
        <v>0.57935000000000003</v>
      </c>
      <c r="K13" s="52">
        <v>0.37606000000000001</v>
      </c>
      <c r="L13" s="52">
        <v>0.53481999999899998</v>
      </c>
      <c r="M13" s="52">
        <v>0</v>
      </c>
      <c r="N13" s="52">
        <v>0</v>
      </c>
      <c r="O13" s="52">
        <v>0</v>
      </c>
      <c r="P13" s="53">
        <v>3.2571400000000001</v>
      </c>
      <c r="Q13" s="95">
        <v>1.085713333333</v>
      </c>
    </row>
    <row r="14" spans="1:17" ht="14.45" customHeight="1" x14ac:dyDescent="0.2">
      <c r="A14" s="15" t="s">
        <v>42</v>
      </c>
      <c r="B14" s="51">
        <v>1276.0241848266501</v>
      </c>
      <c r="C14" s="52">
        <v>106.33534873555401</v>
      </c>
      <c r="D14" s="52">
        <v>159.82499999999999</v>
      </c>
      <c r="E14" s="52">
        <v>129.21299999999999</v>
      </c>
      <c r="F14" s="52">
        <v>120.967</v>
      </c>
      <c r="G14" s="52">
        <v>98.904999999999006</v>
      </c>
      <c r="H14" s="52">
        <v>94.540999999999997</v>
      </c>
      <c r="I14" s="52">
        <v>79.045999999998998</v>
      </c>
      <c r="J14" s="52">
        <v>76.284000000000006</v>
      </c>
      <c r="K14" s="52">
        <v>77.087999999999994</v>
      </c>
      <c r="L14" s="52">
        <v>79.634999999998996</v>
      </c>
      <c r="M14" s="52">
        <v>0</v>
      </c>
      <c r="N14" s="52">
        <v>0</v>
      </c>
      <c r="O14" s="52">
        <v>0</v>
      </c>
      <c r="P14" s="53">
        <v>915.503999999999</v>
      </c>
      <c r="Q14" s="95">
        <v>0.95662136698900002</v>
      </c>
    </row>
    <row r="15" spans="1:17" ht="14.45" customHeight="1" x14ac:dyDescent="0.2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271</v>
      </c>
    </row>
    <row r="16" spans="1:17" ht="14.45" customHeight="1" x14ac:dyDescent="0.2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271</v>
      </c>
    </row>
    <row r="17" spans="1:17" ht="14.45" customHeight="1" x14ac:dyDescent="0.2">
      <c r="A17" s="15" t="s">
        <v>45</v>
      </c>
      <c r="B17" s="51">
        <v>22.803281458076</v>
      </c>
      <c r="C17" s="52">
        <v>1.9002734548389999</v>
      </c>
      <c r="D17" s="52">
        <v>3.7233000000000001</v>
      </c>
      <c r="E17" s="52">
        <v>14.800090000000001</v>
      </c>
      <c r="F17" s="52">
        <v>5.5417999999990002</v>
      </c>
      <c r="G17" s="52">
        <v>0.17202999999900001</v>
      </c>
      <c r="H17" s="52">
        <v>0</v>
      </c>
      <c r="I17" s="52">
        <v>1.4813599999989999</v>
      </c>
      <c r="J17" s="52">
        <v>0.60324</v>
      </c>
      <c r="K17" s="52">
        <v>2.3121700000000001</v>
      </c>
      <c r="L17" s="52">
        <v>37.841249999999</v>
      </c>
      <c r="M17" s="52">
        <v>0</v>
      </c>
      <c r="N17" s="52">
        <v>0</v>
      </c>
      <c r="O17" s="52">
        <v>0</v>
      </c>
      <c r="P17" s="53">
        <v>66.475239999999005</v>
      </c>
      <c r="Q17" s="95">
        <v>3.886881521691</v>
      </c>
    </row>
    <row r="18" spans="1:17" ht="14.45" customHeight="1" x14ac:dyDescent="0.2">
      <c r="A18" s="15" t="s">
        <v>46</v>
      </c>
      <c r="B18" s="51">
        <v>0</v>
      </c>
      <c r="C18" s="52">
        <v>0</v>
      </c>
      <c r="D18" s="52">
        <v>0.65700000000000003</v>
      </c>
      <c r="E18" s="52">
        <v>0.39800000000000002</v>
      </c>
      <c r="F18" s="52">
        <v>0</v>
      </c>
      <c r="G18" s="52">
        <v>0</v>
      </c>
      <c r="H18" s="52">
        <v>0</v>
      </c>
      <c r="I18" s="52">
        <v>0.597999999999</v>
      </c>
      <c r="J18" s="52">
        <v>0</v>
      </c>
      <c r="K18" s="52">
        <v>0</v>
      </c>
      <c r="L18" s="52">
        <v>0.76699999999900004</v>
      </c>
      <c r="M18" s="52">
        <v>0</v>
      </c>
      <c r="N18" s="52">
        <v>0</v>
      </c>
      <c r="O18" s="52">
        <v>0</v>
      </c>
      <c r="P18" s="53">
        <v>2.42</v>
      </c>
      <c r="Q18" s="95" t="s">
        <v>271</v>
      </c>
    </row>
    <row r="19" spans="1:17" ht="14.45" customHeight="1" x14ac:dyDescent="0.2">
      <c r="A19" s="15" t="s">
        <v>47</v>
      </c>
      <c r="B19" s="51">
        <v>232.885522173428</v>
      </c>
      <c r="C19" s="52">
        <v>19.407126847785001</v>
      </c>
      <c r="D19" s="52">
        <v>20.805440000000001</v>
      </c>
      <c r="E19" s="52">
        <v>13.283910000000001</v>
      </c>
      <c r="F19" s="52">
        <v>22.633569999999001</v>
      </c>
      <c r="G19" s="52">
        <v>23.347989999999001</v>
      </c>
      <c r="H19" s="52">
        <v>19.566179999999999</v>
      </c>
      <c r="I19" s="52">
        <v>22.446219999998998</v>
      </c>
      <c r="J19" s="52">
        <v>15.802210000000001</v>
      </c>
      <c r="K19" s="52">
        <v>14.87988</v>
      </c>
      <c r="L19" s="52">
        <v>18.073629999999</v>
      </c>
      <c r="M19" s="52">
        <v>0</v>
      </c>
      <c r="N19" s="52">
        <v>0</v>
      </c>
      <c r="O19" s="52">
        <v>0</v>
      </c>
      <c r="P19" s="53">
        <v>170.83903000000001</v>
      </c>
      <c r="Q19" s="95">
        <v>0.978100189344</v>
      </c>
    </row>
    <row r="20" spans="1:17" ht="14.45" customHeight="1" x14ac:dyDescent="0.2">
      <c r="A20" s="15" t="s">
        <v>48</v>
      </c>
      <c r="B20" s="51">
        <v>9277.9296980000108</v>
      </c>
      <c r="C20" s="52">
        <v>773.16080816666795</v>
      </c>
      <c r="D20" s="52">
        <v>776.27497000000199</v>
      </c>
      <c r="E20" s="52">
        <v>748.65496000000201</v>
      </c>
      <c r="F20" s="52">
        <v>1037.80925</v>
      </c>
      <c r="G20" s="52">
        <v>766.13193999999703</v>
      </c>
      <c r="H20" s="52">
        <v>791.26916000000006</v>
      </c>
      <c r="I20" s="52">
        <v>786.59079999999699</v>
      </c>
      <c r="J20" s="52">
        <v>1222.5027500000001</v>
      </c>
      <c r="K20" s="52">
        <v>785.58491000000095</v>
      </c>
      <c r="L20" s="52">
        <v>749.16708999999696</v>
      </c>
      <c r="M20" s="52">
        <v>0</v>
      </c>
      <c r="N20" s="52">
        <v>0</v>
      </c>
      <c r="O20" s="52">
        <v>0</v>
      </c>
      <c r="P20" s="53">
        <v>7663.9858299999896</v>
      </c>
      <c r="Q20" s="95">
        <v>1.1013931023350001</v>
      </c>
    </row>
    <row r="21" spans="1:17" ht="14.45" customHeight="1" x14ac:dyDescent="0.2">
      <c r="A21" s="16" t="s">
        <v>49</v>
      </c>
      <c r="B21" s="51">
        <v>471.99999999999301</v>
      </c>
      <c r="C21" s="52">
        <v>39.333333333332</v>
      </c>
      <c r="D21" s="52">
        <v>39.974939999999997</v>
      </c>
      <c r="E21" s="52">
        <v>39.365929999999999</v>
      </c>
      <c r="F21" s="52">
        <v>39.365909999998998</v>
      </c>
      <c r="G21" s="52">
        <v>39.365959999998999</v>
      </c>
      <c r="H21" s="52">
        <v>39.365929999999999</v>
      </c>
      <c r="I21" s="52">
        <v>39.364929999998999</v>
      </c>
      <c r="J21" s="52">
        <v>39.364930000000001</v>
      </c>
      <c r="K21" s="52">
        <v>39.363930000000003</v>
      </c>
      <c r="L21" s="52">
        <v>39.362929999998997</v>
      </c>
      <c r="M21" s="52">
        <v>0</v>
      </c>
      <c r="N21" s="52">
        <v>0</v>
      </c>
      <c r="O21" s="52">
        <v>0</v>
      </c>
      <c r="P21" s="53">
        <v>354.89539000000002</v>
      </c>
      <c r="Q21" s="95">
        <v>1.0025293502820001</v>
      </c>
    </row>
    <row r="22" spans="1:17" ht="14.45" customHeight="1" x14ac:dyDescent="0.2">
      <c r="A22" s="15" t="s">
        <v>50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3.7280000000000002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3.7280000000000002</v>
      </c>
      <c r="Q22" s="95" t="s">
        <v>271</v>
      </c>
    </row>
    <row r="23" spans="1:17" ht="14.45" customHeight="1" x14ac:dyDescent="0.2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271</v>
      </c>
    </row>
    <row r="24" spans="1:17" ht="14.45" customHeight="1" x14ac:dyDescent="0.2">
      <c r="A24" s="16" t="s">
        <v>52</v>
      </c>
      <c r="B24" s="51">
        <v>0</v>
      </c>
      <c r="C24" s="52">
        <v>0</v>
      </c>
      <c r="D24" s="52">
        <v>0.13247999999900001</v>
      </c>
      <c r="E24" s="52">
        <v>-1.13686837721616E-13</v>
      </c>
      <c r="F24" s="52">
        <v>-2.2737367544323201E-13</v>
      </c>
      <c r="G24" s="52">
        <v>2.2737367544323201E-13</v>
      </c>
      <c r="H24" s="52">
        <v>-2.2737367544323201E-13</v>
      </c>
      <c r="I24" s="52">
        <v>8.7999999900000004E-4</v>
      </c>
      <c r="J24" s="52">
        <v>-4.9999999873762102E-5</v>
      </c>
      <c r="K24" s="52">
        <v>-4.00000003537571E-5</v>
      </c>
      <c r="L24" s="52">
        <v>1.44695</v>
      </c>
      <c r="M24" s="52">
        <v>0</v>
      </c>
      <c r="N24" s="52">
        <v>0</v>
      </c>
      <c r="O24" s="52">
        <v>0</v>
      </c>
      <c r="P24" s="53">
        <v>1.5802199999990001</v>
      </c>
      <c r="Q24" s="95"/>
    </row>
    <row r="25" spans="1:17" ht="14.45" customHeight="1" x14ac:dyDescent="0.2">
      <c r="A25" s="17" t="s">
        <v>53</v>
      </c>
      <c r="B25" s="54">
        <v>12574.1249302902</v>
      </c>
      <c r="C25" s="55">
        <v>1047.84374419085</v>
      </c>
      <c r="D25" s="55">
        <v>1043.44588</v>
      </c>
      <c r="E25" s="55">
        <v>990.91242000000204</v>
      </c>
      <c r="F25" s="55">
        <v>1371.82341</v>
      </c>
      <c r="G25" s="55">
        <v>1141.08268</v>
      </c>
      <c r="H25" s="55">
        <v>1281.6853599999999</v>
      </c>
      <c r="I25" s="55">
        <v>1035.5763999999999</v>
      </c>
      <c r="J25" s="55">
        <v>1442.66536</v>
      </c>
      <c r="K25" s="55">
        <v>967.12736000000098</v>
      </c>
      <c r="L25" s="55">
        <v>1004.6607299999999</v>
      </c>
      <c r="M25" s="55">
        <v>0</v>
      </c>
      <c r="N25" s="55">
        <v>0</v>
      </c>
      <c r="O25" s="55">
        <v>0</v>
      </c>
      <c r="P25" s="56">
        <v>10278.979600000001</v>
      </c>
      <c r="Q25" s="96">
        <v>1.089961027849</v>
      </c>
    </row>
    <row r="26" spans="1:17" ht="14.45" customHeight="1" x14ac:dyDescent="0.2">
      <c r="A26" s="15" t="s">
        <v>54</v>
      </c>
      <c r="B26" s="51">
        <v>1692.8413573380101</v>
      </c>
      <c r="C26" s="52">
        <v>141.070113111501</v>
      </c>
      <c r="D26" s="52">
        <v>140.49782999999999</v>
      </c>
      <c r="E26" s="52">
        <v>143.87286</v>
      </c>
      <c r="F26" s="52">
        <v>157.43804</v>
      </c>
      <c r="G26" s="52">
        <v>149.40971999999999</v>
      </c>
      <c r="H26" s="52">
        <v>136.39214999999999</v>
      </c>
      <c r="I26" s="52">
        <v>211.23648</v>
      </c>
      <c r="J26" s="52">
        <v>168.72845000000001</v>
      </c>
      <c r="K26" s="52">
        <v>115.35317999999999</v>
      </c>
      <c r="L26" s="52">
        <v>120.72797</v>
      </c>
      <c r="M26" s="52">
        <v>0</v>
      </c>
      <c r="N26" s="52">
        <v>0</v>
      </c>
      <c r="O26" s="52">
        <v>0</v>
      </c>
      <c r="P26" s="53">
        <v>1343.6566800000001</v>
      </c>
      <c r="Q26" s="95">
        <v>1.058304862552</v>
      </c>
    </row>
    <row r="27" spans="1:17" ht="14.45" customHeight="1" x14ac:dyDescent="0.2">
      <c r="A27" s="18" t="s">
        <v>55</v>
      </c>
      <c r="B27" s="54">
        <v>14266.9662876282</v>
      </c>
      <c r="C27" s="55">
        <v>1188.9138573023499</v>
      </c>
      <c r="D27" s="55">
        <v>1183.94371</v>
      </c>
      <c r="E27" s="55">
        <v>1134.7852800000001</v>
      </c>
      <c r="F27" s="55">
        <v>1529.26145</v>
      </c>
      <c r="G27" s="55">
        <v>1290.4924000000001</v>
      </c>
      <c r="H27" s="55">
        <v>1418.0775100000001</v>
      </c>
      <c r="I27" s="55">
        <v>1246.81288</v>
      </c>
      <c r="J27" s="55">
        <v>1611.39381</v>
      </c>
      <c r="K27" s="55">
        <v>1082.48054</v>
      </c>
      <c r="L27" s="55">
        <v>1125.3887</v>
      </c>
      <c r="M27" s="55">
        <v>0</v>
      </c>
      <c r="N27" s="55">
        <v>0</v>
      </c>
      <c r="O27" s="55">
        <v>0</v>
      </c>
      <c r="P27" s="56">
        <v>11622.636280000001</v>
      </c>
      <c r="Q27" s="96">
        <v>1.0862048778210001</v>
      </c>
    </row>
    <row r="28" spans="1:17" ht="14.45" customHeight="1" x14ac:dyDescent="0.2">
      <c r="A28" s="16" t="s">
        <v>56</v>
      </c>
      <c r="B28" s="51">
        <v>5354.2249989290303</v>
      </c>
      <c r="C28" s="52">
        <v>446.18541657741901</v>
      </c>
      <c r="D28" s="52">
        <v>416.57650999999998</v>
      </c>
      <c r="E28" s="52">
        <v>421.33811999999898</v>
      </c>
      <c r="F28" s="52">
        <v>497.16775000000001</v>
      </c>
      <c r="G28" s="52">
        <v>461.45375999999999</v>
      </c>
      <c r="H28" s="52">
        <v>595.39774</v>
      </c>
      <c r="I28" s="52">
        <v>545.59171000000003</v>
      </c>
      <c r="J28" s="52">
        <v>402.34760999999997</v>
      </c>
      <c r="K28" s="52">
        <v>359.30493999999999</v>
      </c>
      <c r="L28" s="52">
        <v>398.90982000000002</v>
      </c>
      <c r="M28" s="52">
        <v>0</v>
      </c>
      <c r="N28" s="52">
        <v>0</v>
      </c>
      <c r="O28" s="52">
        <v>0</v>
      </c>
      <c r="P28" s="53">
        <v>4098.0879599999998</v>
      </c>
      <c r="Q28" s="95">
        <v>1.020524404763</v>
      </c>
    </row>
    <row r="29" spans="1:17" ht="14.45" customHeight="1" x14ac:dyDescent="0.2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271</v>
      </c>
    </row>
    <row r="30" spans="1:17" ht="14.45" customHeight="1" x14ac:dyDescent="0.2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>
        <v>0</v>
      </c>
    </row>
    <row r="31" spans="1:17" ht="14.45" customHeight="1" thickBot="1" x14ac:dyDescent="0.2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271</v>
      </c>
    </row>
    <row r="32" spans="1:17" ht="14.45" customHeight="1" x14ac:dyDescent="0.2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5" customHeight="1" x14ac:dyDescent="0.2">
      <c r="A33" s="113" t="s">
        <v>160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5" customHeight="1" x14ac:dyDescent="0.2">
      <c r="A34" s="135" t="s">
        <v>248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5" customHeight="1" x14ac:dyDescent="0.2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A4BD783B-7065-4B33-82A3-3BC880332DC2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K179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29" customWidth="1"/>
    <col min="2" max="11" width="10" style="129" customWidth="1"/>
    <col min="12" max="16384" width="8.85546875" style="129"/>
  </cols>
  <sheetData>
    <row r="1" spans="1:11" s="60" customFormat="1" ht="18.600000000000001" customHeight="1" thickBot="1" x14ac:dyDescent="0.35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1" s="60" customFormat="1" ht="14.45" customHeight="1" thickBot="1" x14ac:dyDescent="0.25">
      <c r="A2" s="232" t="s">
        <v>270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5" customHeight="1" x14ac:dyDescent="0.2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1" ht="14.45" customHeight="1" x14ac:dyDescent="0.2">
      <c r="A4" s="77"/>
      <c r="B4" s="347"/>
      <c r="C4" s="348"/>
      <c r="D4" s="348"/>
      <c r="E4" s="348"/>
      <c r="F4" s="351" t="s">
        <v>266</v>
      </c>
      <c r="G4" s="353" t="s">
        <v>64</v>
      </c>
      <c r="H4" s="140" t="s">
        <v>141</v>
      </c>
      <c r="I4" s="351" t="s">
        <v>65</v>
      </c>
      <c r="J4" s="353" t="s">
        <v>268</v>
      </c>
      <c r="K4" s="354" t="s">
        <v>269</v>
      </c>
    </row>
    <row r="5" spans="1:11" ht="39" thickBot="1" x14ac:dyDescent="0.25">
      <c r="A5" s="78"/>
      <c r="B5" s="24" t="s">
        <v>262</v>
      </c>
      <c r="C5" s="25" t="s">
        <v>263</v>
      </c>
      <c r="D5" s="26" t="s">
        <v>264</v>
      </c>
      <c r="E5" s="26" t="s">
        <v>265</v>
      </c>
      <c r="F5" s="352"/>
      <c r="G5" s="352"/>
      <c r="H5" s="25" t="s">
        <v>267</v>
      </c>
      <c r="I5" s="352"/>
      <c r="J5" s="352"/>
      <c r="K5" s="355"/>
    </row>
    <row r="6" spans="1:11" ht="14.45" customHeight="1" thickBot="1" x14ac:dyDescent="0.25">
      <c r="A6" s="477" t="s">
        <v>273</v>
      </c>
      <c r="B6" s="459">
        <v>11125.168944592901</v>
      </c>
      <c r="C6" s="459">
        <v>12195.04398</v>
      </c>
      <c r="D6" s="460">
        <v>1069.8750354071699</v>
      </c>
      <c r="E6" s="461">
        <v>1.096167082112</v>
      </c>
      <c r="F6" s="459">
        <v>12574.1249302902</v>
      </c>
      <c r="G6" s="460">
        <v>9430.5936977176698</v>
      </c>
      <c r="H6" s="462">
        <v>1004.6607299999999</v>
      </c>
      <c r="I6" s="459">
        <v>10278.979600000001</v>
      </c>
      <c r="J6" s="460">
        <v>848.38590228232204</v>
      </c>
      <c r="K6" s="463">
        <v>0.81747077088700004</v>
      </c>
    </row>
    <row r="7" spans="1:11" ht="14.45" customHeight="1" thickBot="1" x14ac:dyDescent="0.25">
      <c r="A7" s="478" t="s">
        <v>274</v>
      </c>
      <c r="B7" s="459">
        <v>1892.6400139673799</v>
      </c>
      <c r="C7" s="459">
        <v>1851.64185</v>
      </c>
      <c r="D7" s="460">
        <v>-40.998163967373003</v>
      </c>
      <c r="E7" s="461">
        <v>0.97833810779300001</v>
      </c>
      <c r="F7" s="459">
        <v>2568.5064286587099</v>
      </c>
      <c r="G7" s="460">
        <v>1926.37982149404</v>
      </c>
      <c r="H7" s="462">
        <v>158.00187999999901</v>
      </c>
      <c r="I7" s="459">
        <v>2015.1891599999999</v>
      </c>
      <c r="J7" s="460">
        <v>88.809338505960994</v>
      </c>
      <c r="K7" s="463">
        <v>0.78457625704699996</v>
      </c>
    </row>
    <row r="8" spans="1:11" ht="14.45" customHeight="1" thickBot="1" x14ac:dyDescent="0.25">
      <c r="A8" s="479" t="s">
        <v>275</v>
      </c>
      <c r="B8" s="459">
        <v>762.06743695699902</v>
      </c>
      <c r="C8" s="459">
        <v>744.21085000000096</v>
      </c>
      <c r="D8" s="460">
        <v>-17.856586956998001</v>
      </c>
      <c r="E8" s="461">
        <v>0.97656823255900005</v>
      </c>
      <c r="F8" s="459">
        <v>1292.48224383207</v>
      </c>
      <c r="G8" s="460">
        <v>969.36168287405201</v>
      </c>
      <c r="H8" s="462">
        <v>78.366879999999</v>
      </c>
      <c r="I8" s="459">
        <v>1099.68516</v>
      </c>
      <c r="J8" s="460">
        <v>130.323477125946</v>
      </c>
      <c r="K8" s="463">
        <v>0.85083192844400002</v>
      </c>
    </row>
    <row r="9" spans="1:11" ht="14.45" customHeight="1" thickBot="1" x14ac:dyDescent="0.25">
      <c r="A9" s="480" t="s">
        <v>276</v>
      </c>
      <c r="B9" s="464">
        <v>0</v>
      </c>
      <c r="C9" s="464">
        <v>1.32E-3</v>
      </c>
      <c r="D9" s="465">
        <v>1.32E-3</v>
      </c>
      <c r="E9" s="466" t="s">
        <v>271</v>
      </c>
      <c r="F9" s="464">
        <v>0</v>
      </c>
      <c r="G9" s="465">
        <v>0</v>
      </c>
      <c r="H9" s="467">
        <v>0</v>
      </c>
      <c r="I9" s="464">
        <v>1.2700000000000001E-3</v>
      </c>
      <c r="J9" s="465">
        <v>1.2700000000000001E-3</v>
      </c>
      <c r="K9" s="468" t="s">
        <v>271</v>
      </c>
    </row>
    <row r="10" spans="1:11" ht="14.45" customHeight="1" thickBot="1" x14ac:dyDescent="0.25">
      <c r="A10" s="481" t="s">
        <v>277</v>
      </c>
      <c r="B10" s="459">
        <v>0</v>
      </c>
      <c r="C10" s="459">
        <v>1.32E-3</v>
      </c>
      <c r="D10" s="460">
        <v>1.32E-3</v>
      </c>
      <c r="E10" s="469" t="s">
        <v>271</v>
      </c>
      <c r="F10" s="459">
        <v>0</v>
      </c>
      <c r="G10" s="460">
        <v>0</v>
      </c>
      <c r="H10" s="462">
        <v>0</v>
      </c>
      <c r="I10" s="459">
        <v>1.2700000000000001E-3</v>
      </c>
      <c r="J10" s="460">
        <v>1.2700000000000001E-3</v>
      </c>
      <c r="K10" s="470" t="s">
        <v>271</v>
      </c>
    </row>
    <row r="11" spans="1:11" ht="14.45" customHeight="1" thickBot="1" x14ac:dyDescent="0.25">
      <c r="A11" s="480" t="s">
        <v>278</v>
      </c>
      <c r="B11" s="464">
        <v>590</v>
      </c>
      <c r="C11" s="464">
        <v>551.03917000000104</v>
      </c>
      <c r="D11" s="465">
        <v>-38.960829999997998</v>
      </c>
      <c r="E11" s="471">
        <v>0.933964694915</v>
      </c>
      <c r="F11" s="464">
        <v>1114.9927264241501</v>
      </c>
      <c r="G11" s="465">
        <v>836.24454481811597</v>
      </c>
      <c r="H11" s="467">
        <v>64.798689999998999</v>
      </c>
      <c r="I11" s="464">
        <v>953.11534999999799</v>
      </c>
      <c r="J11" s="465">
        <v>116.87080518188201</v>
      </c>
      <c r="K11" s="472">
        <v>0.85481754939900001</v>
      </c>
    </row>
    <row r="12" spans="1:11" ht="14.45" customHeight="1" thickBot="1" x14ac:dyDescent="0.25">
      <c r="A12" s="481" t="s">
        <v>279</v>
      </c>
      <c r="B12" s="459">
        <v>590</v>
      </c>
      <c r="C12" s="459">
        <v>550.00992000000099</v>
      </c>
      <c r="D12" s="460">
        <v>-39.990079999998002</v>
      </c>
      <c r="E12" s="461">
        <v>0.93222020338900002</v>
      </c>
      <c r="F12" s="459">
        <v>1113.9927264241501</v>
      </c>
      <c r="G12" s="460">
        <v>835.49454481811597</v>
      </c>
      <c r="H12" s="462">
        <v>64.798689999998999</v>
      </c>
      <c r="I12" s="459">
        <v>953.11534999999799</v>
      </c>
      <c r="J12" s="460">
        <v>117.62080518188201</v>
      </c>
      <c r="K12" s="463">
        <v>0.85558489511799996</v>
      </c>
    </row>
    <row r="13" spans="1:11" ht="14.45" customHeight="1" thickBot="1" x14ac:dyDescent="0.25">
      <c r="A13" s="481" t="s">
        <v>280</v>
      </c>
      <c r="B13" s="459">
        <v>0</v>
      </c>
      <c r="C13" s="459">
        <v>1.02925</v>
      </c>
      <c r="D13" s="460">
        <v>1.02925</v>
      </c>
      <c r="E13" s="469" t="s">
        <v>281</v>
      </c>
      <c r="F13" s="459">
        <v>1</v>
      </c>
      <c r="G13" s="460">
        <v>0.75</v>
      </c>
      <c r="H13" s="462">
        <v>0</v>
      </c>
      <c r="I13" s="459">
        <v>0</v>
      </c>
      <c r="J13" s="460">
        <v>-0.75</v>
      </c>
      <c r="K13" s="463">
        <v>0</v>
      </c>
    </row>
    <row r="14" spans="1:11" ht="14.45" customHeight="1" thickBot="1" x14ac:dyDescent="0.25">
      <c r="A14" s="480" t="s">
        <v>282</v>
      </c>
      <c r="B14" s="464">
        <v>92.529260863603994</v>
      </c>
      <c r="C14" s="464">
        <v>90.680070000000001</v>
      </c>
      <c r="D14" s="465">
        <v>-1.849190863604</v>
      </c>
      <c r="E14" s="471">
        <v>0.98001506932600002</v>
      </c>
      <c r="F14" s="464">
        <v>93</v>
      </c>
      <c r="G14" s="465">
        <v>69.75</v>
      </c>
      <c r="H14" s="467">
        <v>7.1251199999989998</v>
      </c>
      <c r="I14" s="464">
        <v>63.788689999999001</v>
      </c>
      <c r="J14" s="465">
        <v>-5.9613100000000001</v>
      </c>
      <c r="K14" s="472">
        <v>0.68589989247299998</v>
      </c>
    </row>
    <row r="15" spans="1:11" ht="14.45" customHeight="1" thickBot="1" x14ac:dyDescent="0.25">
      <c r="A15" s="481" t="s">
        <v>283</v>
      </c>
      <c r="B15" s="459">
        <v>17</v>
      </c>
      <c r="C15" s="459">
        <v>17.52092</v>
      </c>
      <c r="D15" s="460">
        <v>0.52092000000000005</v>
      </c>
      <c r="E15" s="461">
        <v>1.030642352941</v>
      </c>
      <c r="F15" s="459">
        <v>17</v>
      </c>
      <c r="G15" s="460">
        <v>12.75</v>
      </c>
      <c r="H15" s="462">
        <v>1.456839999999</v>
      </c>
      <c r="I15" s="459">
        <v>11.238479999999999</v>
      </c>
      <c r="J15" s="460">
        <v>-1.51152</v>
      </c>
      <c r="K15" s="463">
        <v>0.66108705882300001</v>
      </c>
    </row>
    <row r="16" spans="1:11" ht="14.45" customHeight="1" thickBot="1" x14ac:dyDescent="0.25">
      <c r="A16" s="481" t="s">
        <v>284</v>
      </c>
      <c r="B16" s="459">
        <v>2</v>
      </c>
      <c r="C16" s="459">
        <v>2.7241499999999998</v>
      </c>
      <c r="D16" s="460">
        <v>0.72414999999999996</v>
      </c>
      <c r="E16" s="461">
        <v>1.3620749999999999</v>
      </c>
      <c r="F16" s="459">
        <v>3</v>
      </c>
      <c r="G16" s="460">
        <v>2.25</v>
      </c>
      <c r="H16" s="462">
        <v>0.243479999999</v>
      </c>
      <c r="I16" s="459">
        <v>2.61497</v>
      </c>
      <c r="J16" s="460">
        <v>0.36496999999899998</v>
      </c>
      <c r="K16" s="463">
        <v>0.87165666666599995</v>
      </c>
    </row>
    <row r="17" spans="1:11" ht="14.45" customHeight="1" thickBot="1" x14ac:dyDescent="0.25">
      <c r="A17" s="481" t="s">
        <v>285</v>
      </c>
      <c r="B17" s="459">
        <v>30.453445476481999</v>
      </c>
      <c r="C17" s="459">
        <v>29.506830000000001</v>
      </c>
      <c r="D17" s="460">
        <v>-0.94661547648199995</v>
      </c>
      <c r="E17" s="461">
        <v>0.96891598104300003</v>
      </c>
      <c r="F17" s="459">
        <v>30</v>
      </c>
      <c r="G17" s="460">
        <v>22.5</v>
      </c>
      <c r="H17" s="462">
        <v>1.525799999999</v>
      </c>
      <c r="I17" s="459">
        <v>20.578240000000001</v>
      </c>
      <c r="J17" s="460">
        <v>-1.9217599999999999</v>
      </c>
      <c r="K17" s="463">
        <v>0.685941333333</v>
      </c>
    </row>
    <row r="18" spans="1:11" ht="14.45" customHeight="1" thickBot="1" x14ac:dyDescent="0.25">
      <c r="A18" s="481" t="s">
        <v>286</v>
      </c>
      <c r="B18" s="459">
        <v>30.075815387121999</v>
      </c>
      <c r="C18" s="459">
        <v>31.460170000000002</v>
      </c>
      <c r="D18" s="460">
        <v>1.3843546128769999</v>
      </c>
      <c r="E18" s="461">
        <v>1.046028830642</v>
      </c>
      <c r="F18" s="459">
        <v>32</v>
      </c>
      <c r="G18" s="460">
        <v>24</v>
      </c>
      <c r="H18" s="462">
        <v>3.0509999999990001</v>
      </c>
      <c r="I18" s="459">
        <v>21.347000000000001</v>
      </c>
      <c r="J18" s="460">
        <v>-2.653</v>
      </c>
      <c r="K18" s="463">
        <v>0.66709374999899995</v>
      </c>
    </row>
    <row r="19" spans="1:11" ht="14.45" customHeight="1" thickBot="1" x14ac:dyDescent="0.25">
      <c r="A19" s="481" t="s">
        <v>287</v>
      </c>
      <c r="B19" s="459">
        <v>10</v>
      </c>
      <c r="C19" s="459">
        <v>7.45</v>
      </c>
      <c r="D19" s="460">
        <v>-2.5499999999990002</v>
      </c>
      <c r="E19" s="461">
        <v>0.745</v>
      </c>
      <c r="F19" s="459">
        <v>8</v>
      </c>
      <c r="G19" s="460">
        <v>6</v>
      </c>
      <c r="H19" s="462">
        <v>0.469999999999</v>
      </c>
      <c r="I19" s="459">
        <v>6.6239999999989996</v>
      </c>
      <c r="J19" s="460">
        <v>0.62399999999900002</v>
      </c>
      <c r="K19" s="463">
        <v>0.82799999999899998</v>
      </c>
    </row>
    <row r="20" spans="1:11" ht="14.45" customHeight="1" thickBot="1" x14ac:dyDescent="0.25">
      <c r="A20" s="481" t="s">
        <v>288</v>
      </c>
      <c r="B20" s="459">
        <v>3</v>
      </c>
      <c r="C20" s="459">
        <v>2.0179999999999998</v>
      </c>
      <c r="D20" s="460">
        <v>-0.98199999999900001</v>
      </c>
      <c r="E20" s="461">
        <v>0.67266666666599995</v>
      </c>
      <c r="F20" s="459">
        <v>3</v>
      </c>
      <c r="G20" s="460">
        <v>2.25</v>
      </c>
      <c r="H20" s="462">
        <v>0.37799999999900002</v>
      </c>
      <c r="I20" s="459">
        <v>1.3859999999999999</v>
      </c>
      <c r="J20" s="460">
        <v>-0.86399999999999999</v>
      </c>
      <c r="K20" s="463">
        <v>0.46199999999899999</v>
      </c>
    </row>
    <row r="21" spans="1:11" ht="14.45" customHeight="1" thickBot="1" x14ac:dyDescent="0.25">
      <c r="A21" s="480" t="s">
        <v>289</v>
      </c>
      <c r="B21" s="464">
        <v>70.766046324285</v>
      </c>
      <c r="C21" s="464">
        <v>79.015960000000007</v>
      </c>
      <c r="D21" s="465">
        <v>8.2499136757149998</v>
      </c>
      <c r="E21" s="471">
        <v>1.116580112981</v>
      </c>
      <c r="F21" s="464">
        <v>70.391269851475002</v>
      </c>
      <c r="G21" s="465">
        <v>52.793452388605999</v>
      </c>
      <c r="H21" s="467">
        <v>5.490049999999</v>
      </c>
      <c r="I21" s="464">
        <v>49.679409999999002</v>
      </c>
      <c r="J21" s="465">
        <v>-3.1140423886059998</v>
      </c>
      <c r="K21" s="472">
        <v>0.70576095735699995</v>
      </c>
    </row>
    <row r="22" spans="1:11" ht="14.45" customHeight="1" thickBot="1" x14ac:dyDescent="0.25">
      <c r="A22" s="481" t="s">
        <v>290</v>
      </c>
      <c r="B22" s="459">
        <v>0</v>
      </c>
      <c r="C22" s="459">
        <v>2.90279</v>
      </c>
      <c r="D22" s="460">
        <v>2.90279</v>
      </c>
      <c r="E22" s="469" t="s">
        <v>271</v>
      </c>
      <c r="F22" s="459">
        <v>0</v>
      </c>
      <c r="G22" s="460">
        <v>0</v>
      </c>
      <c r="H22" s="462">
        <v>0</v>
      </c>
      <c r="I22" s="459">
        <v>0.98010999999899995</v>
      </c>
      <c r="J22" s="460">
        <v>0.98010999999899995</v>
      </c>
      <c r="K22" s="470" t="s">
        <v>271</v>
      </c>
    </row>
    <row r="23" spans="1:11" ht="14.45" customHeight="1" thickBot="1" x14ac:dyDescent="0.25">
      <c r="A23" s="481" t="s">
        <v>291</v>
      </c>
      <c r="B23" s="459">
        <v>1</v>
      </c>
      <c r="C23" s="459">
        <v>0.25381999999999999</v>
      </c>
      <c r="D23" s="460">
        <v>-0.74617999999999995</v>
      </c>
      <c r="E23" s="461">
        <v>0.25381999999999999</v>
      </c>
      <c r="F23" s="459">
        <v>1</v>
      </c>
      <c r="G23" s="460">
        <v>0.75</v>
      </c>
      <c r="H23" s="462">
        <v>3.7509999999000003E-2</v>
      </c>
      <c r="I23" s="459">
        <v>0.12970000000000001</v>
      </c>
      <c r="J23" s="460">
        <v>-0.62029999999999996</v>
      </c>
      <c r="K23" s="463">
        <v>0.12970000000000001</v>
      </c>
    </row>
    <row r="24" spans="1:11" ht="14.45" customHeight="1" thickBot="1" x14ac:dyDescent="0.25">
      <c r="A24" s="481" t="s">
        <v>292</v>
      </c>
      <c r="B24" s="459">
        <v>12.949488218446</v>
      </c>
      <c r="C24" s="459">
        <v>14.656459999999999</v>
      </c>
      <c r="D24" s="460">
        <v>1.7069717815529999</v>
      </c>
      <c r="E24" s="461">
        <v>1.1318177021939999</v>
      </c>
      <c r="F24" s="459">
        <v>15</v>
      </c>
      <c r="G24" s="460">
        <v>11.25</v>
      </c>
      <c r="H24" s="462">
        <v>1.0485</v>
      </c>
      <c r="I24" s="459">
        <v>10.70377</v>
      </c>
      <c r="J24" s="460">
        <v>-0.54622999999999999</v>
      </c>
      <c r="K24" s="463">
        <v>0.71358466666599996</v>
      </c>
    </row>
    <row r="25" spans="1:11" ht="14.45" customHeight="1" thickBot="1" x14ac:dyDescent="0.25">
      <c r="A25" s="481" t="s">
        <v>293</v>
      </c>
      <c r="B25" s="459">
        <v>25</v>
      </c>
      <c r="C25" s="459">
        <v>23.221080000000001</v>
      </c>
      <c r="D25" s="460">
        <v>-1.778919999999</v>
      </c>
      <c r="E25" s="461">
        <v>0.92884319999999998</v>
      </c>
      <c r="F25" s="459">
        <v>25</v>
      </c>
      <c r="G25" s="460">
        <v>18.75</v>
      </c>
      <c r="H25" s="462">
        <v>1.1762300000000001</v>
      </c>
      <c r="I25" s="459">
        <v>17.838699999999999</v>
      </c>
      <c r="J25" s="460">
        <v>-0.9113</v>
      </c>
      <c r="K25" s="463">
        <v>0.71354799999999996</v>
      </c>
    </row>
    <row r="26" spans="1:11" ht="14.45" customHeight="1" thickBot="1" x14ac:dyDescent="0.25">
      <c r="A26" s="481" t="s">
        <v>294</v>
      </c>
      <c r="B26" s="459">
        <v>2.6834256050069998</v>
      </c>
      <c r="C26" s="459">
        <v>3.0982699999999999</v>
      </c>
      <c r="D26" s="460">
        <v>0.41484439499199999</v>
      </c>
      <c r="E26" s="461">
        <v>1.1545950795940001</v>
      </c>
      <c r="F26" s="459">
        <v>3.1383872315220001</v>
      </c>
      <c r="G26" s="460">
        <v>2.3537904236410001</v>
      </c>
      <c r="H26" s="462">
        <v>0.56312999999900004</v>
      </c>
      <c r="I26" s="459">
        <v>1.9801299999999999</v>
      </c>
      <c r="J26" s="460">
        <v>-0.37366042364099999</v>
      </c>
      <c r="K26" s="463">
        <v>0.63093871276000002</v>
      </c>
    </row>
    <row r="27" spans="1:11" ht="14.45" customHeight="1" thickBot="1" x14ac:dyDescent="0.25">
      <c r="A27" s="481" t="s">
        <v>295</v>
      </c>
      <c r="B27" s="459">
        <v>0</v>
      </c>
      <c r="C27" s="459">
        <v>2.5558100000000001</v>
      </c>
      <c r="D27" s="460">
        <v>2.5558100000000001</v>
      </c>
      <c r="E27" s="469" t="s">
        <v>271</v>
      </c>
      <c r="F27" s="459">
        <v>0</v>
      </c>
      <c r="G27" s="460">
        <v>0</v>
      </c>
      <c r="H27" s="462">
        <v>0.234739999999</v>
      </c>
      <c r="I27" s="459">
        <v>2.5821399999999999</v>
      </c>
      <c r="J27" s="460">
        <v>2.5821399999999999</v>
      </c>
      <c r="K27" s="470" t="s">
        <v>271</v>
      </c>
    </row>
    <row r="28" spans="1:11" ht="14.45" customHeight="1" thickBot="1" x14ac:dyDescent="0.25">
      <c r="A28" s="481" t="s">
        <v>296</v>
      </c>
      <c r="B28" s="459">
        <v>22.133132500830001</v>
      </c>
      <c r="C28" s="459">
        <v>18.13486</v>
      </c>
      <c r="D28" s="460">
        <v>-3.9982725008300002</v>
      </c>
      <c r="E28" s="461">
        <v>0.81935351895200004</v>
      </c>
      <c r="F28" s="459">
        <v>16.252882619952999</v>
      </c>
      <c r="G28" s="460">
        <v>12.189661964963999</v>
      </c>
      <c r="H28" s="462">
        <v>1.747239999999</v>
      </c>
      <c r="I28" s="459">
        <v>8.7778099999990005</v>
      </c>
      <c r="J28" s="460">
        <v>-3.4118519649639998</v>
      </c>
      <c r="K28" s="463">
        <v>0.54007711771800004</v>
      </c>
    </row>
    <row r="29" spans="1:11" ht="14.45" customHeight="1" thickBot="1" x14ac:dyDescent="0.25">
      <c r="A29" s="481" t="s">
        <v>297</v>
      </c>
      <c r="B29" s="459">
        <v>0</v>
      </c>
      <c r="C29" s="459">
        <v>5.9277899999999999</v>
      </c>
      <c r="D29" s="460">
        <v>5.9277899999999999</v>
      </c>
      <c r="E29" s="469" t="s">
        <v>271</v>
      </c>
      <c r="F29" s="459">
        <v>0</v>
      </c>
      <c r="G29" s="460">
        <v>0</v>
      </c>
      <c r="H29" s="462">
        <v>0</v>
      </c>
      <c r="I29" s="459">
        <v>0</v>
      </c>
      <c r="J29" s="460">
        <v>0</v>
      </c>
      <c r="K29" s="470" t="s">
        <v>271</v>
      </c>
    </row>
    <row r="30" spans="1:11" ht="14.45" customHeight="1" thickBot="1" x14ac:dyDescent="0.25">
      <c r="A30" s="481" t="s">
        <v>298</v>
      </c>
      <c r="B30" s="459">
        <v>0</v>
      </c>
      <c r="C30" s="459">
        <v>0</v>
      </c>
      <c r="D30" s="460">
        <v>0</v>
      </c>
      <c r="E30" s="461">
        <v>1</v>
      </c>
      <c r="F30" s="459">
        <v>0</v>
      </c>
      <c r="G30" s="460">
        <v>0</v>
      </c>
      <c r="H30" s="462">
        <v>0</v>
      </c>
      <c r="I30" s="459">
        <v>0.48399999999999999</v>
      </c>
      <c r="J30" s="460">
        <v>0.48399999999999999</v>
      </c>
      <c r="K30" s="470" t="s">
        <v>281</v>
      </c>
    </row>
    <row r="31" spans="1:11" ht="14.45" customHeight="1" thickBot="1" x14ac:dyDescent="0.25">
      <c r="A31" s="481" t="s">
        <v>299</v>
      </c>
      <c r="B31" s="459">
        <v>7</v>
      </c>
      <c r="C31" s="459">
        <v>8.2650799999999993</v>
      </c>
      <c r="D31" s="460">
        <v>1.26508</v>
      </c>
      <c r="E31" s="461">
        <v>1.1807257142850001</v>
      </c>
      <c r="F31" s="459">
        <v>10</v>
      </c>
      <c r="G31" s="460">
        <v>7.5</v>
      </c>
      <c r="H31" s="462">
        <v>0.682699999999</v>
      </c>
      <c r="I31" s="459">
        <v>6.2030500000000002</v>
      </c>
      <c r="J31" s="460">
        <v>-1.29695</v>
      </c>
      <c r="K31" s="463">
        <v>0.620305</v>
      </c>
    </row>
    <row r="32" spans="1:11" ht="14.45" customHeight="1" thickBot="1" x14ac:dyDescent="0.25">
      <c r="A32" s="480" t="s">
        <v>300</v>
      </c>
      <c r="B32" s="464">
        <v>0.96759626624700001</v>
      </c>
      <c r="C32" s="464">
        <v>11.614660000000001</v>
      </c>
      <c r="D32" s="465">
        <v>10.647063733752001</v>
      </c>
      <c r="E32" s="471">
        <v>12.003622177087999</v>
      </c>
      <c r="F32" s="464">
        <v>10.098247556438</v>
      </c>
      <c r="G32" s="465">
        <v>7.5736856673290003</v>
      </c>
      <c r="H32" s="467">
        <v>0.41819999999899998</v>
      </c>
      <c r="I32" s="464">
        <v>29.711299999999</v>
      </c>
      <c r="J32" s="465">
        <v>22.137614332670001</v>
      </c>
      <c r="K32" s="472">
        <v>2.9422233742969999</v>
      </c>
    </row>
    <row r="33" spans="1:11" ht="14.45" customHeight="1" thickBot="1" x14ac:dyDescent="0.25">
      <c r="A33" s="481" t="s">
        <v>301</v>
      </c>
      <c r="B33" s="459">
        <v>0</v>
      </c>
      <c r="C33" s="459">
        <v>6.8957899999999999</v>
      </c>
      <c r="D33" s="460">
        <v>6.8957899999999999</v>
      </c>
      <c r="E33" s="469" t="s">
        <v>281</v>
      </c>
      <c r="F33" s="459">
        <v>1.78914902556</v>
      </c>
      <c r="G33" s="460">
        <v>1.3418617691700001</v>
      </c>
      <c r="H33" s="462">
        <v>0</v>
      </c>
      <c r="I33" s="459">
        <v>0</v>
      </c>
      <c r="J33" s="460">
        <v>-1.3418617691700001</v>
      </c>
      <c r="K33" s="463">
        <v>0</v>
      </c>
    </row>
    <row r="34" spans="1:11" ht="14.45" customHeight="1" thickBot="1" x14ac:dyDescent="0.25">
      <c r="A34" s="481" t="s">
        <v>302</v>
      </c>
      <c r="B34" s="459">
        <v>0</v>
      </c>
      <c r="C34" s="459">
        <v>4.09</v>
      </c>
      <c r="D34" s="460">
        <v>4.09</v>
      </c>
      <c r="E34" s="469" t="s">
        <v>281</v>
      </c>
      <c r="F34" s="459">
        <v>3.566627206178</v>
      </c>
      <c r="G34" s="460">
        <v>2.6749704046330001</v>
      </c>
      <c r="H34" s="462">
        <v>0</v>
      </c>
      <c r="I34" s="459">
        <v>28.678999999999</v>
      </c>
      <c r="J34" s="460">
        <v>26.004029595365999</v>
      </c>
      <c r="K34" s="463">
        <v>8.0409300838389992</v>
      </c>
    </row>
    <row r="35" spans="1:11" ht="14.45" customHeight="1" thickBot="1" x14ac:dyDescent="0.25">
      <c r="A35" s="481" t="s">
        <v>303</v>
      </c>
      <c r="B35" s="459">
        <v>0.96759626624700001</v>
      </c>
      <c r="C35" s="459">
        <v>0.62887000000000004</v>
      </c>
      <c r="D35" s="460">
        <v>-0.33872626624699997</v>
      </c>
      <c r="E35" s="461">
        <v>0.64993016399100001</v>
      </c>
      <c r="F35" s="459">
        <v>0.56779026505700003</v>
      </c>
      <c r="G35" s="460">
        <v>0.42584269879300002</v>
      </c>
      <c r="H35" s="462">
        <v>0.41819999999899998</v>
      </c>
      <c r="I35" s="459">
        <v>1.0323</v>
      </c>
      <c r="J35" s="460">
        <v>0.60645730120600005</v>
      </c>
      <c r="K35" s="463">
        <v>1.818100914243</v>
      </c>
    </row>
    <row r="36" spans="1:11" ht="14.45" customHeight="1" thickBot="1" x14ac:dyDescent="0.25">
      <c r="A36" s="481" t="s">
        <v>304</v>
      </c>
      <c r="B36" s="459">
        <v>0</v>
      </c>
      <c r="C36" s="459">
        <v>0</v>
      </c>
      <c r="D36" s="460">
        <v>0</v>
      </c>
      <c r="E36" s="461">
        <v>1</v>
      </c>
      <c r="F36" s="459">
        <v>4.1746810596410002</v>
      </c>
      <c r="G36" s="460">
        <v>3.131010794731</v>
      </c>
      <c r="H36" s="462">
        <v>0</v>
      </c>
      <c r="I36" s="459">
        <v>0</v>
      </c>
      <c r="J36" s="460">
        <v>-3.131010794731</v>
      </c>
      <c r="K36" s="463">
        <v>0</v>
      </c>
    </row>
    <row r="37" spans="1:11" ht="14.45" customHeight="1" thickBot="1" x14ac:dyDescent="0.25">
      <c r="A37" s="480" t="s">
        <v>305</v>
      </c>
      <c r="B37" s="464">
        <v>7.8045335028620002</v>
      </c>
      <c r="C37" s="464">
        <v>11.41067</v>
      </c>
      <c r="D37" s="465">
        <v>3.6061364971369998</v>
      </c>
      <c r="E37" s="471">
        <v>1.46205663616</v>
      </c>
      <c r="F37" s="464">
        <v>4</v>
      </c>
      <c r="G37" s="465">
        <v>3</v>
      </c>
      <c r="H37" s="467">
        <v>0.53481999999899998</v>
      </c>
      <c r="I37" s="464">
        <v>3.2571400000000001</v>
      </c>
      <c r="J37" s="465">
        <v>0.257139999999</v>
      </c>
      <c r="K37" s="472">
        <v>0.81428499999899995</v>
      </c>
    </row>
    <row r="38" spans="1:11" ht="14.45" customHeight="1" thickBot="1" x14ac:dyDescent="0.25">
      <c r="A38" s="481" t="s">
        <v>306</v>
      </c>
      <c r="B38" s="459">
        <v>3.8045335028620002</v>
      </c>
      <c r="C38" s="459">
        <v>6.1625800000000002</v>
      </c>
      <c r="D38" s="460">
        <v>2.3580464971369999</v>
      </c>
      <c r="E38" s="461">
        <v>1.6197991147569999</v>
      </c>
      <c r="F38" s="459">
        <v>0</v>
      </c>
      <c r="G38" s="460">
        <v>0</v>
      </c>
      <c r="H38" s="462">
        <v>0.31217999999899998</v>
      </c>
      <c r="I38" s="459">
        <v>0.62435999999900005</v>
      </c>
      <c r="J38" s="460">
        <v>0.62435999999900005</v>
      </c>
      <c r="K38" s="470" t="s">
        <v>271</v>
      </c>
    </row>
    <row r="39" spans="1:11" ht="14.45" customHeight="1" thickBot="1" x14ac:dyDescent="0.25">
      <c r="A39" s="481" t="s">
        <v>307</v>
      </c>
      <c r="B39" s="459">
        <v>0</v>
      </c>
      <c r="C39" s="459">
        <v>1.7423999999999999</v>
      </c>
      <c r="D39" s="460">
        <v>1.7423999999999999</v>
      </c>
      <c r="E39" s="469" t="s">
        <v>271</v>
      </c>
      <c r="F39" s="459">
        <v>0</v>
      </c>
      <c r="G39" s="460">
        <v>0</v>
      </c>
      <c r="H39" s="462">
        <v>0</v>
      </c>
      <c r="I39" s="459">
        <v>0</v>
      </c>
      <c r="J39" s="460">
        <v>0</v>
      </c>
      <c r="K39" s="470" t="s">
        <v>271</v>
      </c>
    </row>
    <row r="40" spans="1:11" ht="14.45" customHeight="1" thickBot="1" x14ac:dyDescent="0.25">
      <c r="A40" s="481" t="s">
        <v>308</v>
      </c>
      <c r="B40" s="459">
        <v>0</v>
      </c>
      <c r="C40" s="459">
        <v>0.1089</v>
      </c>
      <c r="D40" s="460">
        <v>0.1089</v>
      </c>
      <c r="E40" s="469" t="s">
        <v>281</v>
      </c>
      <c r="F40" s="459">
        <v>0</v>
      </c>
      <c r="G40" s="460">
        <v>0</v>
      </c>
      <c r="H40" s="462">
        <v>0</v>
      </c>
      <c r="I40" s="459">
        <v>0.21779999999999999</v>
      </c>
      <c r="J40" s="460">
        <v>0.21779999999999999</v>
      </c>
      <c r="K40" s="470" t="s">
        <v>271</v>
      </c>
    </row>
    <row r="41" spans="1:11" ht="14.45" customHeight="1" thickBot="1" x14ac:dyDescent="0.25">
      <c r="A41" s="481" t="s">
        <v>309</v>
      </c>
      <c r="B41" s="459">
        <v>4</v>
      </c>
      <c r="C41" s="459">
        <v>3.3967900000000002</v>
      </c>
      <c r="D41" s="460">
        <v>-0.60320999999900005</v>
      </c>
      <c r="E41" s="461">
        <v>0.84919750000000005</v>
      </c>
      <c r="F41" s="459">
        <v>4</v>
      </c>
      <c r="G41" s="460">
        <v>3</v>
      </c>
      <c r="H41" s="462">
        <v>0.222639999999</v>
      </c>
      <c r="I41" s="459">
        <v>2.4149799999999999</v>
      </c>
      <c r="J41" s="460">
        <v>-0.58501999999999998</v>
      </c>
      <c r="K41" s="463">
        <v>0.603744999999</v>
      </c>
    </row>
    <row r="42" spans="1:11" ht="14.45" customHeight="1" thickBot="1" x14ac:dyDescent="0.25">
      <c r="A42" s="480" t="s">
        <v>310</v>
      </c>
      <c r="B42" s="464">
        <v>0</v>
      </c>
      <c r="C42" s="464">
        <v>0.44900000000000001</v>
      </c>
      <c r="D42" s="465">
        <v>0.44900000000000001</v>
      </c>
      <c r="E42" s="466" t="s">
        <v>281</v>
      </c>
      <c r="F42" s="464">
        <v>0</v>
      </c>
      <c r="G42" s="465">
        <v>0</v>
      </c>
      <c r="H42" s="467">
        <v>0</v>
      </c>
      <c r="I42" s="464">
        <v>0.13200000000000001</v>
      </c>
      <c r="J42" s="465">
        <v>0.13200000000000001</v>
      </c>
      <c r="K42" s="468" t="s">
        <v>271</v>
      </c>
    </row>
    <row r="43" spans="1:11" ht="14.45" customHeight="1" thickBot="1" x14ac:dyDescent="0.25">
      <c r="A43" s="481" t="s">
        <v>311</v>
      </c>
      <c r="B43" s="459">
        <v>0</v>
      </c>
      <c r="C43" s="459">
        <v>0.44900000000000001</v>
      </c>
      <c r="D43" s="460">
        <v>0.44900000000000001</v>
      </c>
      <c r="E43" s="469" t="s">
        <v>281</v>
      </c>
      <c r="F43" s="459">
        <v>0</v>
      </c>
      <c r="G43" s="460">
        <v>0</v>
      </c>
      <c r="H43" s="462">
        <v>0</v>
      </c>
      <c r="I43" s="459">
        <v>0.13200000000000001</v>
      </c>
      <c r="J43" s="460">
        <v>0.13200000000000001</v>
      </c>
      <c r="K43" s="470" t="s">
        <v>271</v>
      </c>
    </row>
    <row r="44" spans="1:11" ht="14.45" customHeight="1" thickBot="1" x14ac:dyDescent="0.25">
      <c r="A44" s="479" t="s">
        <v>42</v>
      </c>
      <c r="B44" s="459">
        <v>1130.57257701038</v>
      </c>
      <c r="C44" s="459">
        <v>1107.431</v>
      </c>
      <c r="D44" s="460">
        <v>-23.141577010374998</v>
      </c>
      <c r="E44" s="461">
        <v>0.97953110000900001</v>
      </c>
      <c r="F44" s="459">
        <v>1276.0241848266501</v>
      </c>
      <c r="G44" s="460">
        <v>957.01813861998403</v>
      </c>
      <c r="H44" s="462">
        <v>79.634999999998996</v>
      </c>
      <c r="I44" s="459">
        <v>915.503999999999</v>
      </c>
      <c r="J44" s="460">
        <v>-41.514138619984003</v>
      </c>
      <c r="K44" s="463">
        <v>0.717466025241</v>
      </c>
    </row>
    <row r="45" spans="1:11" ht="14.45" customHeight="1" thickBot="1" x14ac:dyDescent="0.25">
      <c r="A45" s="480" t="s">
        <v>312</v>
      </c>
      <c r="B45" s="464">
        <v>1130.57257701038</v>
      </c>
      <c r="C45" s="464">
        <v>1107.431</v>
      </c>
      <c r="D45" s="465">
        <v>-23.141577010374998</v>
      </c>
      <c r="E45" s="471">
        <v>0.97953110000900001</v>
      </c>
      <c r="F45" s="464">
        <v>1276.0241848266501</v>
      </c>
      <c r="G45" s="465">
        <v>957.01813861998403</v>
      </c>
      <c r="H45" s="467">
        <v>79.634999999998996</v>
      </c>
      <c r="I45" s="464">
        <v>915.503999999999</v>
      </c>
      <c r="J45" s="465">
        <v>-41.514138619984003</v>
      </c>
      <c r="K45" s="472">
        <v>0.717466025241</v>
      </c>
    </row>
    <row r="46" spans="1:11" ht="14.45" customHeight="1" thickBot="1" x14ac:dyDescent="0.25">
      <c r="A46" s="481" t="s">
        <v>313</v>
      </c>
      <c r="B46" s="459">
        <v>336.66833680673102</v>
      </c>
      <c r="C46" s="459">
        <v>348.34400000000102</v>
      </c>
      <c r="D46" s="460">
        <v>11.675663193268999</v>
      </c>
      <c r="E46" s="461">
        <v>1.0346800156610001</v>
      </c>
      <c r="F46" s="459">
        <v>456.09790860775399</v>
      </c>
      <c r="G46" s="460">
        <v>342.07343145581501</v>
      </c>
      <c r="H46" s="462">
        <v>39.276999999998999</v>
      </c>
      <c r="I46" s="459">
        <v>366.899</v>
      </c>
      <c r="J46" s="460">
        <v>24.825568544184001</v>
      </c>
      <c r="K46" s="463">
        <v>0.80443034943900005</v>
      </c>
    </row>
    <row r="47" spans="1:11" ht="14.45" customHeight="1" thickBot="1" x14ac:dyDescent="0.25">
      <c r="A47" s="481" t="s">
        <v>314</v>
      </c>
      <c r="B47" s="459">
        <v>101.14662713326</v>
      </c>
      <c r="C47" s="459">
        <v>106.672</v>
      </c>
      <c r="D47" s="460">
        <v>5.5253728667399997</v>
      </c>
      <c r="E47" s="461">
        <v>1.0546273565740001</v>
      </c>
      <c r="F47" s="459">
        <v>105.234491275933</v>
      </c>
      <c r="G47" s="460">
        <v>78.925868456949004</v>
      </c>
      <c r="H47" s="462">
        <v>8.3679999999990002</v>
      </c>
      <c r="I47" s="459">
        <v>77.265999999998996</v>
      </c>
      <c r="J47" s="460">
        <v>-1.6598684569490001</v>
      </c>
      <c r="K47" s="463">
        <v>0.73422695413899997</v>
      </c>
    </row>
    <row r="48" spans="1:11" ht="14.45" customHeight="1" thickBot="1" x14ac:dyDescent="0.25">
      <c r="A48" s="481" t="s">
        <v>315</v>
      </c>
      <c r="B48" s="459">
        <v>692.75761307038704</v>
      </c>
      <c r="C48" s="459">
        <v>652.41500000000099</v>
      </c>
      <c r="D48" s="460">
        <v>-40.342613070384999</v>
      </c>
      <c r="E48" s="461">
        <v>0.94176518264200004</v>
      </c>
      <c r="F48" s="459">
        <v>714.69178494295795</v>
      </c>
      <c r="G48" s="460">
        <v>536.01883870721895</v>
      </c>
      <c r="H48" s="462">
        <v>31.989999999999</v>
      </c>
      <c r="I48" s="459">
        <v>471.339</v>
      </c>
      <c r="J48" s="460">
        <v>-64.679838707219005</v>
      </c>
      <c r="K48" s="463">
        <v>0.65949967514600005</v>
      </c>
    </row>
    <row r="49" spans="1:11" ht="14.45" customHeight="1" thickBot="1" x14ac:dyDescent="0.25">
      <c r="A49" s="482" t="s">
        <v>316</v>
      </c>
      <c r="B49" s="464">
        <v>307.44323735001802</v>
      </c>
      <c r="C49" s="464">
        <v>279.82918000000097</v>
      </c>
      <c r="D49" s="465">
        <v>-27.614057350016999</v>
      </c>
      <c r="E49" s="471">
        <v>0.91018160754400002</v>
      </c>
      <c r="F49" s="464">
        <v>255.68880363150399</v>
      </c>
      <c r="G49" s="465">
        <v>191.76660272362801</v>
      </c>
      <c r="H49" s="467">
        <v>56.681879999998998</v>
      </c>
      <c r="I49" s="464">
        <v>239.73427000000001</v>
      </c>
      <c r="J49" s="465">
        <v>47.967667276371003</v>
      </c>
      <c r="K49" s="472">
        <v>0.93760175101499998</v>
      </c>
    </row>
    <row r="50" spans="1:11" ht="14.45" customHeight="1" thickBot="1" x14ac:dyDescent="0.25">
      <c r="A50" s="479" t="s">
        <v>45</v>
      </c>
      <c r="B50" s="459">
        <v>56.739545658381999</v>
      </c>
      <c r="C50" s="459">
        <v>23.423940000000002</v>
      </c>
      <c r="D50" s="460">
        <v>-33.315605658381998</v>
      </c>
      <c r="E50" s="461">
        <v>0.41283270297899999</v>
      </c>
      <c r="F50" s="459">
        <v>22.803281458076</v>
      </c>
      <c r="G50" s="460">
        <v>17.102461093557</v>
      </c>
      <c r="H50" s="462">
        <v>37.841249999999</v>
      </c>
      <c r="I50" s="459">
        <v>66.475239999999005</v>
      </c>
      <c r="J50" s="460">
        <v>49.372778906442001</v>
      </c>
      <c r="K50" s="463">
        <v>2.9151611412679999</v>
      </c>
    </row>
    <row r="51" spans="1:11" ht="14.45" customHeight="1" thickBot="1" x14ac:dyDescent="0.25">
      <c r="A51" s="483" t="s">
        <v>317</v>
      </c>
      <c r="B51" s="459">
        <v>56.739545658381999</v>
      </c>
      <c r="C51" s="459">
        <v>23.423940000000002</v>
      </c>
      <c r="D51" s="460">
        <v>-33.315605658381998</v>
      </c>
      <c r="E51" s="461">
        <v>0.41283270297899999</v>
      </c>
      <c r="F51" s="459">
        <v>22.803281458076</v>
      </c>
      <c r="G51" s="460">
        <v>17.102461093557</v>
      </c>
      <c r="H51" s="462">
        <v>37.841249999999</v>
      </c>
      <c r="I51" s="459">
        <v>66.475239999999005</v>
      </c>
      <c r="J51" s="460">
        <v>49.372778906442001</v>
      </c>
      <c r="K51" s="463">
        <v>2.9151611412679999</v>
      </c>
    </row>
    <row r="52" spans="1:11" ht="14.45" customHeight="1" thickBot="1" x14ac:dyDescent="0.25">
      <c r="A52" s="481" t="s">
        <v>318</v>
      </c>
      <c r="B52" s="459">
        <v>0</v>
      </c>
      <c r="C52" s="459">
        <v>4.8860000000000001</v>
      </c>
      <c r="D52" s="460">
        <v>4.8860000000000001</v>
      </c>
      <c r="E52" s="469" t="s">
        <v>281</v>
      </c>
      <c r="F52" s="459">
        <v>3.7407621379460001</v>
      </c>
      <c r="G52" s="460">
        <v>2.8055716034590001</v>
      </c>
      <c r="H52" s="462">
        <v>0</v>
      </c>
      <c r="I52" s="459">
        <v>2.7189999999999999</v>
      </c>
      <c r="J52" s="460">
        <v>-8.6571603459000002E-2</v>
      </c>
      <c r="K52" s="463">
        <v>0.72685722848199996</v>
      </c>
    </row>
    <row r="53" spans="1:11" ht="14.45" customHeight="1" thickBot="1" x14ac:dyDescent="0.25">
      <c r="A53" s="481" t="s">
        <v>319</v>
      </c>
      <c r="B53" s="459">
        <v>19.355281505623999</v>
      </c>
      <c r="C53" s="459">
        <v>0.23530000000000001</v>
      </c>
      <c r="D53" s="460">
        <v>-19.119981505624001</v>
      </c>
      <c r="E53" s="461">
        <v>1.2156888543E-2</v>
      </c>
      <c r="F53" s="459">
        <v>1.2035123946999999E-2</v>
      </c>
      <c r="G53" s="460">
        <v>9.0263429599999993E-3</v>
      </c>
      <c r="H53" s="462">
        <v>0</v>
      </c>
      <c r="I53" s="459">
        <v>19.940799999999999</v>
      </c>
      <c r="J53" s="460">
        <v>19.931773657038999</v>
      </c>
      <c r="K53" s="463">
        <v>0</v>
      </c>
    </row>
    <row r="54" spans="1:11" ht="14.45" customHeight="1" thickBot="1" x14ac:dyDescent="0.25">
      <c r="A54" s="481" t="s">
        <v>320</v>
      </c>
      <c r="B54" s="459">
        <v>13.912131806036999</v>
      </c>
      <c r="C54" s="459">
        <v>6.2817400000000001</v>
      </c>
      <c r="D54" s="460">
        <v>-7.6303918060370002</v>
      </c>
      <c r="E54" s="461">
        <v>0.45152964962999997</v>
      </c>
      <c r="F54" s="459">
        <v>10.16977976341</v>
      </c>
      <c r="G54" s="460">
        <v>7.6273348225569997</v>
      </c>
      <c r="H54" s="462">
        <v>36.321589999998999</v>
      </c>
      <c r="I54" s="459">
        <v>36.757189999998999</v>
      </c>
      <c r="J54" s="460">
        <v>29.129855177442</v>
      </c>
      <c r="K54" s="463">
        <v>3.6143545735610001</v>
      </c>
    </row>
    <row r="55" spans="1:11" ht="14.45" customHeight="1" thickBot="1" x14ac:dyDescent="0.25">
      <c r="A55" s="481" t="s">
        <v>321</v>
      </c>
      <c r="B55" s="459">
        <v>23.472132346719999</v>
      </c>
      <c r="C55" s="459">
        <v>12.020899999999999</v>
      </c>
      <c r="D55" s="460">
        <v>-11.451232346719999</v>
      </c>
      <c r="E55" s="461">
        <v>0.51213497872400005</v>
      </c>
      <c r="F55" s="459">
        <v>8.6046579513830004</v>
      </c>
      <c r="G55" s="460">
        <v>6.4534934635369998</v>
      </c>
      <c r="H55" s="462">
        <v>1.5196599999989999</v>
      </c>
      <c r="I55" s="459">
        <v>7.058249999999</v>
      </c>
      <c r="J55" s="460">
        <v>0.60475653646200001</v>
      </c>
      <c r="K55" s="463">
        <v>0.82028246095000001</v>
      </c>
    </row>
    <row r="56" spans="1:11" ht="14.45" customHeight="1" thickBot="1" x14ac:dyDescent="0.25">
      <c r="A56" s="481" t="s">
        <v>322</v>
      </c>
      <c r="B56" s="459">
        <v>0</v>
      </c>
      <c r="C56" s="459">
        <v>0</v>
      </c>
      <c r="D56" s="460">
        <v>0</v>
      </c>
      <c r="E56" s="461">
        <v>1</v>
      </c>
      <c r="F56" s="459">
        <v>3.9064417061000001E-2</v>
      </c>
      <c r="G56" s="460">
        <v>2.9298312795999999E-2</v>
      </c>
      <c r="H56" s="462">
        <v>0</v>
      </c>
      <c r="I56" s="459">
        <v>0</v>
      </c>
      <c r="J56" s="460">
        <v>-2.9298312795999999E-2</v>
      </c>
      <c r="K56" s="463">
        <v>0</v>
      </c>
    </row>
    <row r="57" spans="1:11" ht="14.45" customHeight="1" thickBot="1" x14ac:dyDescent="0.25">
      <c r="A57" s="481" t="s">
        <v>323</v>
      </c>
      <c r="B57" s="459">
        <v>0</v>
      </c>
      <c r="C57" s="459">
        <v>0</v>
      </c>
      <c r="D57" s="460">
        <v>0</v>
      </c>
      <c r="E57" s="461">
        <v>1</v>
      </c>
      <c r="F57" s="459">
        <v>0.17894564041</v>
      </c>
      <c r="G57" s="460">
        <v>0.13420923030699999</v>
      </c>
      <c r="H57" s="462">
        <v>0</v>
      </c>
      <c r="I57" s="459">
        <v>0</v>
      </c>
      <c r="J57" s="460">
        <v>-0.13420923030699999</v>
      </c>
      <c r="K57" s="463">
        <v>0</v>
      </c>
    </row>
    <row r="58" spans="1:11" ht="14.45" customHeight="1" thickBot="1" x14ac:dyDescent="0.25">
      <c r="A58" s="481" t="s">
        <v>324</v>
      </c>
      <c r="B58" s="459">
        <v>0</v>
      </c>
      <c r="C58" s="459">
        <v>0</v>
      </c>
      <c r="D58" s="460">
        <v>0</v>
      </c>
      <c r="E58" s="461">
        <v>1</v>
      </c>
      <c r="F58" s="459">
        <v>5.8036423916000002E-2</v>
      </c>
      <c r="G58" s="460">
        <v>4.3527317937000001E-2</v>
      </c>
      <c r="H58" s="462">
        <v>0</v>
      </c>
      <c r="I58" s="459">
        <v>0</v>
      </c>
      <c r="J58" s="460">
        <v>-4.3527317937000001E-2</v>
      </c>
      <c r="K58" s="463">
        <v>0</v>
      </c>
    </row>
    <row r="59" spans="1:11" ht="14.45" customHeight="1" thickBot="1" x14ac:dyDescent="0.25">
      <c r="A59" s="484" t="s">
        <v>46</v>
      </c>
      <c r="B59" s="464">
        <v>0</v>
      </c>
      <c r="C59" s="464">
        <v>5.5490000000000004</v>
      </c>
      <c r="D59" s="465">
        <v>5.5490000000000004</v>
      </c>
      <c r="E59" s="466" t="s">
        <v>271</v>
      </c>
      <c r="F59" s="464">
        <v>0</v>
      </c>
      <c r="G59" s="465">
        <v>0</v>
      </c>
      <c r="H59" s="467">
        <v>0.76699999999900004</v>
      </c>
      <c r="I59" s="464">
        <v>2.42</v>
      </c>
      <c r="J59" s="465">
        <v>2.42</v>
      </c>
      <c r="K59" s="468" t="s">
        <v>271</v>
      </c>
    </row>
    <row r="60" spans="1:11" ht="14.45" customHeight="1" thickBot="1" x14ac:dyDescent="0.25">
      <c r="A60" s="480" t="s">
        <v>325</v>
      </c>
      <c r="B60" s="464">
        <v>0</v>
      </c>
      <c r="C60" s="464">
        <v>5.5490000000000004</v>
      </c>
      <c r="D60" s="465">
        <v>5.5490000000000004</v>
      </c>
      <c r="E60" s="466" t="s">
        <v>271</v>
      </c>
      <c r="F60" s="464">
        <v>0</v>
      </c>
      <c r="G60" s="465">
        <v>0</v>
      </c>
      <c r="H60" s="467">
        <v>0.76699999999900004</v>
      </c>
      <c r="I60" s="464">
        <v>2.42</v>
      </c>
      <c r="J60" s="465">
        <v>2.42</v>
      </c>
      <c r="K60" s="468" t="s">
        <v>271</v>
      </c>
    </row>
    <row r="61" spans="1:11" ht="14.45" customHeight="1" thickBot="1" x14ac:dyDescent="0.25">
      <c r="A61" s="481" t="s">
        <v>326</v>
      </c>
      <c r="B61" s="459">
        <v>0</v>
      </c>
      <c r="C61" s="459">
        <v>5.5490000000000004</v>
      </c>
      <c r="D61" s="460">
        <v>5.5490000000000004</v>
      </c>
      <c r="E61" s="469" t="s">
        <v>271</v>
      </c>
      <c r="F61" s="459">
        <v>0</v>
      </c>
      <c r="G61" s="460">
        <v>0</v>
      </c>
      <c r="H61" s="462">
        <v>0.76699999999900004</v>
      </c>
      <c r="I61" s="459">
        <v>2.42</v>
      </c>
      <c r="J61" s="460">
        <v>2.42</v>
      </c>
      <c r="K61" s="470" t="s">
        <v>271</v>
      </c>
    </row>
    <row r="62" spans="1:11" ht="14.45" customHeight="1" thickBot="1" x14ac:dyDescent="0.25">
      <c r="A62" s="479" t="s">
        <v>47</v>
      </c>
      <c r="B62" s="459">
        <v>250.70369169163499</v>
      </c>
      <c r="C62" s="459">
        <v>250.85624000000101</v>
      </c>
      <c r="D62" s="460">
        <v>0.152548308365</v>
      </c>
      <c r="E62" s="461">
        <v>1.0006084805019999</v>
      </c>
      <c r="F62" s="459">
        <v>232.885522173428</v>
      </c>
      <c r="G62" s="460">
        <v>174.66414163007099</v>
      </c>
      <c r="H62" s="462">
        <v>18.073629999999</v>
      </c>
      <c r="I62" s="459">
        <v>170.83903000000001</v>
      </c>
      <c r="J62" s="460">
        <v>-3.825111630071</v>
      </c>
      <c r="K62" s="463">
        <v>0.733575142008</v>
      </c>
    </row>
    <row r="63" spans="1:11" ht="14.45" customHeight="1" thickBot="1" x14ac:dyDescent="0.25">
      <c r="A63" s="480" t="s">
        <v>327</v>
      </c>
      <c r="B63" s="464">
        <v>70.492432265722996</v>
      </c>
      <c r="C63" s="464">
        <v>48.898530000000001</v>
      </c>
      <c r="D63" s="465">
        <v>-21.593902265722999</v>
      </c>
      <c r="E63" s="471">
        <v>0.69367063141800001</v>
      </c>
      <c r="F63" s="464">
        <v>48.694805279264997</v>
      </c>
      <c r="G63" s="465">
        <v>36.521103959447998</v>
      </c>
      <c r="H63" s="467">
        <v>2.8987899999989999</v>
      </c>
      <c r="I63" s="464">
        <v>31.690300000000001</v>
      </c>
      <c r="J63" s="465">
        <v>-4.8308039594479997</v>
      </c>
      <c r="K63" s="472">
        <v>0.65079426477299995</v>
      </c>
    </row>
    <row r="64" spans="1:11" ht="14.45" customHeight="1" thickBot="1" x14ac:dyDescent="0.25">
      <c r="A64" s="481" t="s">
        <v>328</v>
      </c>
      <c r="B64" s="459">
        <v>62.554253533694002</v>
      </c>
      <c r="C64" s="459">
        <v>38.337800000000001</v>
      </c>
      <c r="D64" s="460">
        <v>-24.216453533692999</v>
      </c>
      <c r="E64" s="461">
        <v>0.61287279176499998</v>
      </c>
      <c r="F64" s="459">
        <v>38.083097799275997</v>
      </c>
      <c r="G64" s="460">
        <v>28.562323349456999</v>
      </c>
      <c r="H64" s="462">
        <v>2.1411999999989999</v>
      </c>
      <c r="I64" s="459">
        <v>25.432400000000001</v>
      </c>
      <c r="J64" s="460">
        <v>-3.129923349457</v>
      </c>
      <c r="K64" s="463">
        <v>0.66781332059800003</v>
      </c>
    </row>
    <row r="65" spans="1:11" ht="14.45" customHeight="1" thickBot="1" x14ac:dyDescent="0.25">
      <c r="A65" s="481" t="s">
        <v>329</v>
      </c>
      <c r="B65" s="459">
        <v>7.9381787320289998</v>
      </c>
      <c r="C65" s="459">
        <v>10.56073</v>
      </c>
      <c r="D65" s="460">
        <v>2.62255126797</v>
      </c>
      <c r="E65" s="461">
        <v>1.3303719097910001</v>
      </c>
      <c r="F65" s="459">
        <v>10.611707479988</v>
      </c>
      <c r="G65" s="460">
        <v>7.9587806099909999</v>
      </c>
      <c r="H65" s="462">
        <v>0.75758999999900001</v>
      </c>
      <c r="I65" s="459">
        <v>6.2578999999990002</v>
      </c>
      <c r="J65" s="460">
        <v>-1.7008806099910001</v>
      </c>
      <c r="K65" s="463">
        <v>0.58971659478899996</v>
      </c>
    </row>
    <row r="66" spans="1:11" ht="14.45" customHeight="1" thickBot="1" x14ac:dyDescent="0.25">
      <c r="A66" s="480" t="s">
        <v>330</v>
      </c>
      <c r="B66" s="464">
        <v>6.6237773788799998</v>
      </c>
      <c r="C66" s="464">
        <v>5.2016</v>
      </c>
      <c r="D66" s="465">
        <v>-1.4221773788800001</v>
      </c>
      <c r="E66" s="471">
        <v>0.78529209278400003</v>
      </c>
      <c r="F66" s="464">
        <v>5.7687473460219998</v>
      </c>
      <c r="G66" s="465">
        <v>4.3265605095159998</v>
      </c>
      <c r="H66" s="467">
        <v>1.0366</v>
      </c>
      <c r="I66" s="464">
        <v>5.1562999999999999</v>
      </c>
      <c r="J66" s="465">
        <v>0.829739490483</v>
      </c>
      <c r="K66" s="472">
        <v>0.89383356398000002</v>
      </c>
    </row>
    <row r="67" spans="1:11" ht="14.45" customHeight="1" thickBot="1" x14ac:dyDescent="0.25">
      <c r="A67" s="481" t="s">
        <v>331</v>
      </c>
      <c r="B67" s="459">
        <v>1.7036619718299999</v>
      </c>
      <c r="C67" s="459">
        <v>1.62</v>
      </c>
      <c r="D67" s="460">
        <v>-8.3661971830000001E-2</v>
      </c>
      <c r="E67" s="461">
        <v>0.950892857142</v>
      </c>
      <c r="F67" s="459">
        <v>1.9999999999989999</v>
      </c>
      <c r="G67" s="460">
        <v>1.4999999999989999</v>
      </c>
      <c r="H67" s="462">
        <v>0</v>
      </c>
      <c r="I67" s="459">
        <v>1.2150000000000001</v>
      </c>
      <c r="J67" s="460">
        <v>-0.284999999999</v>
      </c>
      <c r="K67" s="463">
        <v>0.60750000000000004</v>
      </c>
    </row>
    <row r="68" spans="1:11" ht="14.45" customHeight="1" thickBot="1" x14ac:dyDescent="0.25">
      <c r="A68" s="481" t="s">
        <v>332</v>
      </c>
      <c r="B68" s="459">
        <v>4.9201154070489999</v>
      </c>
      <c r="C68" s="459">
        <v>3.5815999999999999</v>
      </c>
      <c r="D68" s="460">
        <v>-1.338515407049</v>
      </c>
      <c r="E68" s="461">
        <v>0.72795040434699998</v>
      </c>
      <c r="F68" s="459">
        <v>3.7687473460219998</v>
      </c>
      <c r="G68" s="460">
        <v>2.8265605095159998</v>
      </c>
      <c r="H68" s="462">
        <v>1.0366</v>
      </c>
      <c r="I68" s="459">
        <v>3.9413</v>
      </c>
      <c r="J68" s="460">
        <v>1.1147394904829999</v>
      </c>
      <c r="K68" s="463">
        <v>1.045785147725</v>
      </c>
    </row>
    <row r="69" spans="1:11" ht="14.45" customHeight="1" thickBot="1" x14ac:dyDescent="0.25">
      <c r="A69" s="480" t="s">
        <v>333</v>
      </c>
      <c r="B69" s="464">
        <v>133.47116620482799</v>
      </c>
      <c r="C69" s="464">
        <v>118.12882999999999</v>
      </c>
      <c r="D69" s="465">
        <v>-15.342336204827999</v>
      </c>
      <c r="E69" s="471">
        <v>0.88505130627700002</v>
      </c>
      <c r="F69" s="464">
        <v>122.174190146565</v>
      </c>
      <c r="G69" s="465">
        <v>91.630642609923001</v>
      </c>
      <c r="H69" s="467">
        <v>13.498239999999001</v>
      </c>
      <c r="I69" s="464">
        <v>97.434169999999</v>
      </c>
      <c r="J69" s="465">
        <v>5.8035273900759998</v>
      </c>
      <c r="K69" s="472">
        <v>0.79750207374399995</v>
      </c>
    </row>
    <row r="70" spans="1:11" ht="14.45" customHeight="1" thickBot="1" x14ac:dyDescent="0.25">
      <c r="A70" s="481" t="s">
        <v>334</v>
      </c>
      <c r="B70" s="459">
        <v>118.70620724585601</v>
      </c>
      <c r="C70" s="459">
        <v>104.95072999999999</v>
      </c>
      <c r="D70" s="460">
        <v>-13.755477245854999</v>
      </c>
      <c r="E70" s="461">
        <v>0.88412166840299999</v>
      </c>
      <c r="F70" s="459">
        <v>108.570993282149</v>
      </c>
      <c r="G70" s="460">
        <v>81.428244961611</v>
      </c>
      <c r="H70" s="462">
        <v>8.8169999999990001</v>
      </c>
      <c r="I70" s="459">
        <v>80.766239999999001</v>
      </c>
      <c r="J70" s="460">
        <v>-0.66200496161099998</v>
      </c>
      <c r="K70" s="463">
        <v>0.74390256143300004</v>
      </c>
    </row>
    <row r="71" spans="1:11" ht="14.45" customHeight="1" thickBot="1" x14ac:dyDescent="0.25">
      <c r="A71" s="481" t="s">
        <v>335</v>
      </c>
      <c r="B71" s="459">
        <v>0</v>
      </c>
      <c r="C71" s="459">
        <v>0</v>
      </c>
      <c r="D71" s="460">
        <v>0</v>
      </c>
      <c r="E71" s="461">
        <v>1</v>
      </c>
      <c r="F71" s="459">
        <v>0</v>
      </c>
      <c r="G71" s="460">
        <v>0</v>
      </c>
      <c r="H71" s="462">
        <v>0</v>
      </c>
      <c r="I71" s="459">
        <v>4.9367999999999999</v>
      </c>
      <c r="J71" s="460">
        <v>4.9367999999999999</v>
      </c>
      <c r="K71" s="470" t="s">
        <v>281</v>
      </c>
    </row>
    <row r="72" spans="1:11" ht="14.45" customHeight="1" thickBot="1" x14ac:dyDescent="0.25">
      <c r="A72" s="481" t="s">
        <v>336</v>
      </c>
      <c r="B72" s="459">
        <v>14.764958958972001</v>
      </c>
      <c r="C72" s="459">
        <v>13.178100000000001</v>
      </c>
      <c r="D72" s="460">
        <v>-1.5868589589719999</v>
      </c>
      <c r="E72" s="461">
        <v>0.89252533898700004</v>
      </c>
      <c r="F72" s="459">
        <v>13.603196864416001</v>
      </c>
      <c r="G72" s="460">
        <v>10.202397648311999</v>
      </c>
      <c r="H72" s="462">
        <v>0.46219999999900002</v>
      </c>
      <c r="I72" s="459">
        <v>4.2170800000000002</v>
      </c>
      <c r="J72" s="460">
        <v>-5.9853176483119999</v>
      </c>
      <c r="K72" s="463">
        <v>0.31000654052299997</v>
      </c>
    </row>
    <row r="73" spans="1:11" ht="14.45" customHeight="1" thickBot="1" x14ac:dyDescent="0.25">
      <c r="A73" s="481" t="s">
        <v>337</v>
      </c>
      <c r="B73" s="459">
        <v>0</v>
      </c>
      <c r="C73" s="459">
        <v>0</v>
      </c>
      <c r="D73" s="460">
        <v>0</v>
      </c>
      <c r="E73" s="461">
        <v>1</v>
      </c>
      <c r="F73" s="459">
        <v>0</v>
      </c>
      <c r="G73" s="460">
        <v>0</v>
      </c>
      <c r="H73" s="462">
        <v>4.2190399999989996</v>
      </c>
      <c r="I73" s="459">
        <v>7.514049999999</v>
      </c>
      <c r="J73" s="460">
        <v>7.514049999999</v>
      </c>
      <c r="K73" s="470" t="s">
        <v>281</v>
      </c>
    </row>
    <row r="74" spans="1:11" ht="14.45" customHeight="1" thickBot="1" x14ac:dyDescent="0.25">
      <c r="A74" s="480" t="s">
        <v>338</v>
      </c>
      <c r="B74" s="464">
        <v>39.135097210551997</v>
      </c>
      <c r="C74" s="464">
        <v>49.881509999999999</v>
      </c>
      <c r="D74" s="465">
        <v>10.746412789448</v>
      </c>
      <c r="E74" s="471">
        <v>1.2745978304750001</v>
      </c>
      <c r="F74" s="464">
        <v>56.247779401575002</v>
      </c>
      <c r="G74" s="465">
        <v>42.185834551181003</v>
      </c>
      <c r="H74" s="467">
        <v>0.63999999999900004</v>
      </c>
      <c r="I74" s="464">
        <v>35.654259999998999</v>
      </c>
      <c r="J74" s="465">
        <v>-6.5315745511819996</v>
      </c>
      <c r="K74" s="472">
        <v>0.63387853492699997</v>
      </c>
    </row>
    <row r="75" spans="1:11" ht="14.45" customHeight="1" thickBot="1" x14ac:dyDescent="0.25">
      <c r="A75" s="481" t="s">
        <v>339</v>
      </c>
      <c r="B75" s="459">
        <v>30.505935708654999</v>
      </c>
      <c r="C75" s="459">
        <v>40.758989999999997</v>
      </c>
      <c r="D75" s="460">
        <v>10.253054291345</v>
      </c>
      <c r="E75" s="461">
        <v>1.3361003048469999</v>
      </c>
      <c r="F75" s="459">
        <v>40.103435253828003</v>
      </c>
      <c r="G75" s="460">
        <v>30.077576440371001</v>
      </c>
      <c r="H75" s="462">
        <v>0</v>
      </c>
      <c r="I75" s="459">
        <v>23.930259999998999</v>
      </c>
      <c r="J75" s="460">
        <v>-6.1473164403710001</v>
      </c>
      <c r="K75" s="463">
        <v>0.59671346976899997</v>
      </c>
    </row>
    <row r="76" spans="1:11" ht="14.45" customHeight="1" thickBot="1" x14ac:dyDescent="0.25">
      <c r="A76" s="481" t="s">
        <v>340</v>
      </c>
      <c r="B76" s="459">
        <v>3.1704348531090001</v>
      </c>
      <c r="C76" s="459">
        <v>1.2150000000000001</v>
      </c>
      <c r="D76" s="460">
        <v>-1.955434853109</v>
      </c>
      <c r="E76" s="461">
        <v>0.38322818675999998</v>
      </c>
      <c r="F76" s="459">
        <v>1</v>
      </c>
      <c r="G76" s="460">
        <v>0.75</v>
      </c>
      <c r="H76" s="462">
        <v>0</v>
      </c>
      <c r="I76" s="459">
        <v>0.99999999999900002</v>
      </c>
      <c r="J76" s="460">
        <v>0.24999999999899999</v>
      </c>
      <c r="K76" s="463">
        <v>0.99999999999900002</v>
      </c>
    </row>
    <row r="77" spans="1:11" ht="14.45" customHeight="1" thickBot="1" x14ac:dyDescent="0.25">
      <c r="A77" s="481" t="s">
        <v>341</v>
      </c>
      <c r="B77" s="459">
        <v>4.5576081923240004</v>
      </c>
      <c r="C77" s="459">
        <v>3.51952</v>
      </c>
      <c r="D77" s="460">
        <v>-1.038088192324</v>
      </c>
      <c r="E77" s="461">
        <v>0.77222961068100004</v>
      </c>
      <c r="F77" s="459">
        <v>5.8986602457149999</v>
      </c>
      <c r="G77" s="460">
        <v>4.4239951842860004</v>
      </c>
      <c r="H77" s="462">
        <v>0.63999999999900004</v>
      </c>
      <c r="I77" s="459">
        <v>4.502999999999</v>
      </c>
      <c r="J77" s="460">
        <v>7.9004815712999998E-2</v>
      </c>
      <c r="K77" s="463">
        <v>0.76339368812899999</v>
      </c>
    </row>
    <row r="78" spans="1:11" ht="14.45" customHeight="1" thickBot="1" x14ac:dyDescent="0.25">
      <c r="A78" s="481" t="s">
        <v>342</v>
      </c>
      <c r="B78" s="459">
        <v>0.90111845646199995</v>
      </c>
      <c r="C78" s="459">
        <v>4.3879999999999999</v>
      </c>
      <c r="D78" s="460">
        <v>3.4868815435370002</v>
      </c>
      <c r="E78" s="461">
        <v>4.8695040796580003</v>
      </c>
      <c r="F78" s="459">
        <v>9.2456839020320007</v>
      </c>
      <c r="G78" s="460">
        <v>6.9342629265240001</v>
      </c>
      <c r="H78" s="462">
        <v>0</v>
      </c>
      <c r="I78" s="459">
        <v>6.220999999999</v>
      </c>
      <c r="J78" s="460">
        <v>-0.71326292652400003</v>
      </c>
      <c r="K78" s="463">
        <v>0.67285449793800001</v>
      </c>
    </row>
    <row r="79" spans="1:11" ht="14.45" customHeight="1" thickBot="1" x14ac:dyDescent="0.25">
      <c r="A79" s="480" t="s">
        <v>343</v>
      </c>
      <c r="B79" s="464">
        <v>0.98121863164900003</v>
      </c>
      <c r="C79" s="464">
        <v>28.74577</v>
      </c>
      <c r="D79" s="465">
        <v>27.764551368349998</v>
      </c>
      <c r="E79" s="471">
        <v>29.295988756014001</v>
      </c>
      <c r="F79" s="464">
        <v>0</v>
      </c>
      <c r="G79" s="465">
        <v>0</v>
      </c>
      <c r="H79" s="467">
        <v>0</v>
      </c>
      <c r="I79" s="464">
        <v>0.90399999999900005</v>
      </c>
      <c r="J79" s="465">
        <v>0.90399999999900005</v>
      </c>
      <c r="K79" s="468" t="s">
        <v>271</v>
      </c>
    </row>
    <row r="80" spans="1:11" ht="14.45" customHeight="1" thickBot="1" x14ac:dyDescent="0.25">
      <c r="A80" s="481" t="s">
        <v>344</v>
      </c>
      <c r="B80" s="459">
        <v>0.98121863164900003</v>
      </c>
      <c r="C80" s="459">
        <v>0.75</v>
      </c>
      <c r="D80" s="460">
        <v>-0.231218631649</v>
      </c>
      <c r="E80" s="461">
        <v>0.76435564491700003</v>
      </c>
      <c r="F80" s="459">
        <v>0</v>
      </c>
      <c r="G80" s="460">
        <v>0</v>
      </c>
      <c r="H80" s="462">
        <v>0</v>
      </c>
      <c r="I80" s="459">
        <v>0.90399999999900005</v>
      </c>
      <c r="J80" s="460">
        <v>0.90399999999900005</v>
      </c>
      <c r="K80" s="470" t="s">
        <v>271</v>
      </c>
    </row>
    <row r="81" spans="1:11" ht="14.45" customHeight="1" thickBot="1" x14ac:dyDescent="0.25">
      <c r="A81" s="481" t="s">
        <v>345</v>
      </c>
      <c r="B81" s="459">
        <v>0</v>
      </c>
      <c r="C81" s="459">
        <v>27.99577</v>
      </c>
      <c r="D81" s="460">
        <v>27.99577</v>
      </c>
      <c r="E81" s="469" t="s">
        <v>281</v>
      </c>
      <c r="F81" s="459">
        <v>0</v>
      </c>
      <c r="G81" s="460">
        <v>0</v>
      </c>
      <c r="H81" s="462">
        <v>0</v>
      </c>
      <c r="I81" s="459">
        <v>0</v>
      </c>
      <c r="J81" s="460">
        <v>0</v>
      </c>
      <c r="K81" s="470" t="s">
        <v>271</v>
      </c>
    </row>
    <row r="82" spans="1:11" ht="14.45" customHeight="1" thickBot="1" x14ac:dyDescent="0.25">
      <c r="A82" s="478" t="s">
        <v>48</v>
      </c>
      <c r="B82" s="459">
        <v>8541.5157958603104</v>
      </c>
      <c r="C82" s="459">
        <v>9441.3414200000207</v>
      </c>
      <c r="D82" s="460">
        <v>899.825624139708</v>
      </c>
      <c r="E82" s="461">
        <v>1.1053472996639999</v>
      </c>
      <c r="F82" s="459">
        <v>9277.9296980000108</v>
      </c>
      <c r="G82" s="460">
        <v>6958.4472735000099</v>
      </c>
      <c r="H82" s="462">
        <v>749.16708999999696</v>
      </c>
      <c r="I82" s="459">
        <v>7663.9858299999896</v>
      </c>
      <c r="J82" s="460">
        <v>705.538556499984</v>
      </c>
      <c r="K82" s="463">
        <v>0.82604482675099999</v>
      </c>
    </row>
    <row r="83" spans="1:11" ht="14.45" customHeight="1" thickBot="1" x14ac:dyDescent="0.25">
      <c r="A83" s="484" t="s">
        <v>346</v>
      </c>
      <c r="B83" s="464">
        <v>6298.3557958603096</v>
      </c>
      <c r="C83" s="464">
        <v>6966.4350000000104</v>
      </c>
      <c r="D83" s="465">
        <v>668.07920413970498</v>
      </c>
      <c r="E83" s="471">
        <v>1.1060720012950001</v>
      </c>
      <c r="F83" s="464">
        <v>6591.0900000000101</v>
      </c>
      <c r="G83" s="465">
        <v>4943.3175000000101</v>
      </c>
      <c r="H83" s="467">
        <v>551.670999999998</v>
      </c>
      <c r="I83" s="464">
        <v>5639.5809999999901</v>
      </c>
      <c r="J83" s="465">
        <v>696.26349999998399</v>
      </c>
      <c r="K83" s="472">
        <v>0.85563707975400005</v>
      </c>
    </row>
    <row r="84" spans="1:11" ht="14.45" customHeight="1" thickBot="1" x14ac:dyDescent="0.25">
      <c r="A84" s="480" t="s">
        <v>347</v>
      </c>
      <c r="B84" s="464">
        <v>6230.99999999998</v>
      </c>
      <c r="C84" s="464">
        <v>6843.0960000000096</v>
      </c>
      <c r="D84" s="465">
        <v>612.09600000003104</v>
      </c>
      <c r="E84" s="471">
        <v>1.0982339913329999</v>
      </c>
      <c r="F84" s="464">
        <v>6466.9200000000101</v>
      </c>
      <c r="G84" s="465">
        <v>4850.1900000000096</v>
      </c>
      <c r="H84" s="467">
        <v>551.670999999998</v>
      </c>
      <c r="I84" s="464">
        <v>5634.3289999999897</v>
      </c>
      <c r="J84" s="465">
        <v>784.138999999985</v>
      </c>
      <c r="K84" s="472">
        <v>0.87125385809599998</v>
      </c>
    </row>
    <row r="85" spans="1:11" ht="14.45" customHeight="1" thickBot="1" x14ac:dyDescent="0.25">
      <c r="A85" s="481" t="s">
        <v>348</v>
      </c>
      <c r="B85" s="459">
        <v>6230.99999999998</v>
      </c>
      <c r="C85" s="459">
        <v>6843.0960000000096</v>
      </c>
      <c r="D85" s="460">
        <v>612.09600000003104</v>
      </c>
      <c r="E85" s="461">
        <v>1.0982339913329999</v>
      </c>
      <c r="F85" s="459">
        <v>6466.9200000000101</v>
      </c>
      <c r="G85" s="460">
        <v>4850.1900000000096</v>
      </c>
      <c r="H85" s="462">
        <v>551.670999999998</v>
      </c>
      <c r="I85" s="459">
        <v>5634.3289999999897</v>
      </c>
      <c r="J85" s="460">
        <v>784.138999999985</v>
      </c>
      <c r="K85" s="463">
        <v>0.87125385809599998</v>
      </c>
    </row>
    <row r="86" spans="1:11" ht="14.45" customHeight="1" thickBot="1" x14ac:dyDescent="0.25">
      <c r="A86" s="480" t="s">
        <v>349</v>
      </c>
      <c r="B86" s="464">
        <v>52.505795860326998</v>
      </c>
      <c r="C86" s="464">
        <v>79.2</v>
      </c>
      <c r="D86" s="465">
        <v>26.694204139673001</v>
      </c>
      <c r="E86" s="471">
        <v>1.5084049046820001</v>
      </c>
      <c r="F86" s="464">
        <v>79.2</v>
      </c>
      <c r="G86" s="465">
        <v>59.4</v>
      </c>
      <c r="H86" s="467">
        <v>0</v>
      </c>
      <c r="I86" s="464">
        <v>0</v>
      </c>
      <c r="J86" s="465">
        <v>-59.4</v>
      </c>
      <c r="K86" s="472">
        <v>0</v>
      </c>
    </row>
    <row r="87" spans="1:11" ht="14.45" customHeight="1" thickBot="1" x14ac:dyDescent="0.25">
      <c r="A87" s="481" t="s">
        <v>350</v>
      </c>
      <c r="B87" s="459">
        <v>52.505795860326998</v>
      </c>
      <c r="C87" s="459">
        <v>79.2</v>
      </c>
      <c r="D87" s="460">
        <v>26.694204139673001</v>
      </c>
      <c r="E87" s="461">
        <v>1.5084049046820001</v>
      </c>
      <c r="F87" s="459">
        <v>79.2</v>
      </c>
      <c r="G87" s="460">
        <v>59.4</v>
      </c>
      <c r="H87" s="462">
        <v>0</v>
      </c>
      <c r="I87" s="459">
        <v>0</v>
      </c>
      <c r="J87" s="460">
        <v>-59.4</v>
      </c>
      <c r="K87" s="463">
        <v>0</v>
      </c>
    </row>
    <row r="88" spans="1:11" ht="14.45" customHeight="1" thickBot="1" x14ac:dyDescent="0.25">
      <c r="A88" s="480" t="s">
        <v>351</v>
      </c>
      <c r="B88" s="464">
        <v>14.85</v>
      </c>
      <c r="C88" s="464">
        <v>29.138999999999999</v>
      </c>
      <c r="D88" s="465">
        <v>14.289</v>
      </c>
      <c r="E88" s="471">
        <v>1.962222222222</v>
      </c>
      <c r="F88" s="464">
        <v>27.93</v>
      </c>
      <c r="G88" s="465">
        <v>20.947500000000002</v>
      </c>
      <c r="H88" s="467">
        <v>0</v>
      </c>
      <c r="I88" s="464">
        <v>5.2519999999999998</v>
      </c>
      <c r="J88" s="465">
        <v>-15.695499999999999</v>
      </c>
      <c r="K88" s="472">
        <v>0.188041532402</v>
      </c>
    </row>
    <row r="89" spans="1:11" ht="14.45" customHeight="1" thickBot="1" x14ac:dyDescent="0.25">
      <c r="A89" s="481" t="s">
        <v>352</v>
      </c>
      <c r="B89" s="459">
        <v>14.85</v>
      </c>
      <c r="C89" s="459">
        <v>29.138999999999999</v>
      </c>
      <c r="D89" s="460">
        <v>14.289</v>
      </c>
      <c r="E89" s="461">
        <v>1.962222222222</v>
      </c>
      <c r="F89" s="459">
        <v>27.93</v>
      </c>
      <c r="G89" s="460">
        <v>20.947500000000002</v>
      </c>
      <c r="H89" s="462">
        <v>0</v>
      </c>
      <c r="I89" s="459">
        <v>5.2519999999999998</v>
      </c>
      <c r="J89" s="460">
        <v>-15.695499999999999</v>
      </c>
      <c r="K89" s="463">
        <v>0.188041532402</v>
      </c>
    </row>
    <row r="90" spans="1:11" ht="14.45" customHeight="1" thickBot="1" x14ac:dyDescent="0.25">
      <c r="A90" s="483" t="s">
        <v>353</v>
      </c>
      <c r="B90" s="459">
        <v>0</v>
      </c>
      <c r="C90" s="459">
        <v>15</v>
      </c>
      <c r="D90" s="460">
        <v>15</v>
      </c>
      <c r="E90" s="469" t="s">
        <v>281</v>
      </c>
      <c r="F90" s="459">
        <v>17.04</v>
      </c>
      <c r="G90" s="460">
        <v>12.78</v>
      </c>
      <c r="H90" s="462">
        <v>0</v>
      </c>
      <c r="I90" s="459">
        <v>0</v>
      </c>
      <c r="J90" s="460">
        <v>-12.78</v>
      </c>
      <c r="K90" s="463">
        <v>0</v>
      </c>
    </row>
    <row r="91" spans="1:11" ht="14.45" customHeight="1" thickBot="1" x14ac:dyDescent="0.25">
      <c r="A91" s="481" t="s">
        <v>354</v>
      </c>
      <c r="B91" s="459">
        <v>0</v>
      </c>
      <c r="C91" s="459">
        <v>15</v>
      </c>
      <c r="D91" s="460">
        <v>15</v>
      </c>
      <c r="E91" s="469" t="s">
        <v>281</v>
      </c>
      <c r="F91" s="459">
        <v>17.04</v>
      </c>
      <c r="G91" s="460">
        <v>12.78</v>
      </c>
      <c r="H91" s="462">
        <v>0</v>
      </c>
      <c r="I91" s="459">
        <v>0</v>
      </c>
      <c r="J91" s="460">
        <v>-12.78</v>
      </c>
      <c r="K91" s="463">
        <v>0</v>
      </c>
    </row>
    <row r="92" spans="1:11" ht="14.45" customHeight="1" thickBot="1" x14ac:dyDescent="0.25">
      <c r="A92" s="479" t="s">
        <v>355</v>
      </c>
      <c r="B92" s="459">
        <v>2118.54</v>
      </c>
      <c r="C92" s="459">
        <v>2337.4630000000002</v>
      </c>
      <c r="D92" s="460">
        <v>218.923000000005</v>
      </c>
      <c r="E92" s="461">
        <v>1.1033367319</v>
      </c>
      <c r="F92" s="459">
        <v>2508.7800000000002</v>
      </c>
      <c r="G92" s="460">
        <v>1881.585</v>
      </c>
      <c r="H92" s="462">
        <v>186.46339999999901</v>
      </c>
      <c r="I92" s="459">
        <v>1911.61049</v>
      </c>
      <c r="J92" s="460">
        <v>30.025489999998999</v>
      </c>
      <c r="K92" s="463">
        <v>0.76196816380800003</v>
      </c>
    </row>
    <row r="93" spans="1:11" ht="14.45" customHeight="1" thickBot="1" x14ac:dyDescent="0.25">
      <c r="A93" s="480" t="s">
        <v>356</v>
      </c>
      <c r="B93" s="464">
        <v>560.79000000000099</v>
      </c>
      <c r="C93" s="464">
        <v>618.73900000000106</v>
      </c>
      <c r="D93" s="465">
        <v>57.948999999999003</v>
      </c>
      <c r="E93" s="471">
        <v>1.1033345815719999</v>
      </c>
      <c r="F93" s="464">
        <v>664.08999999999901</v>
      </c>
      <c r="G93" s="465">
        <v>498.06749999999897</v>
      </c>
      <c r="H93" s="467">
        <v>49.648999999998999</v>
      </c>
      <c r="I93" s="464">
        <v>507.08899999999898</v>
      </c>
      <c r="J93" s="465">
        <v>9.0214999999999996</v>
      </c>
      <c r="K93" s="472">
        <v>0.76358475507800005</v>
      </c>
    </row>
    <row r="94" spans="1:11" ht="14.45" customHeight="1" thickBot="1" x14ac:dyDescent="0.25">
      <c r="A94" s="481" t="s">
        <v>357</v>
      </c>
      <c r="B94" s="459">
        <v>560.79000000000099</v>
      </c>
      <c r="C94" s="459">
        <v>618.73900000000106</v>
      </c>
      <c r="D94" s="460">
        <v>57.948999999999003</v>
      </c>
      <c r="E94" s="461">
        <v>1.1033345815719999</v>
      </c>
      <c r="F94" s="459">
        <v>664.08999999999901</v>
      </c>
      <c r="G94" s="460">
        <v>498.06749999999897</v>
      </c>
      <c r="H94" s="462">
        <v>49.648999999998999</v>
      </c>
      <c r="I94" s="459">
        <v>507.08899999999898</v>
      </c>
      <c r="J94" s="460">
        <v>9.0214999999999996</v>
      </c>
      <c r="K94" s="463">
        <v>0.76358475507800005</v>
      </c>
    </row>
    <row r="95" spans="1:11" ht="14.45" customHeight="1" thickBot="1" x14ac:dyDescent="0.25">
      <c r="A95" s="480" t="s">
        <v>358</v>
      </c>
      <c r="B95" s="464">
        <v>1557.75</v>
      </c>
      <c r="C95" s="464">
        <v>1718.7239999999999</v>
      </c>
      <c r="D95" s="465">
        <v>160.97400000000499</v>
      </c>
      <c r="E95" s="471">
        <v>1.103337506018</v>
      </c>
      <c r="F95" s="464">
        <v>1844.69</v>
      </c>
      <c r="G95" s="465">
        <v>1383.5174999999999</v>
      </c>
      <c r="H95" s="467">
        <v>136.81439999999901</v>
      </c>
      <c r="I95" s="464">
        <v>1404.5214900000001</v>
      </c>
      <c r="J95" s="465">
        <v>21.003989999999</v>
      </c>
      <c r="K95" s="472">
        <v>0.76138618954899995</v>
      </c>
    </row>
    <row r="96" spans="1:11" ht="14.45" customHeight="1" thickBot="1" x14ac:dyDescent="0.25">
      <c r="A96" s="481" t="s">
        <v>359</v>
      </c>
      <c r="B96" s="459">
        <v>1557.75</v>
      </c>
      <c r="C96" s="459">
        <v>1718.7239999999999</v>
      </c>
      <c r="D96" s="460">
        <v>160.97400000000499</v>
      </c>
      <c r="E96" s="461">
        <v>1.103337506018</v>
      </c>
      <c r="F96" s="459">
        <v>1844.69</v>
      </c>
      <c r="G96" s="460">
        <v>1383.5174999999999</v>
      </c>
      <c r="H96" s="462">
        <v>136.81439999999901</v>
      </c>
      <c r="I96" s="459">
        <v>1404.5214900000001</v>
      </c>
      <c r="J96" s="460">
        <v>21.003989999999</v>
      </c>
      <c r="K96" s="463">
        <v>0.76138618954899995</v>
      </c>
    </row>
    <row r="97" spans="1:11" ht="14.45" customHeight="1" thickBot="1" x14ac:dyDescent="0.25">
      <c r="A97" s="479" t="s">
        <v>360</v>
      </c>
      <c r="B97" s="459">
        <v>0</v>
      </c>
      <c r="C97" s="459">
        <v>0</v>
      </c>
      <c r="D97" s="460">
        <v>0</v>
      </c>
      <c r="E97" s="461">
        <v>1</v>
      </c>
      <c r="F97" s="459">
        <v>30.469698000000001</v>
      </c>
      <c r="G97" s="460">
        <v>22.852273499999999</v>
      </c>
      <c r="H97" s="462">
        <v>0</v>
      </c>
      <c r="I97" s="459">
        <v>0</v>
      </c>
      <c r="J97" s="460">
        <v>-22.852273499999999</v>
      </c>
      <c r="K97" s="463">
        <v>0</v>
      </c>
    </row>
    <row r="98" spans="1:11" ht="14.45" customHeight="1" thickBot="1" x14ac:dyDescent="0.25">
      <c r="A98" s="480" t="s">
        <v>361</v>
      </c>
      <c r="B98" s="464">
        <v>0</v>
      </c>
      <c r="C98" s="464">
        <v>0</v>
      </c>
      <c r="D98" s="465">
        <v>0</v>
      </c>
      <c r="E98" s="471">
        <v>1</v>
      </c>
      <c r="F98" s="464">
        <v>30.469698000000001</v>
      </c>
      <c r="G98" s="465">
        <v>22.852273499999999</v>
      </c>
      <c r="H98" s="467">
        <v>0</v>
      </c>
      <c r="I98" s="464">
        <v>0</v>
      </c>
      <c r="J98" s="465">
        <v>-22.852273499999999</v>
      </c>
      <c r="K98" s="472">
        <v>0</v>
      </c>
    </row>
    <row r="99" spans="1:11" ht="14.45" customHeight="1" thickBot="1" x14ac:dyDescent="0.25">
      <c r="A99" s="481" t="s">
        <v>362</v>
      </c>
      <c r="B99" s="459">
        <v>0</v>
      </c>
      <c r="C99" s="459">
        <v>0</v>
      </c>
      <c r="D99" s="460">
        <v>0</v>
      </c>
      <c r="E99" s="461">
        <v>1</v>
      </c>
      <c r="F99" s="459">
        <v>30.469698000000001</v>
      </c>
      <c r="G99" s="460">
        <v>22.852273499999999</v>
      </c>
      <c r="H99" s="462">
        <v>0</v>
      </c>
      <c r="I99" s="459">
        <v>0</v>
      </c>
      <c r="J99" s="460">
        <v>-22.852273499999999</v>
      </c>
      <c r="K99" s="463">
        <v>0</v>
      </c>
    </row>
    <row r="100" spans="1:11" ht="14.45" customHeight="1" thickBot="1" x14ac:dyDescent="0.25">
      <c r="A100" s="479" t="s">
        <v>363</v>
      </c>
      <c r="B100" s="459">
        <v>124.62</v>
      </c>
      <c r="C100" s="459">
        <v>137.44342</v>
      </c>
      <c r="D100" s="460">
        <v>12.823419999999</v>
      </c>
      <c r="E100" s="461">
        <v>1.102900176536</v>
      </c>
      <c r="F100" s="459">
        <v>147.59</v>
      </c>
      <c r="G100" s="460">
        <v>110.6925</v>
      </c>
      <c r="H100" s="462">
        <v>11.032690000000001</v>
      </c>
      <c r="I100" s="459">
        <v>112.79434000000001</v>
      </c>
      <c r="J100" s="460">
        <v>2.1018400000000002</v>
      </c>
      <c r="K100" s="463">
        <v>0.76424107324299995</v>
      </c>
    </row>
    <row r="101" spans="1:11" ht="14.45" customHeight="1" thickBot="1" x14ac:dyDescent="0.25">
      <c r="A101" s="480" t="s">
        <v>364</v>
      </c>
      <c r="B101" s="464">
        <v>124.62</v>
      </c>
      <c r="C101" s="464">
        <v>137.44342</v>
      </c>
      <c r="D101" s="465">
        <v>12.823419999999</v>
      </c>
      <c r="E101" s="471">
        <v>1.102900176536</v>
      </c>
      <c r="F101" s="464">
        <v>147.59</v>
      </c>
      <c r="G101" s="465">
        <v>110.6925</v>
      </c>
      <c r="H101" s="467">
        <v>11.032690000000001</v>
      </c>
      <c r="I101" s="464">
        <v>112.79434000000001</v>
      </c>
      <c r="J101" s="465">
        <v>2.1018400000000002</v>
      </c>
      <c r="K101" s="472">
        <v>0.76424107324299995</v>
      </c>
    </row>
    <row r="102" spans="1:11" ht="14.45" customHeight="1" thickBot="1" x14ac:dyDescent="0.25">
      <c r="A102" s="481" t="s">
        <v>365</v>
      </c>
      <c r="B102" s="459">
        <v>124.62</v>
      </c>
      <c r="C102" s="459">
        <v>137.44342</v>
      </c>
      <c r="D102" s="460">
        <v>12.823419999999</v>
      </c>
      <c r="E102" s="461">
        <v>1.102900176536</v>
      </c>
      <c r="F102" s="459">
        <v>147.59</v>
      </c>
      <c r="G102" s="460">
        <v>110.6925</v>
      </c>
      <c r="H102" s="462">
        <v>11.032690000000001</v>
      </c>
      <c r="I102" s="459">
        <v>112.79434000000001</v>
      </c>
      <c r="J102" s="460">
        <v>2.1018400000000002</v>
      </c>
      <c r="K102" s="463">
        <v>0.76424107324299995</v>
      </c>
    </row>
    <row r="103" spans="1:11" ht="14.45" customHeight="1" thickBot="1" x14ac:dyDescent="0.25">
      <c r="A103" s="478" t="s">
        <v>366</v>
      </c>
      <c r="B103" s="459">
        <v>0</v>
      </c>
      <c r="C103" s="459">
        <v>6.3583499999989996</v>
      </c>
      <c r="D103" s="460">
        <v>6.3583499999989996</v>
      </c>
      <c r="E103" s="469" t="s">
        <v>271</v>
      </c>
      <c r="F103" s="459">
        <v>0</v>
      </c>
      <c r="G103" s="460">
        <v>0</v>
      </c>
      <c r="H103" s="462">
        <v>1.4469499999990001</v>
      </c>
      <c r="I103" s="459">
        <v>1.4469499999990001</v>
      </c>
      <c r="J103" s="460">
        <v>1.4469499999990001</v>
      </c>
      <c r="K103" s="470" t="s">
        <v>271</v>
      </c>
    </row>
    <row r="104" spans="1:11" ht="14.45" customHeight="1" thickBot="1" x14ac:dyDescent="0.25">
      <c r="A104" s="479" t="s">
        <v>367</v>
      </c>
      <c r="B104" s="459">
        <v>0</v>
      </c>
      <c r="C104" s="459">
        <v>6.3583499999989996</v>
      </c>
      <c r="D104" s="460">
        <v>6.3583499999989996</v>
      </c>
      <c r="E104" s="469" t="s">
        <v>271</v>
      </c>
      <c r="F104" s="459">
        <v>0</v>
      </c>
      <c r="G104" s="460">
        <v>0</v>
      </c>
      <c r="H104" s="462">
        <v>1.4469499999990001</v>
      </c>
      <c r="I104" s="459">
        <v>1.4469499999990001</v>
      </c>
      <c r="J104" s="460">
        <v>1.4469499999990001</v>
      </c>
      <c r="K104" s="470" t="s">
        <v>271</v>
      </c>
    </row>
    <row r="105" spans="1:11" ht="14.45" customHeight="1" thickBot="1" x14ac:dyDescent="0.25">
      <c r="A105" s="480" t="s">
        <v>368</v>
      </c>
      <c r="B105" s="464">
        <v>0</v>
      </c>
      <c r="C105" s="464">
        <v>5.9083500000000004</v>
      </c>
      <c r="D105" s="465">
        <v>5.9083500000000004</v>
      </c>
      <c r="E105" s="466" t="s">
        <v>271</v>
      </c>
      <c r="F105" s="464">
        <v>0</v>
      </c>
      <c r="G105" s="465">
        <v>0</v>
      </c>
      <c r="H105" s="467">
        <v>1.4469499999990001</v>
      </c>
      <c r="I105" s="464">
        <v>1.4469499999990001</v>
      </c>
      <c r="J105" s="465">
        <v>1.4469499999990001</v>
      </c>
      <c r="K105" s="468" t="s">
        <v>271</v>
      </c>
    </row>
    <row r="106" spans="1:11" ht="14.45" customHeight="1" thickBot="1" x14ac:dyDescent="0.25">
      <c r="A106" s="481" t="s">
        <v>369</v>
      </c>
      <c r="B106" s="459">
        <v>0</v>
      </c>
      <c r="C106" s="459">
        <v>5.9083500000000004</v>
      </c>
      <c r="D106" s="460">
        <v>5.9083500000000004</v>
      </c>
      <c r="E106" s="469" t="s">
        <v>271</v>
      </c>
      <c r="F106" s="459">
        <v>0</v>
      </c>
      <c r="G106" s="460">
        <v>0</v>
      </c>
      <c r="H106" s="462">
        <v>1.4469499999990001</v>
      </c>
      <c r="I106" s="459">
        <v>1.4469499999990001</v>
      </c>
      <c r="J106" s="460">
        <v>1.4469499999990001</v>
      </c>
      <c r="K106" s="470" t="s">
        <v>271</v>
      </c>
    </row>
    <row r="107" spans="1:11" ht="14.45" customHeight="1" thickBot="1" x14ac:dyDescent="0.25">
      <c r="A107" s="483" t="s">
        <v>370</v>
      </c>
      <c r="B107" s="459">
        <v>0</v>
      </c>
      <c r="C107" s="459">
        <v>0.45</v>
      </c>
      <c r="D107" s="460">
        <v>0.45</v>
      </c>
      <c r="E107" s="469" t="s">
        <v>281</v>
      </c>
      <c r="F107" s="459">
        <v>0</v>
      </c>
      <c r="G107" s="460">
        <v>0</v>
      </c>
      <c r="H107" s="462">
        <v>0</v>
      </c>
      <c r="I107" s="459">
        <v>0</v>
      </c>
      <c r="J107" s="460">
        <v>0</v>
      </c>
      <c r="K107" s="470" t="s">
        <v>271</v>
      </c>
    </row>
    <row r="108" spans="1:11" ht="14.45" customHeight="1" thickBot="1" x14ac:dyDescent="0.25">
      <c r="A108" s="481" t="s">
        <v>371</v>
      </c>
      <c r="B108" s="459">
        <v>0</v>
      </c>
      <c r="C108" s="459">
        <v>0.45</v>
      </c>
      <c r="D108" s="460">
        <v>0.45</v>
      </c>
      <c r="E108" s="469" t="s">
        <v>281</v>
      </c>
      <c r="F108" s="459">
        <v>0</v>
      </c>
      <c r="G108" s="460">
        <v>0</v>
      </c>
      <c r="H108" s="462">
        <v>0</v>
      </c>
      <c r="I108" s="459">
        <v>0</v>
      </c>
      <c r="J108" s="460">
        <v>0</v>
      </c>
      <c r="K108" s="470" t="s">
        <v>271</v>
      </c>
    </row>
    <row r="109" spans="1:11" ht="14.45" customHeight="1" thickBot="1" x14ac:dyDescent="0.25">
      <c r="A109" s="478" t="s">
        <v>372</v>
      </c>
      <c r="B109" s="459">
        <v>383.56989741514701</v>
      </c>
      <c r="C109" s="459">
        <v>615.87318000000096</v>
      </c>
      <c r="D109" s="460">
        <v>232.30328258485301</v>
      </c>
      <c r="E109" s="461">
        <v>1.605634811674</v>
      </c>
      <c r="F109" s="459">
        <v>471.99999999999301</v>
      </c>
      <c r="G109" s="460">
        <v>353.999999999995</v>
      </c>
      <c r="H109" s="462">
        <v>39.362929999998997</v>
      </c>
      <c r="I109" s="459">
        <v>358.62338999999997</v>
      </c>
      <c r="J109" s="460">
        <v>4.623390000004</v>
      </c>
      <c r="K109" s="463">
        <v>0.75979531779599996</v>
      </c>
    </row>
    <row r="110" spans="1:11" ht="14.45" customHeight="1" thickBot="1" x14ac:dyDescent="0.25">
      <c r="A110" s="479" t="s">
        <v>373</v>
      </c>
      <c r="B110" s="459">
        <v>383.56989741514701</v>
      </c>
      <c r="C110" s="459">
        <v>478.92300000000103</v>
      </c>
      <c r="D110" s="460">
        <v>95.353102584853005</v>
      </c>
      <c r="E110" s="461">
        <v>1.248593811004</v>
      </c>
      <c r="F110" s="459">
        <v>471.99999999999301</v>
      </c>
      <c r="G110" s="460">
        <v>353.999999999995</v>
      </c>
      <c r="H110" s="462">
        <v>39.362929999998997</v>
      </c>
      <c r="I110" s="459">
        <v>354.89539000000002</v>
      </c>
      <c r="J110" s="460">
        <v>0.89539000000400004</v>
      </c>
      <c r="K110" s="463">
        <v>0.75189701271099996</v>
      </c>
    </row>
    <row r="111" spans="1:11" ht="14.45" customHeight="1" thickBot="1" x14ac:dyDescent="0.25">
      <c r="A111" s="480" t="s">
        <v>374</v>
      </c>
      <c r="B111" s="464">
        <v>383.56989741514701</v>
      </c>
      <c r="C111" s="464">
        <v>478.92300000000103</v>
      </c>
      <c r="D111" s="465">
        <v>95.353102584853005</v>
      </c>
      <c r="E111" s="471">
        <v>1.248593811004</v>
      </c>
      <c r="F111" s="464">
        <v>471.99999999999301</v>
      </c>
      <c r="G111" s="465">
        <v>353.999999999995</v>
      </c>
      <c r="H111" s="467">
        <v>39.362929999998997</v>
      </c>
      <c r="I111" s="464">
        <v>354.89539000000002</v>
      </c>
      <c r="J111" s="465">
        <v>0.89539000000400004</v>
      </c>
      <c r="K111" s="472">
        <v>0.75189701271099996</v>
      </c>
    </row>
    <row r="112" spans="1:11" ht="14.45" customHeight="1" thickBot="1" x14ac:dyDescent="0.25">
      <c r="A112" s="481" t="s">
        <v>375</v>
      </c>
      <c r="B112" s="459">
        <v>180.718470424896</v>
      </c>
      <c r="C112" s="459">
        <v>272.67599999999999</v>
      </c>
      <c r="D112" s="460">
        <v>91.957529575104004</v>
      </c>
      <c r="E112" s="461">
        <v>1.508844111832</v>
      </c>
      <c r="F112" s="459">
        <v>272.99999999999602</v>
      </c>
      <c r="G112" s="460">
        <v>204.74999999999699</v>
      </c>
      <c r="H112" s="462">
        <v>22.795499999998999</v>
      </c>
      <c r="I112" s="459">
        <v>205.15948</v>
      </c>
      <c r="J112" s="460">
        <v>0.40948000000200002</v>
      </c>
      <c r="K112" s="463">
        <v>0.75149992673900001</v>
      </c>
    </row>
    <row r="113" spans="1:11" ht="14.45" customHeight="1" thickBot="1" x14ac:dyDescent="0.25">
      <c r="A113" s="481" t="s">
        <v>376</v>
      </c>
      <c r="B113" s="459">
        <v>176.40049277556199</v>
      </c>
      <c r="C113" s="459">
        <v>178.38</v>
      </c>
      <c r="D113" s="460">
        <v>1.9795072244380001</v>
      </c>
      <c r="E113" s="461">
        <v>1.0112216649350001</v>
      </c>
      <c r="F113" s="459">
        <v>171.99999999999699</v>
      </c>
      <c r="G113" s="460">
        <v>128.99999999999801</v>
      </c>
      <c r="H113" s="462">
        <v>14.254999999999001</v>
      </c>
      <c r="I113" s="459">
        <v>128.92400000000001</v>
      </c>
      <c r="J113" s="460">
        <v>-7.5999999998000001E-2</v>
      </c>
      <c r="K113" s="463">
        <v>0.74955813953399997</v>
      </c>
    </row>
    <row r="114" spans="1:11" ht="14.45" customHeight="1" thickBot="1" x14ac:dyDescent="0.25">
      <c r="A114" s="481" t="s">
        <v>377</v>
      </c>
      <c r="B114" s="459">
        <v>26.450934214688999</v>
      </c>
      <c r="C114" s="459">
        <v>27.867000000000001</v>
      </c>
      <c r="D114" s="460">
        <v>1.41606578531</v>
      </c>
      <c r="E114" s="461">
        <v>1.0535355679239999</v>
      </c>
      <c r="F114" s="459">
        <v>26.999999999999002</v>
      </c>
      <c r="G114" s="460">
        <v>20.249999999999002</v>
      </c>
      <c r="H114" s="462">
        <v>2.3124299999989999</v>
      </c>
      <c r="I114" s="459">
        <v>20.811910000000001</v>
      </c>
      <c r="J114" s="460">
        <v>0.56191000000000002</v>
      </c>
      <c r="K114" s="463">
        <v>0.77081148148099998</v>
      </c>
    </row>
    <row r="115" spans="1:11" ht="14.45" customHeight="1" thickBot="1" x14ac:dyDescent="0.25">
      <c r="A115" s="479" t="s">
        <v>378</v>
      </c>
      <c r="B115" s="459">
        <v>0</v>
      </c>
      <c r="C115" s="459">
        <v>136.95017999999999</v>
      </c>
      <c r="D115" s="460">
        <v>136.95017999999999</v>
      </c>
      <c r="E115" s="469" t="s">
        <v>271</v>
      </c>
      <c r="F115" s="459">
        <v>0</v>
      </c>
      <c r="G115" s="460">
        <v>0</v>
      </c>
      <c r="H115" s="462">
        <v>0</v>
      </c>
      <c r="I115" s="459">
        <v>3.7280000000000002</v>
      </c>
      <c r="J115" s="460">
        <v>3.7280000000000002</v>
      </c>
      <c r="K115" s="470" t="s">
        <v>271</v>
      </c>
    </row>
    <row r="116" spans="1:11" ht="14.45" customHeight="1" thickBot="1" x14ac:dyDescent="0.25">
      <c r="A116" s="480" t="s">
        <v>379</v>
      </c>
      <c r="B116" s="464">
        <v>0</v>
      </c>
      <c r="C116" s="464">
        <v>4.8388600000000004</v>
      </c>
      <c r="D116" s="465">
        <v>4.8388600000000004</v>
      </c>
      <c r="E116" s="466" t="s">
        <v>281</v>
      </c>
      <c r="F116" s="464">
        <v>0</v>
      </c>
      <c r="G116" s="465">
        <v>0</v>
      </c>
      <c r="H116" s="467">
        <v>0</v>
      </c>
      <c r="I116" s="464">
        <v>0</v>
      </c>
      <c r="J116" s="465">
        <v>0</v>
      </c>
      <c r="K116" s="468" t="s">
        <v>271</v>
      </c>
    </row>
    <row r="117" spans="1:11" ht="14.45" customHeight="1" thickBot="1" x14ac:dyDescent="0.25">
      <c r="A117" s="481" t="s">
        <v>380</v>
      </c>
      <c r="B117" s="459">
        <v>0</v>
      </c>
      <c r="C117" s="459">
        <v>4.8388600000000004</v>
      </c>
      <c r="D117" s="460">
        <v>4.8388600000000004</v>
      </c>
      <c r="E117" s="469" t="s">
        <v>281</v>
      </c>
      <c r="F117" s="459">
        <v>0</v>
      </c>
      <c r="G117" s="460">
        <v>0</v>
      </c>
      <c r="H117" s="462">
        <v>0</v>
      </c>
      <c r="I117" s="459">
        <v>0</v>
      </c>
      <c r="J117" s="460">
        <v>0</v>
      </c>
      <c r="K117" s="470" t="s">
        <v>271</v>
      </c>
    </row>
    <row r="118" spans="1:11" ht="14.45" customHeight="1" thickBot="1" x14ac:dyDescent="0.25">
      <c r="A118" s="480" t="s">
        <v>381</v>
      </c>
      <c r="B118" s="464">
        <v>0</v>
      </c>
      <c r="C118" s="464">
        <v>132.11132000000001</v>
      </c>
      <c r="D118" s="465">
        <v>132.11132000000001</v>
      </c>
      <c r="E118" s="466" t="s">
        <v>271</v>
      </c>
      <c r="F118" s="464">
        <v>0</v>
      </c>
      <c r="G118" s="465">
        <v>0</v>
      </c>
      <c r="H118" s="467">
        <v>0</v>
      </c>
      <c r="I118" s="464">
        <v>0</v>
      </c>
      <c r="J118" s="465">
        <v>0</v>
      </c>
      <c r="K118" s="468" t="s">
        <v>271</v>
      </c>
    </row>
    <row r="119" spans="1:11" ht="14.45" customHeight="1" thickBot="1" x14ac:dyDescent="0.25">
      <c r="A119" s="481" t="s">
        <v>382</v>
      </c>
      <c r="B119" s="459">
        <v>0</v>
      </c>
      <c r="C119" s="459">
        <v>132.11132000000001</v>
      </c>
      <c r="D119" s="460">
        <v>132.11132000000001</v>
      </c>
      <c r="E119" s="469" t="s">
        <v>271</v>
      </c>
      <c r="F119" s="459">
        <v>0</v>
      </c>
      <c r="G119" s="460">
        <v>0</v>
      </c>
      <c r="H119" s="462">
        <v>0</v>
      </c>
      <c r="I119" s="459">
        <v>0</v>
      </c>
      <c r="J119" s="460">
        <v>0</v>
      </c>
      <c r="K119" s="470" t="s">
        <v>271</v>
      </c>
    </row>
    <row r="120" spans="1:11" ht="14.45" customHeight="1" thickBot="1" x14ac:dyDescent="0.25">
      <c r="A120" s="480" t="s">
        <v>383</v>
      </c>
      <c r="B120" s="464">
        <v>0</v>
      </c>
      <c r="C120" s="464">
        <v>0</v>
      </c>
      <c r="D120" s="465">
        <v>0</v>
      </c>
      <c r="E120" s="471">
        <v>1</v>
      </c>
      <c r="F120" s="464">
        <v>0</v>
      </c>
      <c r="G120" s="465">
        <v>0</v>
      </c>
      <c r="H120" s="467">
        <v>0</v>
      </c>
      <c r="I120" s="464">
        <v>3.7280000000000002</v>
      </c>
      <c r="J120" s="465">
        <v>3.7280000000000002</v>
      </c>
      <c r="K120" s="468" t="s">
        <v>281</v>
      </c>
    </row>
    <row r="121" spans="1:11" ht="14.45" customHeight="1" thickBot="1" x14ac:dyDescent="0.25">
      <c r="A121" s="481" t="s">
        <v>384</v>
      </c>
      <c r="B121" s="459">
        <v>0</v>
      </c>
      <c r="C121" s="459">
        <v>0</v>
      </c>
      <c r="D121" s="460">
        <v>0</v>
      </c>
      <c r="E121" s="461">
        <v>1</v>
      </c>
      <c r="F121" s="459">
        <v>0</v>
      </c>
      <c r="G121" s="460">
        <v>0</v>
      </c>
      <c r="H121" s="462">
        <v>0</v>
      </c>
      <c r="I121" s="459">
        <v>3.7280000000000002</v>
      </c>
      <c r="J121" s="460">
        <v>3.7280000000000002</v>
      </c>
      <c r="K121" s="470" t="s">
        <v>281</v>
      </c>
    </row>
    <row r="122" spans="1:11" ht="14.45" customHeight="1" thickBot="1" x14ac:dyDescent="0.25">
      <c r="A122" s="477" t="s">
        <v>385</v>
      </c>
      <c r="B122" s="459">
        <v>8257.3330004803302</v>
      </c>
      <c r="C122" s="459">
        <v>9073.1452399999998</v>
      </c>
      <c r="D122" s="460">
        <v>815.81223951966797</v>
      </c>
      <c r="E122" s="461">
        <v>1.098798515146</v>
      </c>
      <c r="F122" s="459">
        <v>9703.2305486421592</v>
      </c>
      <c r="G122" s="460">
        <v>7277.4229114816198</v>
      </c>
      <c r="H122" s="462">
        <v>707.99600999999996</v>
      </c>
      <c r="I122" s="459">
        <v>6714.1877699999995</v>
      </c>
      <c r="J122" s="460">
        <v>-563.23514148162099</v>
      </c>
      <c r="K122" s="463">
        <v>0.69195385354799999</v>
      </c>
    </row>
    <row r="123" spans="1:11" ht="14.45" customHeight="1" thickBot="1" x14ac:dyDescent="0.25">
      <c r="A123" s="478" t="s">
        <v>386</v>
      </c>
      <c r="B123" s="459">
        <v>8244.4294526049598</v>
      </c>
      <c r="C123" s="459">
        <v>9022.4617999999991</v>
      </c>
      <c r="D123" s="460">
        <v>778.03234739503796</v>
      </c>
      <c r="E123" s="461">
        <v>1.094370671963</v>
      </c>
      <c r="F123" s="459">
        <v>9703.2305486421592</v>
      </c>
      <c r="G123" s="460">
        <v>7277.4229114816198</v>
      </c>
      <c r="H123" s="462">
        <v>707.99357999999995</v>
      </c>
      <c r="I123" s="459">
        <v>6709.6831499999998</v>
      </c>
      <c r="J123" s="460">
        <v>-567.73976148162103</v>
      </c>
      <c r="K123" s="463">
        <v>0.69148961434599998</v>
      </c>
    </row>
    <row r="124" spans="1:11" ht="14.45" customHeight="1" thickBot="1" x14ac:dyDescent="0.25">
      <c r="A124" s="479" t="s">
        <v>387</v>
      </c>
      <c r="B124" s="459">
        <v>8244.4294526049598</v>
      </c>
      <c r="C124" s="459">
        <v>9022.4617999999991</v>
      </c>
      <c r="D124" s="460">
        <v>778.03234739503796</v>
      </c>
      <c r="E124" s="461">
        <v>1.094370671963</v>
      </c>
      <c r="F124" s="459">
        <v>9703.2305486421592</v>
      </c>
      <c r="G124" s="460">
        <v>7277.4229114816198</v>
      </c>
      <c r="H124" s="462">
        <v>707.99357999999995</v>
      </c>
      <c r="I124" s="459">
        <v>6709.6831499999998</v>
      </c>
      <c r="J124" s="460">
        <v>-567.73976148162103</v>
      </c>
      <c r="K124" s="463">
        <v>0.69148961434599998</v>
      </c>
    </row>
    <row r="125" spans="1:11" ht="14.45" customHeight="1" thickBot="1" x14ac:dyDescent="0.25">
      <c r="A125" s="480" t="s">
        <v>388</v>
      </c>
      <c r="B125" s="464">
        <v>5430.3411123862597</v>
      </c>
      <c r="C125" s="464">
        <v>5787.3449199999995</v>
      </c>
      <c r="D125" s="465">
        <v>357.00380761374498</v>
      </c>
      <c r="E125" s="471">
        <v>1.065742427634</v>
      </c>
      <c r="F125" s="464">
        <v>5354.2249989290303</v>
      </c>
      <c r="G125" s="465">
        <v>4015.66874919677</v>
      </c>
      <c r="H125" s="467">
        <v>398.90982000000002</v>
      </c>
      <c r="I125" s="464">
        <v>4098.0879599999998</v>
      </c>
      <c r="J125" s="465">
        <v>82.419210803224999</v>
      </c>
      <c r="K125" s="472">
        <v>0.76539330357199997</v>
      </c>
    </row>
    <row r="126" spans="1:11" ht="14.45" customHeight="1" thickBot="1" x14ac:dyDescent="0.25">
      <c r="A126" s="481" t="s">
        <v>389</v>
      </c>
      <c r="B126" s="459">
        <v>4003.8198565799898</v>
      </c>
      <c r="C126" s="459">
        <v>4363.09303</v>
      </c>
      <c r="D126" s="460">
        <v>359.27317342000902</v>
      </c>
      <c r="E126" s="461">
        <v>1.0897326019369999</v>
      </c>
      <c r="F126" s="459">
        <v>4027.9550430406898</v>
      </c>
      <c r="G126" s="460">
        <v>3020.9662822805199</v>
      </c>
      <c r="H126" s="462">
        <v>280.50767000000002</v>
      </c>
      <c r="I126" s="459">
        <v>3122.0498600000001</v>
      </c>
      <c r="J126" s="460">
        <v>101.08357771948</v>
      </c>
      <c r="K126" s="463">
        <v>0.77509550792799997</v>
      </c>
    </row>
    <row r="127" spans="1:11" ht="14.45" customHeight="1" thickBot="1" x14ac:dyDescent="0.25">
      <c r="A127" s="481" t="s">
        <v>390</v>
      </c>
      <c r="B127" s="459">
        <v>3.2484841287949999</v>
      </c>
      <c r="C127" s="459">
        <v>0.60719999999999996</v>
      </c>
      <c r="D127" s="460">
        <v>-2.6412841287950002</v>
      </c>
      <c r="E127" s="461">
        <v>0.186917951858</v>
      </c>
      <c r="F127" s="459">
        <v>0.63482842798899997</v>
      </c>
      <c r="G127" s="460">
        <v>0.476121320992</v>
      </c>
      <c r="H127" s="462">
        <v>0</v>
      </c>
      <c r="I127" s="459">
        <v>0</v>
      </c>
      <c r="J127" s="460">
        <v>-0.476121320992</v>
      </c>
      <c r="K127" s="463">
        <v>0</v>
      </c>
    </row>
    <row r="128" spans="1:11" ht="14.45" customHeight="1" thickBot="1" x14ac:dyDescent="0.25">
      <c r="A128" s="481" t="s">
        <v>391</v>
      </c>
      <c r="B128" s="459">
        <v>129.74258230144301</v>
      </c>
      <c r="C128" s="459">
        <v>112.8772</v>
      </c>
      <c r="D128" s="460">
        <v>-16.865382301442999</v>
      </c>
      <c r="E128" s="461">
        <v>0.87000888989299996</v>
      </c>
      <c r="F128" s="459">
        <v>131.63512746034999</v>
      </c>
      <c r="G128" s="460">
        <v>98.726345595262003</v>
      </c>
      <c r="H128" s="462">
        <v>8.8206000000000007</v>
      </c>
      <c r="I128" s="459">
        <v>47.41724</v>
      </c>
      <c r="J128" s="460">
        <v>-51.309105595261997</v>
      </c>
      <c r="K128" s="463">
        <v>0.36021722252100002</v>
      </c>
    </row>
    <row r="129" spans="1:11" ht="14.45" customHeight="1" thickBot="1" x14ac:dyDescent="0.25">
      <c r="A129" s="481" t="s">
        <v>392</v>
      </c>
      <c r="B129" s="459">
        <v>1293.53018937602</v>
      </c>
      <c r="C129" s="459">
        <v>1310.76749</v>
      </c>
      <c r="D129" s="460">
        <v>17.237300623974999</v>
      </c>
      <c r="E129" s="461">
        <v>1.0133257814659999</v>
      </c>
      <c r="F129" s="459">
        <v>1194</v>
      </c>
      <c r="G129" s="460">
        <v>895.5</v>
      </c>
      <c r="H129" s="462">
        <v>109.58154999999999</v>
      </c>
      <c r="I129" s="459">
        <v>928.62085999999999</v>
      </c>
      <c r="J129" s="460">
        <v>33.120859999998999</v>
      </c>
      <c r="K129" s="463">
        <v>0.777739413735</v>
      </c>
    </row>
    <row r="130" spans="1:11" ht="14.45" customHeight="1" thickBot="1" x14ac:dyDescent="0.25">
      <c r="A130" s="480" t="s">
        <v>393</v>
      </c>
      <c r="B130" s="464">
        <v>0.47363924682199998</v>
      </c>
      <c r="C130" s="464">
        <v>1.66134</v>
      </c>
      <c r="D130" s="465">
        <v>1.1877007531770001</v>
      </c>
      <c r="E130" s="471">
        <v>3.5076062871559999</v>
      </c>
      <c r="F130" s="464">
        <v>0</v>
      </c>
      <c r="G130" s="465">
        <v>0</v>
      </c>
      <c r="H130" s="467">
        <v>0</v>
      </c>
      <c r="I130" s="464">
        <v>0</v>
      </c>
      <c r="J130" s="465">
        <v>0</v>
      </c>
      <c r="K130" s="468" t="s">
        <v>271</v>
      </c>
    </row>
    <row r="131" spans="1:11" ht="14.45" customHeight="1" thickBot="1" x14ac:dyDescent="0.25">
      <c r="A131" s="481" t="s">
        <v>394</v>
      </c>
      <c r="B131" s="459">
        <v>0.47363924682199998</v>
      </c>
      <c r="C131" s="459">
        <v>1.66134</v>
      </c>
      <c r="D131" s="460">
        <v>1.1877007531770001</v>
      </c>
      <c r="E131" s="461">
        <v>3.5076062871559999</v>
      </c>
      <c r="F131" s="459">
        <v>0</v>
      </c>
      <c r="G131" s="460">
        <v>0</v>
      </c>
      <c r="H131" s="462">
        <v>0</v>
      </c>
      <c r="I131" s="459">
        <v>0</v>
      </c>
      <c r="J131" s="460">
        <v>0</v>
      </c>
      <c r="K131" s="470" t="s">
        <v>271</v>
      </c>
    </row>
    <row r="132" spans="1:11" ht="14.45" customHeight="1" thickBot="1" x14ac:dyDescent="0.25">
      <c r="A132" s="483" t="s">
        <v>395</v>
      </c>
      <c r="B132" s="459">
        <v>0.77200116458500001</v>
      </c>
      <c r="C132" s="459">
        <v>0.89756000000000002</v>
      </c>
      <c r="D132" s="460">
        <v>0.12555883541400001</v>
      </c>
      <c r="E132" s="461">
        <v>1.1626407331669999</v>
      </c>
      <c r="F132" s="459">
        <v>0</v>
      </c>
      <c r="G132" s="460">
        <v>0</v>
      </c>
      <c r="H132" s="462">
        <v>0</v>
      </c>
      <c r="I132" s="459">
        <v>2.0070000000000001</v>
      </c>
      <c r="J132" s="460">
        <v>2.0070000000000001</v>
      </c>
      <c r="K132" s="470" t="s">
        <v>271</v>
      </c>
    </row>
    <row r="133" spans="1:11" ht="14.45" customHeight="1" thickBot="1" x14ac:dyDescent="0.25">
      <c r="A133" s="481" t="s">
        <v>396</v>
      </c>
      <c r="B133" s="459">
        <v>0</v>
      </c>
      <c r="C133" s="459">
        <v>0</v>
      </c>
      <c r="D133" s="460">
        <v>0</v>
      </c>
      <c r="E133" s="461">
        <v>1</v>
      </c>
      <c r="F133" s="459">
        <v>0</v>
      </c>
      <c r="G133" s="460">
        <v>0</v>
      </c>
      <c r="H133" s="462">
        <v>0</v>
      </c>
      <c r="I133" s="459">
        <v>2.0070000000000001</v>
      </c>
      <c r="J133" s="460">
        <v>2.0070000000000001</v>
      </c>
      <c r="K133" s="470" t="s">
        <v>281</v>
      </c>
    </row>
    <row r="134" spans="1:11" ht="14.45" customHeight="1" thickBot="1" x14ac:dyDescent="0.25">
      <c r="A134" s="481" t="s">
        <v>397</v>
      </c>
      <c r="B134" s="459">
        <v>0.77200116458500001</v>
      </c>
      <c r="C134" s="459">
        <v>0.89756000000000002</v>
      </c>
      <c r="D134" s="460">
        <v>0.12555883541400001</v>
      </c>
      <c r="E134" s="461">
        <v>1.1626407331669999</v>
      </c>
      <c r="F134" s="459">
        <v>0</v>
      </c>
      <c r="G134" s="460">
        <v>0</v>
      </c>
      <c r="H134" s="462">
        <v>0</v>
      </c>
      <c r="I134" s="459">
        <v>0</v>
      </c>
      <c r="J134" s="460">
        <v>0</v>
      </c>
      <c r="K134" s="470" t="s">
        <v>271</v>
      </c>
    </row>
    <row r="135" spans="1:11" ht="14.45" customHeight="1" thickBot="1" x14ac:dyDescent="0.25">
      <c r="A135" s="480" t="s">
        <v>398</v>
      </c>
      <c r="B135" s="464">
        <v>6.6389423981999998E-2</v>
      </c>
      <c r="C135" s="464">
        <v>-2.7755575615628901E-17</v>
      </c>
      <c r="D135" s="465">
        <v>-6.6389423981999998E-2</v>
      </c>
      <c r="E135" s="471">
        <v>-4.18072246312076E-16</v>
      </c>
      <c r="F135" s="464">
        <v>0</v>
      </c>
      <c r="G135" s="465">
        <v>0</v>
      </c>
      <c r="H135" s="467">
        <v>0</v>
      </c>
      <c r="I135" s="464">
        <v>0</v>
      </c>
      <c r="J135" s="465">
        <v>0</v>
      </c>
      <c r="K135" s="468" t="s">
        <v>271</v>
      </c>
    </row>
    <row r="136" spans="1:11" ht="14.45" customHeight="1" thickBot="1" x14ac:dyDescent="0.25">
      <c r="A136" s="481" t="s">
        <v>399</v>
      </c>
      <c r="B136" s="459">
        <v>6.6389423981999998E-2</v>
      </c>
      <c r="C136" s="459">
        <v>-2.7755575615628901E-17</v>
      </c>
      <c r="D136" s="460">
        <v>-6.6389423981999998E-2</v>
      </c>
      <c r="E136" s="461">
        <v>-4.18072246312076E-16</v>
      </c>
      <c r="F136" s="459">
        <v>0</v>
      </c>
      <c r="G136" s="460">
        <v>0</v>
      </c>
      <c r="H136" s="462">
        <v>0</v>
      </c>
      <c r="I136" s="459">
        <v>0</v>
      </c>
      <c r="J136" s="460">
        <v>0</v>
      </c>
      <c r="K136" s="470" t="s">
        <v>271</v>
      </c>
    </row>
    <row r="137" spans="1:11" ht="14.45" customHeight="1" thickBot="1" x14ac:dyDescent="0.25">
      <c r="A137" s="480" t="s">
        <v>400</v>
      </c>
      <c r="B137" s="464">
        <v>2812.7763103833199</v>
      </c>
      <c r="C137" s="464">
        <v>3082.2646500000001</v>
      </c>
      <c r="D137" s="465">
        <v>269.48833961668402</v>
      </c>
      <c r="E137" s="471">
        <v>1.0958086637110001</v>
      </c>
      <c r="F137" s="464">
        <v>4349.0055497131298</v>
      </c>
      <c r="G137" s="465">
        <v>3261.7541622848498</v>
      </c>
      <c r="H137" s="467">
        <v>309.08375999999998</v>
      </c>
      <c r="I137" s="464">
        <v>2540.5259799999999</v>
      </c>
      <c r="J137" s="465">
        <v>-721.22818228484698</v>
      </c>
      <c r="K137" s="472">
        <v>0.584162505878</v>
      </c>
    </row>
    <row r="138" spans="1:11" ht="14.45" customHeight="1" thickBot="1" x14ac:dyDescent="0.25">
      <c r="A138" s="481" t="s">
        <v>401</v>
      </c>
      <c r="B138" s="459">
        <v>1029.56937044968</v>
      </c>
      <c r="C138" s="459">
        <v>1039.50009</v>
      </c>
      <c r="D138" s="460">
        <v>9.9307195503180008</v>
      </c>
      <c r="E138" s="461">
        <v>1.0096455079519999</v>
      </c>
      <c r="F138" s="459">
        <v>0</v>
      </c>
      <c r="G138" s="460">
        <v>0</v>
      </c>
      <c r="H138" s="462">
        <v>0</v>
      </c>
      <c r="I138" s="459">
        <v>0</v>
      </c>
      <c r="J138" s="460">
        <v>0</v>
      </c>
      <c r="K138" s="470" t="s">
        <v>271</v>
      </c>
    </row>
    <row r="139" spans="1:11" ht="14.45" customHeight="1" thickBot="1" x14ac:dyDescent="0.25">
      <c r="A139" s="481" t="s">
        <v>402</v>
      </c>
      <c r="B139" s="459">
        <v>1783.2069399336301</v>
      </c>
      <c r="C139" s="459">
        <v>2042.7645600000001</v>
      </c>
      <c r="D139" s="460">
        <v>259.55762006636598</v>
      </c>
      <c r="E139" s="461">
        <v>1.1455566453070001</v>
      </c>
      <c r="F139" s="459">
        <v>4349.0055497131298</v>
      </c>
      <c r="G139" s="460">
        <v>3261.7541622848498</v>
      </c>
      <c r="H139" s="462">
        <v>309.08375999999998</v>
      </c>
      <c r="I139" s="459">
        <v>2540.5259799999999</v>
      </c>
      <c r="J139" s="460">
        <v>-721.22818228484698</v>
      </c>
      <c r="K139" s="463">
        <v>0.584162505878</v>
      </c>
    </row>
    <row r="140" spans="1:11" ht="14.45" customHeight="1" thickBot="1" x14ac:dyDescent="0.25">
      <c r="A140" s="480" t="s">
        <v>403</v>
      </c>
      <c r="B140" s="464">
        <v>0</v>
      </c>
      <c r="C140" s="464">
        <v>150.29333</v>
      </c>
      <c r="D140" s="465">
        <v>150.29333</v>
      </c>
      <c r="E140" s="466" t="s">
        <v>271</v>
      </c>
      <c r="F140" s="464">
        <v>0</v>
      </c>
      <c r="G140" s="465">
        <v>0</v>
      </c>
      <c r="H140" s="467">
        <v>0</v>
      </c>
      <c r="I140" s="464">
        <v>69.062209999998998</v>
      </c>
      <c r="J140" s="465">
        <v>69.062209999998998</v>
      </c>
      <c r="K140" s="468" t="s">
        <v>271</v>
      </c>
    </row>
    <row r="141" spans="1:11" ht="14.45" customHeight="1" thickBot="1" x14ac:dyDescent="0.25">
      <c r="A141" s="481" t="s">
        <v>404</v>
      </c>
      <c r="B141" s="459">
        <v>0</v>
      </c>
      <c r="C141" s="459">
        <v>49.482170000000004</v>
      </c>
      <c r="D141" s="460">
        <v>49.482170000000004</v>
      </c>
      <c r="E141" s="469" t="s">
        <v>271</v>
      </c>
      <c r="F141" s="459">
        <v>0</v>
      </c>
      <c r="G141" s="460">
        <v>0</v>
      </c>
      <c r="H141" s="462">
        <v>0</v>
      </c>
      <c r="I141" s="459">
        <v>0</v>
      </c>
      <c r="J141" s="460">
        <v>0</v>
      </c>
      <c r="K141" s="470" t="s">
        <v>271</v>
      </c>
    </row>
    <row r="142" spans="1:11" ht="14.45" customHeight="1" thickBot="1" x14ac:dyDescent="0.25">
      <c r="A142" s="481" t="s">
        <v>405</v>
      </c>
      <c r="B142" s="459">
        <v>0</v>
      </c>
      <c r="C142" s="459">
        <v>100.81116</v>
      </c>
      <c r="D142" s="460">
        <v>100.81116</v>
      </c>
      <c r="E142" s="469" t="s">
        <v>271</v>
      </c>
      <c r="F142" s="459">
        <v>0</v>
      </c>
      <c r="G142" s="460">
        <v>0</v>
      </c>
      <c r="H142" s="462">
        <v>0</v>
      </c>
      <c r="I142" s="459">
        <v>69.062209999998998</v>
      </c>
      <c r="J142" s="460">
        <v>69.062209999998998</v>
      </c>
      <c r="K142" s="470" t="s">
        <v>271</v>
      </c>
    </row>
    <row r="143" spans="1:11" ht="14.45" customHeight="1" thickBot="1" x14ac:dyDescent="0.25">
      <c r="A143" s="478" t="s">
        <v>406</v>
      </c>
      <c r="B143" s="459">
        <v>12.903547875371</v>
      </c>
      <c r="C143" s="459">
        <v>50.683439999999997</v>
      </c>
      <c r="D143" s="460">
        <v>37.779892124627999</v>
      </c>
      <c r="E143" s="461">
        <v>3.9278685590600002</v>
      </c>
      <c r="F143" s="459">
        <v>0</v>
      </c>
      <c r="G143" s="460">
        <v>0</v>
      </c>
      <c r="H143" s="462">
        <v>2.4299999999999999E-3</v>
      </c>
      <c r="I143" s="459">
        <v>4.5046200000000001</v>
      </c>
      <c r="J143" s="460">
        <v>4.5046200000000001</v>
      </c>
      <c r="K143" s="470" t="s">
        <v>271</v>
      </c>
    </row>
    <row r="144" spans="1:11" ht="14.45" customHeight="1" thickBot="1" x14ac:dyDescent="0.25">
      <c r="A144" s="479" t="s">
        <v>407</v>
      </c>
      <c r="B144" s="459">
        <v>0</v>
      </c>
      <c r="C144" s="459">
        <v>15</v>
      </c>
      <c r="D144" s="460">
        <v>15</v>
      </c>
      <c r="E144" s="469" t="s">
        <v>271</v>
      </c>
      <c r="F144" s="459">
        <v>0</v>
      </c>
      <c r="G144" s="460">
        <v>0</v>
      </c>
      <c r="H144" s="462">
        <v>0</v>
      </c>
      <c r="I144" s="459">
        <v>0</v>
      </c>
      <c r="J144" s="460">
        <v>0</v>
      </c>
      <c r="K144" s="470" t="s">
        <v>271</v>
      </c>
    </row>
    <row r="145" spans="1:11" ht="14.45" customHeight="1" thickBot="1" x14ac:dyDescent="0.25">
      <c r="A145" s="480" t="s">
        <v>408</v>
      </c>
      <c r="B145" s="464">
        <v>0</v>
      </c>
      <c r="C145" s="464">
        <v>15</v>
      </c>
      <c r="D145" s="465">
        <v>15</v>
      </c>
      <c r="E145" s="466" t="s">
        <v>271</v>
      </c>
      <c r="F145" s="464">
        <v>0</v>
      </c>
      <c r="G145" s="465">
        <v>0</v>
      </c>
      <c r="H145" s="467">
        <v>0</v>
      </c>
      <c r="I145" s="464">
        <v>0</v>
      </c>
      <c r="J145" s="465">
        <v>0</v>
      </c>
      <c r="K145" s="468" t="s">
        <v>271</v>
      </c>
    </row>
    <row r="146" spans="1:11" ht="14.45" customHeight="1" thickBot="1" x14ac:dyDescent="0.25">
      <c r="A146" s="481" t="s">
        <v>409</v>
      </c>
      <c r="B146" s="459">
        <v>0</v>
      </c>
      <c r="C146" s="459">
        <v>15</v>
      </c>
      <c r="D146" s="460">
        <v>15</v>
      </c>
      <c r="E146" s="469" t="s">
        <v>271</v>
      </c>
      <c r="F146" s="459">
        <v>0</v>
      </c>
      <c r="G146" s="460">
        <v>0</v>
      </c>
      <c r="H146" s="462">
        <v>0</v>
      </c>
      <c r="I146" s="459">
        <v>0</v>
      </c>
      <c r="J146" s="460">
        <v>0</v>
      </c>
      <c r="K146" s="470" t="s">
        <v>271</v>
      </c>
    </row>
    <row r="147" spans="1:11" ht="14.45" customHeight="1" thickBot="1" x14ac:dyDescent="0.25">
      <c r="A147" s="484" t="s">
        <v>410</v>
      </c>
      <c r="B147" s="464">
        <v>12.903547875371</v>
      </c>
      <c r="C147" s="464">
        <v>35.683439999999997</v>
      </c>
      <c r="D147" s="465">
        <v>22.779892124627999</v>
      </c>
      <c r="E147" s="471">
        <v>2.7653975747319999</v>
      </c>
      <c r="F147" s="464">
        <v>0</v>
      </c>
      <c r="G147" s="465">
        <v>0</v>
      </c>
      <c r="H147" s="467">
        <v>2.4299999999999999E-3</v>
      </c>
      <c r="I147" s="464">
        <v>4.5046200000000001</v>
      </c>
      <c r="J147" s="465">
        <v>4.5046200000000001</v>
      </c>
      <c r="K147" s="468" t="s">
        <v>271</v>
      </c>
    </row>
    <row r="148" spans="1:11" ht="14.45" customHeight="1" thickBot="1" x14ac:dyDescent="0.25">
      <c r="A148" s="480" t="s">
        <v>411</v>
      </c>
      <c r="B148" s="464">
        <v>0</v>
      </c>
      <c r="C148" s="464">
        <v>1.452E-2</v>
      </c>
      <c r="D148" s="465">
        <v>1.452E-2</v>
      </c>
      <c r="E148" s="466" t="s">
        <v>271</v>
      </c>
      <c r="F148" s="464">
        <v>0</v>
      </c>
      <c r="G148" s="465">
        <v>0</v>
      </c>
      <c r="H148" s="467">
        <v>2.4299999999999999E-3</v>
      </c>
      <c r="I148" s="464">
        <v>8.6199999999999992E-3</v>
      </c>
      <c r="J148" s="465">
        <v>8.6199999999999992E-3</v>
      </c>
      <c r="K148" s="468" t="s">
        <v>271</v>
      </c>
    </row>
    <row r="149" spans="1:11" ht="14.45" customHeight="1" thickBot="1" x14ac:dyDescent="0.25">
      <c r="A149" s="481" t="s">
        <v>412</v>
      </c>
      <c r="B149" s="459">
        <v>0</v>
      </c>
      <c r="C149" s="459">
        <v>1.452E-2</v>
      </c>
      <c r="D149" s="460">
        <v>1.452E-2</v>
      </c>
      <c r="E149" s="469" t="s">
        <v>271</v>
      </c>
      <c r="F149" s="459">
        <v>0</v>
      </c>
      <c r="G149" s="460">
        <v>0</v>
      </c>
      <c r="H149" s="462">
        <v>2.4299999999999999E-3</v>
      </c>
      <c r="I149" s="459">
        <v>8.6199999999999992E-3</v>
      </c>
      <c r="J149" s="460">
        <v>8.6199999999999992E-3</v>
      </c>
      <c r="K149" s="470" t="s">
        <v>271</v>
      </c>
    </row>
    <row r="150" spans="1:11" ht="14.45" customHeight="1" thickBot="1" x14ac:dyDescent="0.25">
      <c r="A150" s="480" t="s">
        <v>413</v>
      </c>
      <c r="B150" s="464">
        <v>12.903547875371</v>
      </c>
      <c r="C150" s="464">
        <v>35.66892</v>
      </c>
      <c r="D150" s="465">
        <v>22.765372124628001</v>
      </c>
      <c r="E150" s="471">
        <v>2.7642723028190002</v>
      </c>
      <c r="F150" s="464">
        <v>0</v>
      </c>
      <c r="G150" s="465">
        <v>0</v>
      </c>
      <c r="H150" s="467">
        <v>0</v>
      </c>
      <c r="I150" s="464">
        <v>4.4960000000000004</v>
      </c>
      <c r="J150" s="465">
        <v>4.4960000000000004</v>
      </c>
      <c r="K150" s="468" t="s">
        <v>271</v>
      </c>
    </row>
    <row r="151" spans="1:11" ht="14.45" customHeight="1" thickBot="1" x14ac:dyDescent="0.25">
      <c r="A151" s="481" t="s">
        <v>414</v>
      </c>
      <c r="B151" s="459">
        <v>5.123563922103</v>
      </c>
      <c r="C151" s="459">
        <v>0</v>
      </c>
      <c r="D151" s="460">
        <v>-5.123563922103</v>
      </c>
      <c r="E151" s="461">
        <v>0</v>
      </c>
      <c r="F151" s="459">
        <v>0</v>
      </c>
      <c r="G151" s="460">
        <v>0</v>
      </c>
      <c r="H151" s="462">
        <v>0</v>
      </c>
      <c r="I151" s="459">
        <v>0</v>
      </c>
      <c r="J151" s="460">
        <v>0</v>
      </c>
      <c r="K151" s="463">
        <v>0</v>
      </c>
    </row>
    <row r="152" spans="1:11" ht="14.45" customHeight="1" thickBot="1" x14ac:dyDescent="0.25">
      <c r="A152" s="481" t="s">
        <v>415</v>
      </c>
      <c r="B152" s="459">
        <v>7.7799839532680002</v>
      </c>
      <c r="C152" s="459">
        <v>35.66892</v>
      </c>
      <c r="D152" s="460">
        <v>27.888936046731001</v>
      </c>
      <c r="E152" s="461">
        <v>4.5847035436379997</v>
      </c>
      <c r="F152" s="459">
        <v>0</v>
      </c>
      <c r="G152" s="460">
        <v>0</v>
      </c>
      <c r="H152" s="462">
        <v>0</v>
      </c>
      <c r="I152" s="459">
        <v>4.4960000000000004</v>
      </c>
      <c r="J152" s="460">
        <v>4.4960000000000004</v>
      </c>
      <c r="K152" s="470" t="s">
        <v>271</v>
      </c>
    </row>
    <row r="153" spans="1:11" ht="14.45" customHeight="1" thickBot="1" x14ac:dyDescent="0.25">
      <c r="A153" s="477" t="s">
        <v>416</v>
      </c>
      <c r="B153" s="459">
        <v>1612.9072897404401</v>
      </c>
      <c r="C153" s="459">
        <v>1616.7094400000001</v>
      </c>
      <c r="D153" s="460">
        <v>3.8021502595599999</v>
      </c>
      <c r="E153" s="461">
        <v>1.002357327221</v>
      </c>
      <c r="F153" s="459">
        <v>1692.8413573380101</v>
      </c>
      <c r="G153" s="460">
        <v>1269.63101800351</v>
      </c>
      <c r="H153" s="462">
        <v>120.72797</v>
      </c>
      <c r="I153" s="459">
        <v>1343.6566800000001</v>
      </c>
      <c r="J153" s="460">
        <v>74.025661996492005</v>
      </c>
      <c r="K153" s="463">
        <v>0.79372864691400002</v>
      </c>
    </row>
    <row r="154" spans="1:11" ht="14.45" customHeight="1" thickBot="1" x14ac:dyDescent="0.25">
      <c r="A154" s="482" t="s">
        <v>417</v>
      </c>
      <c r="B154" s="464">
        <v>1612.9072897404401</v>
      </c>
      <c r="C154" s="464">
        <v>1616.7094400000001</v>
      </c>
      <c r="D154" s="465">
        <v>3.8021502595599999</v>
      </c>
      <c r="E154" s="471">
        <v>1.002357327221</v>
      </c>
      <c r="F154" s="464">
        <v>1692.8413573380101</v>
      </c>
      <c r="G154" s="465">
        <v>1269.63101800351</v>
      </c>
      <c r="H154" s="467">
        <v>120.72797</v>
      </c>
      <c r="I154" s="464">
        <v>1343.6566800000001</v>
      </c>
      <c r="J154" s="465">
        <v>74.025661996492005</v>
      </c>
      <c r="K154" s="472">
        <v>0.79372864691400002</v>
      </c>
    </row>
    <row r="155" spans="1:11" ht="14.45" customHeight="1" thickBot="1" x14ac:dyDescent="0.25">
      <c r="A155" s="484" t="s">
        <v>54</v>
      </c>
      <c r="B155" s="464">
        <v>1612.9072897404401</v>
      </c>
      <c r="C155" s="464">
        <v>1616.7094400000001</v>
      </c>
      <c r="D155" s="465">
        <v>3.8021502595599999</v>
      </c>
      <c r="E155" s="471">
        <v>1.002357327221</v>
      </c>
      <c r="F155" s="464">
        <v>1692.8413573380101</v>
      </c>
      <c r="G155" s="465">
        <v>1269.63101800351</v>
      </c>
      <c r="H155" s="467">
        <v>120.72797</v>
      </c>
      <c r="I155" s="464">
        <v>1343.6566800000001</v>
      </c>
      <c r="J155" s="465">
        <v>74.025661996492005</v>
      </c>
      <c r="K155" s="472">
        <v>0.79372864691400002</v>
      </c>
    </row>
    <row r="156" spans="1:11" ht="14.45" customHeight="1" thickBot="1" x14ac:dyDescent="0.25">
      <c r="A156" s="483" t="s">
        <v>418</v>
      </c>
      <c r="B156" s="459">
        <v>0</v>
      </c>
      <c r="C156" s="459">
        <v>14.35295</v>
      </c>
      <c r="D156" s="460">
        <v>14.35295</v>
      </c>
      <c r="E156" s="469" t="s">
        <v>281</v>
      </c>
      <c r="F156" s="459">
        <v>17.860900189776</v>
      </c>
      <c r="G156" s="460">
        <v>13.395675142331999</v>
      </c>
      <c r="H156" s="462">
        <v>3.0416599999999998</v>
      </c>
      <c r="I156" s="459">
        <v>36.459420000000001</v>
      </c>
      <c r="J156" s="460">
        <v>23.063744857667</v>
      </c>
      <c r="K156" s="463">
        <v>2.0412980092050002</v>
      </c>
    </row>
    <row r="157" spans="1:11" ht="14.45" customHeight="1" thickBot="1" x14ac:dyDescent="0.25">
      <c r="A157" s="481" t="s">
        <v>419</v>
      </c>
      <c r="B157" s="459">
        <v>0</v>
      </c>
      <c r="C157" s="459">
        <v>14.35295</v>
      </c>
      <c r="D157" s="460">
        <v>14.35295</v>
      </c>
      <c r="E157" s="469" t="s">
        <v>281</v>
      </c>
      <c r="F157" s="459">
        <v>17.860900189776</v>
      </c>
      <c r="G157" s="460">
        <v>13.395675142331999</v>
      </c>
      <c r="H157" s="462">
        <v>3.0416599999999998</v>
      </c>
      <c r="I157" s="459">
        <v>36.459420000000001</v>
      </c>
      <c r="J157" s="460">
        <v>23.063744857667</v>
      </c>
      <c r="K157" s="463">
        <v>2.0412980092050002</v>
      </c>
    </row>
    <row r="158" spans="1:11" ht="14.45" customHeight="1" thickBot="1" x14ac:dyDescent="0.25">
      <c r="A158" s="480" t="s">
        <v>420</v>
      </c>
      <c r="B158" s="464">
        <v>67.151924821115998</v>
      </c>
      <c r="C158" s="464">
        <v>28.109000000000002</v>
      </c>
      <c r="D158" s="465">
        <v>-39.042924821116003</v>
      </c>
      <c r="E158" s="471">
        <v>0.41858815030000002</v>
      </c>
      <c r="F158" s="464">
        <v>18.626615792755</v>
      </c>
      <c r="G158" s="465">
        <v>13.969961844566001</v>
      </c>
      <c r="H158" s="467">
        <v>1.32</v>
      </c>
      <c r="I158" s="464">
        <v>6.57</v>
      </c>
      <c r="J158" s="465">
        <v>-7.3999618445659996</v>
      </c>
      <c r="K158" s="472">
        <v>0.35272107789700002</v>
      </c>
    </row>
    <row r="159" spans="1:11" ht="14.45" customHeight="1" thickBot="1" x14ac:dyDescent="0.25">
      <c r="A159" s="481" t="s">
        <v>421</v>
      </c>
      <c r="B159" s="459">
        <v>67.151924821115998</v>
      </c>
      <c r="C159" s="459">
        <v>28.109000000000002</v>
      </c>
      <c r="D159" s="460">
        <v>-39.042924821116003</v>
      </c>
      <c r="E159" s="461">
        <v>0.41858815030000002</v>
      </c>
      <c r="F159" s="459">
        <v>18.626615792755</v>
      </c>
      <c r="G159" s="460">
        <v>13.969961844566001</v>
      </c>
      <c r="H159" s="462">
        <v>1.32</v>
      </c>
      <c r="I159" s="459">
        <v>6.57</v>
      </c>
      <c r="J159" s="460">
        <v>-7.3999618445659996</v>
      </c>
      <c r="K159" s="463">
        <v>0.35272107789700002</v>
      </c>
    </row>
    <row r="160" spans="1:11" ht="14.45" customHeight="1" thickBot="1" x14ac:dyDescent="0.25">
      <c r="A160" s="480" t="s">
        <v>422</v>
      </c>
      <c r="B160" s="464">
        <v>18.955679279750001</v>
      </c>
      <c r="C160" s="464">
        <v>12.37402</v>
      </c>
      <c r="D160" s="465">
        <v>-6.5816592797500002</v>
      </c>
      <c r="E160" s="471">
        <v>0.65278694671799997</v>
      </c>
      <c r="F160" s="464">
        <v>20.706331088875999</v>
      </c>
      <c r="G160" s="465">
        <v>15.529748316657001</v>
      </c>
      <c r="H160" s="467">
        <v>0.14699999999999999</v>
      </c>
      <c r="I160" s="464">
        <v>10.010999999999999</v>
      </c>
      <c r="J160" s="465">
        <v>-5.5187483166569997</v>
      </c>
      <c r="K160" s="472">
        <v>0.48347531762200002</v>
      </c>
    </row>
    <row r="161" spans="1:11" ht="14.45" customHeight="1" thickBot="1" x14ac:dyDescent="0.25">
      <c r="A161" s="481" t="s">
        <v>423</v>
      </c>
      <c r="B161" s="459">
        <v>1.8518983915859999</v>
      </c>
      <c r="C161" s="459">
        <v>0.37</v>
      </c>
      <c r="D161" s="460">
        <v>-1.481898391586</v>
      </c>
      <c r="E161" s="461">
        <v>0.19979497886100001</v>
      </c>
      <c r="F161" s="459">
        <v>3.2574320595200001</v>
      </c>
      <c r="G161" s="460">
        <v>2.4430740446399999</v>
      </c>
      <c r="H161" s="462">
        <v>0</v>
      </c>
      <c r="I161" s="459">
        <v>2.2200000000000002</v>
      </c>
      <c r="J161" s="460">
        <v>-0.22307404464</v>
      </c>
      <c r="K161" s="463">
        <v>0.68151843520699995</v>
      </c>
    </row>
    <row r="162" spans="1:11" ht="14.45" customHeight="1" thickBot="1" x14ac:dyDescent="0.25">
      <c r="A162" s="481" t="s">
        <v>424</v>
      </c>
      <c r="B162" s="459">
        <v>17.103780888163001</v>
      </c>
      <c r="C162" s="459">
        <v>12.004020000000001</v>
      </c>
      <c r="D162" s="460">
        <v>-5.0997608881629999</v>
      </c>
      <c r="E162" s="461">
        <v>0.70183429491299998</v>
      </c>
      <c r="F162" s="459">
        <v>17.448899029355001</v>
      </c>
      <c r="G162" s="460">
        <v>13.086674272015999</v>
      </c>
      <c r="H162" s="462">
        <v>0.14699999999999999</v>
      </c>
      <c r="I162" s="459">
        <v>7.7910000000000004</v>
      </c>
      <c r="J162" s="460">
        <v>-5.2956742720159999</v>
      </c>
      <c r="K162" s="463">
        <v>0.446503815907</v>
      </c>
    </row>
    <row r="163" spans="1:11" ht="14.45" customHeight="1" thickBot="1" x14ac:dyDescent="0.25">
      <c r="A163" s="483" t="s">
        <v>425</v>
      </c>
      <c r="B163" s="459">
        <v>0</v>
      </c>
      <c r="C163" s="459">
        <v>0</v>
      </c>
      <c r="D163" s="460">
        <v>0</v>
      </c>
      <c r="E163" s="461">
        <v>1</v>
      </c>
      <c r="F163" s="459">
        <v>0</v>
      </c>
      <c r="G163" s="460">
        <v>0</v>
      </c>
      <c r="H163" s="462">
        <v>0.21085999999999999</v>
      </c>
      <c r="I163" s="459">
        <v>0.49275999999999998</v>
      </c>
      <c r="J163" s="460">
        <v>0.49275999999999998</v>
      </c>
      <c r="K163" s="470" t="s">
        <v>281</v>
      </c>
    </row>
    <row r="164" spans="1:11" ht="14.45" customHeight="1" thickBot="1" x14ac:dyDescent="0.25">
      <c r="A164" s="481" t="s">
        <v>426</v>
      </c>
      <c r="B164" s="459">
        <v>0</v>
      </c>
      <c r="C164" s="459">
        <v>0</v>
      </c>
      <c r="D164" s="460">
        <v>0</v>
      </c>
      <c r="E164" s="461">
        <v>1</v>
      </c>
      <c r="F164" s="459">
        <v>0</v>
      </c>
      <c r="G164" s="460">
        <v>0</v>
      </c>
      <c r="H164" s="462">
        <v>0.21085999999999999</v>
      </c>
      <c r="I164" s="459">
        <v>0.49275999999999998</v>
      </c>
      <c r="J164" s="460">
        <v>0.49275999999999998</v>
      </c>
      <c r="K164" s="470" t="s">
        <v>281</v>
      </c>
    </row>
    <row r="165" spans="1:11" ht="14.45" customHeight="1" thickBot="1" x14ac:dyDescent="0.25">
      <c r="A165" s="480" t="s">
        <v>427</v>
      </c>
      <c r="B165" s="464">
        <v>26.705594138296</v>
      </c>
      <c r="C165" s="464">
        <v>30.166350000000001</v>
      </c>
      <c r="D165" s="465">
        <v>3.4607558617029999</v>
      </c>
      <c r="E165" s="471">
        <v>1.1295891731059999</v>
      </c>
      <c r="F165" s="464">
        <v>31.772509205268001</v>
      </c>
      <c r="G165" s="465">
        <v>23.829381903950999</v>
      </c>
      <c r="H165" s="467">
        <v>0</v>
      </c>
      <c r="I165" s="464">
        <v>8.1081900000000005</v>
      </c>
      <c r="J165" s="465">
        <v>-15.721191903951</v>
      </c>
      <c r="K165" s="472">
        <v>0.255195142052</v>
      </c>
    </row>
    <row r="166" spans="1:11" ht="14.45" customHeight="1" thickBot="1" x14ac:dyDescent="0.25">
      <c r="A166" s="481" t="s">
        <v>428</v>
      </c>
      <c r="B166" s="459">
        <v>26.705594138296</v>
      </c>
      <c r="C166" s="459">
        <v>30.166350000000001</v>
      </c>
      <c r="D166" s="460">
        <v>3.4607558617029999</v>
      </c>
      <c r="E166" s="461">
        <v>1.1295891731059999</v>
      </c>
      <c r="F166" s="459">
        <v>31.772509205268001</v>
      </c>
      <c r="G166" s="460">
        <v>23.829381903950999</v>
      </c>
      <c r="H166" s="462">
        <v>0</v>
      </c>
      <c r="I166" s="459">
        <v>8.1081900000000005</v>
      </c>
      <c r="J166" s="460">
        <v>-15.721191903951</v>
      </c>
      <c r="K166" s="463">
        <v>0.255195142052</v>
      </c>
    </row>
    <row r="167" spans="1:11" ht="14.45" customHeight="1" thickBot="1" x14ac:dyDescent="0.25">
      <c r="A167" s="480" t="s">
        <v>429</v>
      </c>
      <c r="B167" s="464">
        <v>0</v>
      </c>
      <c r="C167" s="464">
        <v>0.628</v>
      </c>
      <c r="D167" s="465">
        <v>0.628</v>
      </c>
      <c r="E167" s="466" t="s">
        <v>281</v>
      </c>
      <c r="F167" s="464">
        <v>0</v>
      </c>
      <c r="G167" s="465">
        <v>0</v>
      </c>
      <c r="H167" s="467">
        <v>0</v>
      </c>
      <c r="I167" s="464">
        <v>0.42399999999999999</v>
      </c>
      <c r="J167" s="465">
        <v>0.42399999999999999</v>
      </c>
      <c r="K167" s="468" t="s">
        <v>281</v>
      </c>
    </row>
    <row r="168" spans="1:11" ht="14.45" customHeight="1" thickBot="1" x14ac:dyDescent="0.25">
      <c r="A168" s="481" t="s">
        <v>430</v>
      </c>
      <c r="B168" s="459">
        <v>0</v>
      </c>
      <c r="C168" s="459">
        <v>0.628</v>
      </c>
      <c r="D168" s="460">
        <v>0.628</v>
      </c>
      <c r="E168" s="469" t="s">
        <v>281</v>
      </c>
      <c r="F168" s="459">
        <v>0</v>
      </c>
      <c r="G168" s="460">
        <v>0</v>
      </c>
      <c r="H168" s="462">
        <v>0</v>
      </c>
      <c r="I168" s="459">
        <v>0.42399999999999999</v>
      </c>
      <c r="J168" s="460">
        <v>0.42399999999999999</v>
      </c>
      <c r="K168" s="470" t="s">
        <v>281</v>
      </c>
    </row>
    <row r="169" spans="1:11" ht="14.45" customHeight="1" thickBot="1" x14ac:dyDescent="0.25">
      <c r="A169" s="480" t="s">
        <v>431</v>
      </c>
      <c r="B169" s="464">
        <v>652.71178833372903</v>
      </c>
      <c r="C169" s="464">
        <v>546.67961000000003</v>
      </c>
      <c r="D169" s="465">
        <v>-106.03217833372899</v>
      </c>
      <c r="E169" s="471">
        <v>0.83755130483399998</v>
      </c>
      <c r="F169" s="464">
        <v>734.02677231986297</v>
      </c>
      <c r="G169" s="465">
        <v>550.52007923989697</v>
      </c>
      <c r="H169" s="467">
        <v>44.698970000000003</v>
      </c>
      <c r="I169" s="464">
        <v>476.95137999999997</v>
      </c>
      <c r="J169" s="465">
        <v>-73.568699239896006</v>
      </c>
      <c r="K169" s="472">
        <v>0.64977382022800001</v>
      </c>
    </row>
    <row r="170" spans="1:11" ht="14.45" customHeight="1" thickBot="1" x14ac:dyDescent="0.25">
      <c r="A170" s="481" t="s">
        <v>432</v>
      </c>
      <c r="B170" s="459">
        <v>652.71178833372903</v>
      </c>
      <c r="C170" s="459">
        <v>546.67961000000003</v>
      </c>
      <c r="D170" s="460">
        <v>-106.03217833372899</v>
      </c>
      <c r="E170" s="461">
        <v>0.83755130483399998</v>
      </c>
      <c r="F170" s="459">
        <v>734.02677231986297</v>
      </c>
      <c r="G170" s="460">
        <v>550.52007923989697</v>
      </c>
      <c r="H170" s="462">
        <v>44.698970000000003</v>
      </c>
      <c r="I170" s="459">
        <v>476.95137999999997</v>
      </c>
      <c r="J170" s="460">
        <v>-73.568699239896006</v>
      </c>
      <c r="K170" s="463">
        <v>0.64977382022800001</v>
      </c>
    </row>
    <row r="171" spans="1:11" ht="14.45" customHeight="1" thickBot="1" x14ac:dyDescent="0.25">
      <c r="A171" s="480" t="s">
        <v>433</v>
      </c>
      <c r="B171" s="464">
        <v>847.382303167548</v>
      </c>
      <c r="C171" s="464">
        <v>984.39950999999996</v>
      </c>
      <c r="D171" s="465">
        <v>137.01720683245199</v>
      </c>
      <c r="E171" s="471">
        <v>1.16169467585</v>
      </c>
      <c r="F171" s="464">
        <v>869.84822874147198</v>
      </c>
      <c r="G171" s="465">
        <v>652.38617155610405</v>
      </c>
      <c r="H171" s="467">
        <v>71.309479999999994</v>
      </c>
      <c r="I171" s="464">
        <v>804.63993000000005</v>
      </c>
      <c r="J171" s="465">
        <v>152.253758443897</v>
      </c>
      <c r="K171" s="472">
        <v>0.92503485483199999</v>
      </c>
    </row>
    <row r="172" spans="1:11" ht="14.45" customHeight="1" thickBot="1" x14ac:dyDescent="0.25">
      <c r="A172" s="481" t="s">
        <v>434</v>
      </c>
      <c r="B172" s="459">
        <v>847.382303167548</v>
      </c>
      <c r="C172" s="459">
        <v>984.39950999999996</v>
      </c>
      <c r="D172" s="460">
        <v>137.01720683245199</v>
      </c>
      <c r="E172" s="461">
        <v>1.16169467585</v>
      </c>
      <c r="F172" s="459">
        <v>869.84822874147198</v>
      </c>
      <c r="G172" s="460">
        <v>652.38617155610405</v>
      </c>
      <c r="H172" s="462">
        <v>71.309479999999994</v>
      </c>
      <c r="I172" s="459">
        <v>804.63993000000005</v>
      </c>
      <c r="J172" s="460">
        <v>152.253758443897</v>
      </c>
      <c r="K172" s="463">
        <v>0.92503485483199999</v>
      </c>
    </row>
    <row r="173" spans="1:11" ht="14.45" customHeight="1" thickBot="1" x14ac:dyDescent="0.25">
      <c r="A173" s="477" t="s">
        <v>435</v>
      </c>
      <c r="B173" s="459">
        <v>0</v>
      </c>
      <c r="C173" s="459">
        <v>0.25544</v>
      </c>
      <c r="D173" s="460">
        <v>0.25544</v>
      </c>
      <c r="E173" s="469" t="s">
        <v>271</v>
      </c>
      <c r="F173" s="459">
        <v>0</v>
      </c>
      <c r="G173" s="460">
        <v>0</v>
      </c>
      <c r="H173" s="462">
        <v>0</v>
      </c>
      <c r="I173" s="459">
        <v>0</v>
      </c>
      <c r="J173" s="460">
        <v>0</v>
      </c>
      <c r="K173" s="463">
        <v>0</v>
      </c>
    </row>
    <row r="174" spans="1:11" ht="14.45" customHeight="1" thickBot="1" x14ac:dyDescent="0.25">
      <c r="A174" s="482" t="s">
        <v>436</v>
      </c>
      <c r="B174" s="464">
        <v>0</v>
      </c>
      <c r="C174" s="464">
        <v>0.25544</v>
      </c>
      <c r="D174" s="465">
        <v>0.25544</v>
      </c>
      <c r="E174" s="466" t="s">
        <v>271</v>
      </c>
      <c r="F174" s="464">
        <v>0</v>
      </c>
      <c r="G174" s="465">
        <v>0</v>
      </c>
      <c r="H174" s="467">
        <v>0</v>
      </c>
      <c r="I174" s="464">
        <v>0</v>
      </c>
      <c r="J174" s="465">
        <v>0</v>
      </c>
      <c r="K174" s="472">
        <v>0</v>
      </c>
    </row>
    <row r="175" spans="1:11" ht="14.45" customHeight="1" thickBot="1" x14ac:dyDescent="0.25">
      <c r="A175" s="484" t="s">
        <v>437</v>
      </c>
      <c r="B175" s="464">
        <v>0</v>
      </c>
      <c r="C175" s="464">
        <v>0.25544</v>
      </c>
      <c r="D175" s="465">
        <v>0.25544</v>
      </c>
      <c r="E175" s="466" t="s">
        <v>271</v>
      </c>
      <c r="F175" s="464">
        <v>0</v>
      </c>
      <c r="G175" s="465">
        <v>0</v>
      </c>
      <c r="H175" s="467">
        <v>0</v>
      </c>
      <c r="I175" s="464">
        <v>0</v>
      </c>
      <c r="J175" s="465">
        <v>0</v>
      </c>
      <c r="K175" s="472">
        <v>0</v>
      </c>
    </row>
    <row r="176" spans="1:11" ht="14.45" customHeight="1" thickBot="1" x14ac:dyDescent="0.25">
      <c r="A176" s="480" t="s">
        <v>438</v>
      </c>
      <c r="B176" s="464">
        <v>0</v>
      </c>
      <c r="C176" s="464">
        <v>0.25544</v>
      </c>
      <c r="D176" s="465">
        <v>0.25544</v>
      </c>
      <c r="E176" s="466" t="s">
        <v>281</v>
      </c>
      <c r="F176" s="464">
        <v>0</v>
      </c>
      <c r="G176" s="465">
        <v>0</v>
      </c>
      <c r="H176" s="467">
        <v>0</v>
      </c>
      <c r="I176" s="464">
        <v>0</v>
      </c>
      <c r="J176" s="465">
        <v>0</v>
      </c>
      <c r="K176" s="472">
        <v>0</v>
      </c>
    </row>
    <row r="177" spans="1:11" ht="14.45" customHeight="1" thickBot="1" x14ac:dyDescent="0.25">
      <c r="A177" s="481" t="s">
        <v>439</v>
      </c>
      <c r="B177" s="459">
        <v>0</v>
      </c>
      <c r="C177" s="459">
        <v>0.25544</v>
      </c>
      <c r="D177" s="460">
        <v>0.25544</v>
      </c>
      <c r="E177" s="469" t="s">
        <v>281</v>
      </c>
      <c r="F177" s="459">
        <v>0</v>
      </c>
      <c r="G177" s="460">
        <v>0</v>
      </c>
      <c r="H177" s="462">
        <v>0</v>
      </c>
      <c r="I177" s="459">
        <v>0</v>
      </c>
      <c r="J177" s="460">
        <v>0</v>
      </c>
      <c r="K177" s="463">
        <v>0</v>
      </c>
    </row>
    <row r="178" spans="1:11" ht="14.45" customHeight="1" thickBot="1" x14ac:dyDescent="0.25">
      <c r="A178" s="485"/>
      <c r="B178" s="459">
        <v>-4480.7432338529597</v>
      </c>
      <c r="C178" s="459">
        <v>-4738.3527400000203</v>
      </c>
      <c r="D178" s="460">
        <v>-257.60950614706098</v>
      </c>
      <c r="E178" s="461">
        <v>1.0574925838639999</v>
      </c>
      <c r="F178" s="459">
        <v>-4563.7357389860699</v>
      </c>
      <c r="G178" s="460">
        <v>-3422.8018042395602</v>
      </c>
      <c r="H178" s="462">
        <v>-417.39268999999501</v>
      </c>
      <c r="I178" s="459">
        <v>-4908.4485099999902</v>
      </c>
      <c r="J178" s="460">
        <v>-1485.64670576043</v>
      </c>
      <c r="K178" s="463">
        <v>1.0755330261710001</v>
      </c>
    </row>
    <row r="179" spans="1:11" ht="14.45" customHeight="1" thickBot="1" x14ac:dyDescent="0.25">
      <c r="A179" s="486" t="s">
        <v>66</v>
      </c>
      <c r="B179" s="473">
        <v>-4480.7432338529597</v>
      </c>
      <c r="C179" s="473">
        <v>-4738.3527400000203</v>
      </c>
      <c r="D179" s="474">
        <v>-257.60950614706098</v>
      </c>
      <c r="E179" s="475" t="s">
        <v>271</v>
      </c>
      <c r="F179" s="473">
        <v>-4563.7357389860699</v>
      </c>
      <c r="G179" s="474">
        <v>-3422.8018042395502</v>
      </c>
      <c r="H179" s="473">
        <v>-417.39268999999501</v>
      </c>
      <c r="I179" s="473">
        <v>-4908.4485099999902</v>
      </c>
      <c r="J179" s="474">
        <v>-1485.64670576044</v>
      </c>
      <c r="K179" s="476">
        <v>1.0755330261710001</v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 xr:uid="{5D5E7ED4-612B-4D49-B483-05D8EFCDC512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8" customWidth="1"/>
    <col min="2" max="2" width="61.140625" style="208" customWidth="1"/>
    <col min="3" max="3" width="9.5703125" style="129" hidden="1" customWidth="1" outlineLevel="1"/>
    <col min="4" max="4" width="9.5703125" style="209" customWidth="1" collapsed="1"/>
    <col min="5" max="5" width="2.28515625" style="209" customWidth="1"/>
    <col min="6" max="6" width="9.5703125" style="210" customWidth="1"/>
    <col min="7" max="7" width="9.5703125" style="207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137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2" t="s">
        <v>270</v>
      </c>
      <c r="B2" s="206"/>
      <c r="C2" s="206"/>
      <c r="D2" s="206"/>
      <c r="E2" s="206"/>
      <c r="F2" s="206"/>
    </row>
    <row r="3" spans="1:10" ht="14.45" customHeight="1" thickBot="1" x14ac:dyDescent="0.25">
      <c r="A3" s="232"/>
      <c r="B3" s="271"/>
      <c r="C3" s="270">
        <v>2015</v>
      </c>
      <c r="D3" s="239">
        <v>2018</v>
      </c>
      <c r="E3" s="7"/>
      <c r="F3" s="338">
        <v>2019</v>
      </c>
      <c r="G3" s="356"/>
      <c r="H3" s="356"/>
      <c r="I3" s="339"/>
    </row>
    <row r="4" spans="1:10" ht="14.45" customHeight="1" thickBot="1" x14ac:dyDescent="0.2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5" customHeight="1" x14ac:dyDescent="0.2">
      <c r="A5" s="487" t="s">
        <v>440</v>
      </c>
      <c r="B5" s="488" t="s">
        <v>441</v>
      </c>
      <c r="C5" s="489" t="s">
        <v>442</v>
      </c>
      <c r="D5" s="489" t="s">
        <v>442</v>
      </c>
      <c r="E5" s="489"/>
      <c r="F5" s="489" t="s">
        <v>442</v>
      </c>
      <c r="G5" s="489" t="s">
        <v>442</v>
      </c>
      <c r="H5" s="489" t="s">
        <v>442</v>
      </c>
      <c r="I5" s="490" t="s">
        <v>442</v>
      </c>
      <c r="J5" s="491" t="s">
        <v>68</v>
      </c>
    </row>
    <row r="6" spans="1:10" ht="14.45" customHeight="1" x14ac:dyDescent="0.2">
      <c r="A6" s="487" t="s">
        <v>440</v>
      </c>
      <c r="B6" s="488" t="s">
        <v>443</v>
      </c>
      <c r="C6" s="489">
        <v>442.11296999999996</v>
      </c>
      <c r="D6" s="489">
        <v>398.27912000000015</v>
      </c>
      <c r="E6" s="489"/>
      <c r="F6" s="489">
        <v>953.11535000000003</v>
      </c>
      <c r="G6" s="489">
        <v>835.49454687499997</v>
      </c>
      <c r="H6" s="489">
        <v>117.62080312500007</v>
      </c>
      <c r="I6" s="490">
        <v>1.1407798573490839</v>
      </c>
      <c r="J6" s="491" t="s">
        <v>1</v>
      </c>
    </row>
    <row r="7" spans="1:10" ht="14.45" customHeight="1" x14ac:dyDescent="0.2">
      <c r="A7" s="487" t="s">
        <v>440</v>
      </c>
      <c r="B7" s="488" t="s">
        <v>444</v>
      </c>
      <c r="C7" s="489">
        <v>0</v>
      </c>
      <c r="D7" s="489">
        <v>1.02925</v>
      </c>
      <c r="E7" s="489"/>
      <c r="F7" s="489">
        <v>0</v>
      </c>
      <c r="G7" s="489">
        <v>0.75</v>
      </c>
      <c r="H7" s="489">
        <v>-0.75</v>
      </c>
      <c r="I7" s="490">
        <v>0</v>
      </c>
      <c r="J7" s="491" t="s">
        <v>1</v>
      </c>
    </row>
    <row r="8" spans="1:10" ht="14.45" customHeight="1" x14ac:dyDescent="0.2">
      <c r="A8" s="487" t="s">
        <v>440</v>
      </c>
      <c r="B8" s="488" t="s">
        <v>445</v>
      </c>
      <c r="C8" s="489">
        <v>442.11296999999996</v>
      </c>
      <c r="D8" s="489">
        <v>399.30837000000014</v>
      </c>
      <c r="E8" s="489"/>
      <c r="F8" s="489">
        <v>953.11535000000003</v>
      </c>
      <c r="G8" s="489">
        <v>836.24454687499997</v>
      </c>
      <c r="H8" s="489">
        <v>116.87080312500007</v>
      </c>
      <c r="I8" s="490">
        <v>1.1397567297290485</v>
      </c>
      <c r="J8" s="491" t="s">
        <v>446</v>
      </c>
    </row>
    <row r="10" spans="1:10" ht="14.45" customHeight="1" x14ac:dyDescent="0.2">
      <c r="A10" s="487" t="s">
        <v>440</v>
      </c>
      <c r="B10" s="488" t="s">
        <v>441</v>
      </c>
      <c r="C10" s="489" t="s">
        <v>442</v>
      </c>
      <c r="D10" s="489" t="s">
        <v>442</v>
      </c>
      <c r="E10" s="489"/>
      <c r="F10" s="489" t="s">
        <v>442</v>
      </c>
      <c r="G10" s="489" t="s">
        <v>442</v>
      </c>
      <c r="H10" s="489" t="s">
        <v>442</v>
      </c>
      <c r="I10" s="490" t="s">
        <v>442</v>
      </c>
      <c r="J10" s="491" t="s">
        <v>68</v>
      </c>
    </row>
    <row r="11" spans="1:10" ht="14.45" customHeight="1" x14ac:dyDescent="0.2">
      <c r="A11" s="487" t="s">
        <v>447</v>
      </c>
      <c r="B11" s="488" t="s">
        <v>448</v>
      </c>
      <c r="C11" s="489" t="s">
        <v>442</v>
      </c>
      <c r="D11" s="489" t="s">
        <v>442</v>
      </c>
      <c r="E11" s="489"/>
      <c r="F11" s="489" t="s">
        <v>442</v>
      </c>
      <c r="G11" s="489" t="s">
        <v>442</v>
      </c>
      <c r="H11" s="489" t="s">
        <v>442</v>
      </c>
      <c r="I11" s="490" t="s">
        <v>442</v>
      </c>
      <c r="J11" s="491" t="s">
        <v>0</v>
      </c>
    </row>
    <row r="12" spans="1:10" ht="14.45" customHeight="1" x14ac:dyDescent="0.2">
      <c r="A12" s="487" t="s">
        <v>447</v>
      </c>
      <c r="B12" s="488" t="s">
        <v>443</v>
      </c>
      <c r="C12" s="489">
        <v>74.552070000000001</v>
      </c>
      <c r="D12" s="489">
        <v>91.692030000000045</v>
      </c>
      <c r="E12" s="489"/>
      <c r="F12" s="489">
        <v>82.960919999999987</v>
      </c>
      <c r="G12" s="489">
        <v>102</v>
      </c>
      <c r="H12" s="489">
        <v>-19.039080000000013</v>
      </c>
      <c r="I12" s="490">
        <v>0.81334235294117629</v>
      </c>
      <c r="J12" s="491" t="s">
        <v>1</v>
      </c>
    </row>
    <row r="13" spans="1:10" ht="14.45" customHeight="1" x14ac:dyDescent="0.2">
      <c r="A13" s="487" t="s">
        <v>447</v>
      </c>
      <c r="B13" s="488" t="s">
        <v>444</v>
      </c>
      <c r="C13" s="489">
        <v>0</v>
      </c>
      <c r="D13" s="489">
        <v>1.02925</v>
      </c>
      <c r="E13" s="489"/>
      <c r="F13" s="489">
        <v>0</v>
      </c>
      <c r="G13" s="489">
        <v>1</v>
      </c>
      <c r="H13" s="489">
        <v>-1</v>
      </c>
      <c r="I13" s="490">
        <v>0</v>
      </c>
      <c r="J13" s="491" t="s">
        <v>1</v>
      </c>
    </row>
    <row r="14" spans="1:10" ht="14.45" customHeight="1" x14ac:dyDescent="0.2">
      <c r="A14" s="487" t="s">
        <v>447</v>
      </c>
      <c r="B14" s="488" t="s">
        <v>449</v>
      </c>
      <c r="C14" s="489">
        <v>74.552070000000001</v>
      </c>
      <c r="D14" s="489">
        <v>92.72128000000005</v>
      </c>
      <c r="E14" s="489"/>
      <c r="F14" s="489">
        <v>82.960919999999987</v>
      </c>
      <c r="G14" s="489">
        <v>103</v>
      </c>
      <c r="H14" s="489">
        <v>-20.039080000000013</v>
      </c>
      <c r="I14" s="490">
        <v>0.80544582524271835</v>
      </c>
      <c r="J14" s="491" t="s">
        <v>450</v>
      </c>
    </row>
    <row r="15" spans="1:10" ht="14.45" customHeight="1" x14ac:dyDescent="0.2">
      <c r="A15" s="487" t="s">
        <v>442</v>
      </c>
      <c r="B15" s="488" t="s">
        <v>442</v>
      </c>
      <c r="C15" s="489" t="s">
        <v>442</v>
      </c>
      <c r="D15" s="489" t="s">
        <v>442</v>
      </c>
      <c r="E15" s="489"/>
      <c r="F15" s="489" t="s">
        <v>442</v>
      </c>
      <c r="G15" s="489" t="s">
        <v>442</v>
      </c>
      <c r="H15" s="489" t="s">
        <v>442</v>
      </c>
      <c r="I15" s="490" t="s">
        <v>442</v>
      </c>
      <c r="J15" s="491" t="s">
        <v>451</v>
      </c>
    </row>
    <row r="16" spans="1:10" ht="14.45" customHeight="1" x14ac:dyDescent="0.2">
      <c r="A16" s="487" t="s">
        <v>452</v>
      </c>
      <c r="B16" s="488" t="s">
        <v>453</v>
      </c>
      <c r="C16" s="489" t="s">
        <v>442</v>
      </c>
      <c r="D16" s="489" t="s">
        <v>442</v>
      </c>
      <c r="E16" s="489"/>
      <c r="F16" s="489" t="s">
        <v>442</v>
      </c>
      <c r="G16" s="489" t="s">
        <v>442</v>
      </c>
      <c r="H16" s="489" t="s">
        <v>442</v>
      </c>
      <c r="I16" s="490" t="s">
        <v>442</v>
      </c>
      <c r="J16" s="491" t="s">
        <v>0</v>
      </c>
    </row>
    <row r="17" spans="1:10" ht="14.45" customHeight="1" x14ac:dyDescent="0.2">
      <c r="A17" s="487" t="s">
        <v>452</v>
      </c>
      <c r="B17" s="488" t="s">
        <v>443</v>
      </c>
      <c r="C17" s="489">
        <v>367.56089999999995</v>
      </c>
      <c r="D17" s="489">
        <v>306.5870900000001</v>
      </c>
      <c r="E17" s="489"/>
      <c r="F17" s="489">
        <v>343.72557999999992</v>
      </c>
      <c r="G17" s="489">
        <v>341</v>
      </c>
      <c r="H17" s="489">
        <v>2.7255799999999226</v>
      </c>
      <c r="I17" s="490">
        <v>1.0079929032258061</v>
      </c>
      <c r="J17" s="491" t="s">
        <v>1</v>
      </c>
    </row>
    <row r="18" spans="1:10" ht="14.45" customHeight="1" x14ac:dyDescent="0.2">
      <c r="A18" s="487" t="s">
        <v>452</v>
      </c>
      <c r="B18" s="488" t="s">
        <v>454</v>
      </c>
      <c r="C18" s="489">
        <v>367.56089999999995</v>
      </c>
      <c r="D18" s="489">
        <v>306.5870900000001</v>
      </c>
      <c r="E18" s="489"/>
      <c r="F18" s="489">
        <v>343.72557999999992</v>
      </c>
      <c r="G18" s="489">
        <v>341</v>
      </c>
      <c r="H18" s="489">
        <v>2.7255799999999226</v>
      </c>
      <c r="I18" s="490">
        <v>1.0079929032258061</v>
      </c>
      <c r="J18" s="491" t="s">
        <v>450</v>
      </c>
    </row>
    <row r="19" spans="1:10" ht="14.45" customHeight="1" x14ac:dyDescent="0.2">
      <c r="A19" s="487" t="s">
        <v>442</v>
      </c>
      <c r="B19" s="488" t="s">
        <v>442</v>
      </c>
      <c r="C19" s="489" t="s">
        <v>442</v>
      </c>
      <c r="D19" s="489" t="s">
        <v>442</v>
      </c>
      <c r="E19" s="489"/>
      <c r="F19" s="489" t="s">
        <v>442</v>
      </c>
      <c r="G19" s="489" t="s">
        <v>442</v>
      </c>
      <c r="H19" s="489" t="s">
        <v>442</v>
      </c>
      <c r="I19" s="490" t="s">
        <v>442</v>
      </c>
      <c r="J19" s="491" t="s">
        <v>451</v>
      </c>
    </row>
    <row r="20" spans="1:10" ht="14.45" customHeight="1" x14ac:dyDescent="0.2">
      <c r="A20" s="487" t="s">
        <v>455</v>
      </c>
      <c r="B20" s="488" t="s">
        <v>456</v>
      </c>
      <c r="C20" s="489" t="s">
        <v>442</v>
      </c>
      <c r="D20" s="489" t="s">
        <v>442</v>
      </c>
      <c r="E20" s="489"/>
      <c r="F20" s="489" t="s">
        <v>442</v>
      </c>
      <c r="G20" s="489" t="s">
        <v>442</v>
      </c>
      <c r="H20" s="489" t="s">
        <v>442</v>
      </c>
      <c r="I20" s="490" t="s">
        <v>442</v>
      </c>
      <c r="J20" s="491" t="s">
        <v>0</v>
      </c>
    </row>
    <row r="21" spans="1:10" ht="14.45" customHeight="1" x14ac:dyDescent="0.2">
      <c r="A21" s="487" t="s">
        <v>455</v>
      </c>
      <c r="B21" s="488" t="s">
        <v>443</v>
      </c>
      <c r="C21" s="489">
        <v>0</v>
      </c>
      <c r="D21" s="489">
        <v>0</v>
      </c>
      <c r="E21" s="489"/>
      <c r="F21" s="489">
        <v>526.42885000000012</v>
      </c>
      <c r="G21" s="489">
        <v>393</v>
      </c>
      <c r="H21" s="489">
        <v>133.42885000000012</v>
      </c>
      <c r="I21" s="490">
        <v>1.3395136132315524</v>
      </c>
      <c r="J21" s="491" t="s">
        <v>1</v>
      </c>
    </row>
    <row r="22" spans="1:10" ht="14.45" customHeight="1" x14ac:dyDescent="0.2">
      <c r="A22" s="487" t="s">
        <v>455</v>
      </c>
      <c r="B22" s="488" t="s">
        <v>457</v>
      </c>
      <c r="C22" s="489">
        <v>0</v>
      </c>
      <c r="D22" s="489">
        <v>0</v>
      </c>
      <c r="E22" s="489"/>
      <c r="F22" s="489">
        <v>526.42885000000012</v>
      </c>
      <c r="G22" s="489">
        <v>393</v>
      </c>
      <c r="H22" s="489">
        <v>133.42885000000012</v>
      </c>
      <c r="I22" s="490">
        <v>1.3395136132315524</v>
      </c>
      <c r="J22" s="491" t="s">
        <v>450</v>
      </c>
    </row>
    <row r="23" spans="1:10" ht="14.45" customHeight="1" x14ac:dyDescent="0.2">
      <c r="A23" s="487" t="s">
        <v>442</v>
      </c>
      <c r="B23" s="488" t="s">
        <v>442</v>
      </c>
      <c r="C23" s="489" t="s">
        <v>442</v>
      </c>
      <c r="D23" s="489" t="s">
        <v>442</v>
      </c>
      <c r="E23" s="489"/>
      <c r="F23" s="489" t="s">
        <v>442</v>
      </c>
      <c r="G23" s="489" t="s">
        <v>442</v>
      </c>
      <c r="H23" s="489" t="s">
        <v>442</v>
      </c>
      <c r="I23" s="490" t="s">
        <v>442</v>
      </c>
      <c r="J23" s="491" t="s">
        <v>451</v>
      </c>
    </row>
    <row r="24" spans="1:10" ht="14.45" customHeight="1" x14ac:dyDescent="0.2">
      <c r="A24" s="487" t="s">
        <v>440</v>
      </c>
      <c r="B24" s="488" t="s">
        <v>445</v>
      </c>
      <c r="C24" s="489">
        <v>442.11296999999996</v>
      </c>
      <c r="D24" s="489">
        <v>399.30837000000014</v>
      </c>
      <c r="E24" s="489"/>
      <c r="F24" s="489">
        <v>953.11535000000003</v>
      </c>
      <c r="G24" s="489">
        <v>836</v>
      </c>
      <c r="H24" s="489">
        <v>117.11535000000003</v>
      </c>
      <c r="I24" s="490">
        <v>1.1400901315789473</v>
      </c>
      <c r="J24" s="491" t="s">
        <v>446</v>
      </c>
    </row>
  </sheetData>
  <mergeCells count="3">
    <mergeCell ref="F3:I3"/>
    <mergeCell ref="C4:D4"/>
    <mergeCell ref="A1:I1"/>
  </mergeCells>
  <conditionalFormatting sqref="F9 F25:F65537">
    <cfRule type="cellIs" dxfId="54" priority="18" stopIfTrue="1" operator="greaterThan">
      <formula>1</formula>
    </cfRule>
  </conditionalFormatting>
  <conditionalFormatting sqref="H5:H8">
    <cfRule type="expression" dxfId="53" priority="14">
      <formula>$H5&gt;0</formula>
    </cfRule>
  </conditionalFormatting>
  <conditionalFormatting sqref="I5:I8">
    <cfRule type="expression" dxfId="52" priority="15">
      <formula>$I5&gt;1</formula>
    </cfRule>
  </conditionalFormatting>
  <conditionalFormatting sqref="B5:B8">
    <cfRule type="expression" dxfId="51" priority="11">
      <formula>OR($J5="NS",$J5="SumaNS",$J5="Účet")</formula>
    </cfRule>
  </conditionalFormatting>
  <conditionalFormatting sqref="B5:D8 F5:I8">
    <cfRule type="expression" dxfId="50" priority="17">
      <formula>AND($J5&lt;&gt;"",$J5&lt;&gt;"mezeraKL")</formula>
    </cfRule>
  </conditionalFormatting>
  <conditionalFormatting sqref="B5:D8 F5:I8">
    <cfRule type="expression" dxfId="49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48" priority="13">
      <formula>OR($J5="SumaNS",$J5="NS")</formula>
    </cfRule>
  </conditionalFormatting>
  <conditionalFormatting sqref="A5:A8">
    <cfRule type="expression" dxfId="47" priority="9">
      <formula>AND($J5&lt;&gt;"mezeraKL",$J5&lt;&gt;"")</formula>
    </cfRule>
  </conditionalFormatting>
  <conditionalFormatting sqref="A5:A8">
    <cfRule type="expression" dxfId="46" priority="10">
      <formula>AND($J5&lt;&gt;"",$J5&lt;&gt;"mezeraKL")</formula>
    </cfRule>
  </conditionalFormatting>
  <conditionalFormatting sqref="H10:H24">
    <cfRule type="expression" dxfId="45" priority="5">
      <formula>$H10&gt;0</formula>
    </cfRule>
  </conditionalFormatting>
  <conditionalFormatting sqref="A10:A24">
    <cfRule type="expression" dxfId="44" priority="2">
      <formula>AND($J10&lt;&gt;"mezeraKL",$J10&lt;&gt;"")</formula>
    </cfRule>
  </conditionalFormatting>
  <conditionalFormatting sqref="I10:I24">
    <cfRule type="expression" dxfId="43" priority="6">
      <formula>$I10&gt;1</formula>
    </cfRule>
  </conditionalFormatting>
  <conditionalFormatting sqref="B10:B24">
    <cfRule type="expression" dxfId="42" priority="1">
      <formula>OR($J10="NS",$J10="SumaNS",$J10="Účet")</formula>
    </cfRule>
  </conditionalFormatting>
  <conditionalFormatting sqref="A10:D24 F10:I24">
    <cfRule type="expression" dxfId="41" priority="8">
      <formula>AND($J10&lt;&gt;"",$J10&lt;&gt;"mezeraKL")</formula>
    </cfRule>
  </conditionalFormatting>
  <conditionalFormatting sqref="B10:D24 F10:I24">
    <cfRule type="expression" dxfId="40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24 F10:I24">
    <cfRule type="expression" dxfId="39" priority="4">
      <formula>OR($J10="SumaNS",$J10="NS")</formula>
    </cfRule>
  </conditionalFormatting>
  <hyperlinks>
    <hyperlink ref="A2" location="Obsah!A1" display="Zpět na Obsah  KL 01  1.-4.měsíc" xr:uid="{B7E65650-884E-4AA6-9BC5-C57BB78D4F92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41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9" bestFit="1" customWidth="1" collapsed="1"/>
    <col min="4" max="4" width="18.7109375" style="213" customWidth="1"/>
    <col min="5" max="5" width="9" style="275" bestFit="1" customWidth="1"/>
    <col min="6" max="6" width="18.7109375" style="213" customWidth="1"/>
    <col min="7" max="7" width="5" style="209" customWidth="1"/>
    <col min="8" max="8" width="12.42578125" style="209" hidden="1" customWidth="1" outlineLevel="1"/>
    <col min="9" max="9" width="8.5703125" style="209" hidden="1" customWidth="1" outlineLevel="1"/>
    <col min="10" max="10" width="25.7109375" style="209" customWidth="1" collapsed="1"/>
    <col min="11" max="11" width="8.7109375" style="209" customWidth="1"/>
    <col min="12" max="13" width="7.7109375" style="207" customWidth="1"/>
    <col min="14" max="14" width="12.7109375" style="207" customWidth="1"/>
    <col min="15" max="16384" width="8.85546875" style="129"/>
  </cols>
  <sheetData>
    <row r="1" spans="1:14" ht="18.600000000000001" customHeight="1" thickBot="1" x14ac:dyDescent="0.35">
      <c r="A1" s="366" t="s">
        <v>163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5" customHeight="1" thickBot="1" x14ac:dyDescent="0.25">
      <c r="A2" s="232" t="s">
        <v>270</v>
      </c>
      <c r="B2" s="62"/>
      <c r="C2" s="211"/>
      <c r="D2" s="211"/>
      <c r="E2" s="274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5" customHeight="1" thickBot="1" x14ac:dyDescent="0.2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429.33122662590449</v>
      </c>
      <c r="M3" s="98">
        <f>SUBTOTAL(9,M5:M1048576)</f>
        <v>2220</v>
      </c>
      <c r="N3" s="99">
        <f>SUBTOTAL(9,N5:N1048576)</f>
        <v>953115.32310950803</v>
      </c>
    </row>
    <row r="4" spans="1:14" s="208" customFormat="1" ht="14.45" customHeight="1" thickBot="1" x14ac:dyDescent="0.25">
      <c r="A4" s="492" t="s">
        <v>4</v>
      </c>
      <c r="B4" s="493" t="s">
        <v>5</v>
      </c>
      <c r="C4" s="493" t="s">
        <v>0</v>
      </c>
      <c r="D4" s="493" t="s">
        <v>6</v>
      </c>
      <c r="E4" s="494" t="s">
        <v>7</v>
      </c>
      <c r="F4" s="493" t="s">
        <v>1</v>
      </c>
      <c r="G4" s="493" t="s">
        <v>8</v>
      </c>
      <c r="H4" s="493" t="s">
        <v>9</v>
      </c>
      <c r="I4" s="493" t="s">
        <v>10</v>
      </c>
      <c r="J4" s="495" t="s">
        <v>11</v>
      </c>
      <c r="K4" s="495" t="s">
        <v>12</v>
      </c>
      <c r="L4" s="496" t="s">
        <v>142</v>
      </c>
      <c r="M4" s="496" t="s">
        <v>13</v>
      </c>
      <c r="N4" s="497" t="s">
        <v>159</v>
      </c>
    </row>
    <row r="5" spans="1:14" ht="14.45" customHeight="1" x14ac:dyDescent="0.2">
      <c r="A5" s="500" t="s">
        <v>440</v>
      </c>
      <c r="B5" s="501" t="s">
        <v>441</v>
      </c>
      <c r="C5" s="502" t="s">
        <v>447</v>
      </c>
      <c r="D5" s="503" t="s">
        <v>448</v>
      </c>
      <c r="E5" s="504">
        <v>50113001</v>
      </c>
      <c r="F5" s="503" t="s">
        <v>458</v>
      </c>
      <c r="G5" s="502" t="s">
        <v>459</v>
      </c>
      <c r="H5" s="502">
        <v>100362</v>
      </c>
      <c r="I5" s="502">
        <v>362</v>
      </c>
      <c r="J5" s="502" t="s">
        <v>460</v>
      </c>
      <c r="K5" s="502" t="s">
        <v>461</v>
      </c>
      <c r="L5" s="505">
        <v>72.759999999999991</v>
      </c>
      <c r="M5" s="505">
        <v>4</v>
      </c>
      <c r="N5" s="506">
        <v>291.03999999999996</v>
      </c>
    </row>
    <row r="6" spans="1:14" ht="14.45" customHeight="1" x14ac:dyDescent="0.2">
      <c r="A6" s="507" t="s">
        <v>440</v>
      </c>
      <c r="B6" s="508" t="s">
        <v>441</v>
      </c>
      <c r="C6" s="509" t="s">
        <v>447</v>
      </c>
      <c r="D6" s="510" t="s">
        <v>448</v>
      </c>
      <c r="E6" s="511">
        <v>50113001</v>
      </c>
      <c r="F6" s="510" t="s">
        <v>458</v>
      </c>
      <c r="G6" s="509" t="s">
        <v>459</v>
      </c>
      <c r="H6" s="509">
        <v>196610</v>
      </c>
      <c r="I6" s="509">
        <v>96610</v>
      </c>
      <c r="J6" s="509" t="s">
        <v>462</v>
      </c>
      <c r="K6" s="509" t="s">
        <v>463</v>
      </c>
      <c r="L6" s="512">
        <v>46.360000000000007</v>
      </c>
      <c r="M6" s="512">
        <v>2</v>
      </c>
      <c r="N6" s="513">
        <v>92.720000000000013</v>
      </c>
    </row>
    <row r="7" spans="1:14" ht="14.45" customHeight="1" x14ac:dyDescent="0.2">
      <c r="A7" s="507" t="s">
        <v>440</v>
      </c>
      <c r="B7" s="508" t="s">
        <v>441</v>
      </c>
      <c r="C7" s="509" t="s">
        <v>447</v>
      </c>
      <c r="D7" s="510" t="s">
        <v>448</v>
      </c>
      <c r="E7" s="511">
        <v>50113001</v>
      </c>
      <c r="F7" s="510" t="s">
        <v>458</v>
      </c>
      <c r="G7" s="509" t="s">
        <v>459</v>
      </c>
      <c r="H7" s="509">
        <v>100394</v>
      </c>
      <c r="I7" s="509">
        <v>394</v>
      </c>
      <c r="J7" s="509" t="s">
        <v>464</v>
      </c>
      <c r="K7" s="509" t="s">
        <v>465</v>
      </c>
      <c r="L7" s="512">
        <v>65.730000000000018</v>
      </c>
      <c r="M7" s="512">
        <v>1</v>
      </c>
      <c r="N7" s="513">
        <v>65.730000000000018</v>
      </c>
    </row>
    <row r="8" spans="1:14" ht="14.45" customHeight="1" x14ac:dyDescent="0.2">
      <c r="A8" s="507" t="s">
        <v>440</v>
      </c>
      <c r="B8" s="508" t="s">
        <v>441</v>
      </c>
      <c r="C8" s="509" t="s">
        <v>447</v>
      </c>
      <c r="D8" s="510" t="s">
        <v>448</v>
      </c>
      <c r="E8" s="511">
        <v>50113001</v>
      </c>
      <c r="F8" s="510" t="s">
        <v>458</v>
      </c>
      <c r="G8" s="509" t="s">
        <v>459</v>
      </c>
      <c r="H8" s="509">
        <v>212884</v>
      </c>
      <c r="I8" s="509">
        <v>212884</v>
      </c>
      <c r="J8" s="509" t="s">
        <v>466</v>
      </c>
      <c r="K8" s="509" t="s">
        <v>467</v>
      </c>
      <c r="L8" s="512">
        <v>0</v>
      </c>
      <c r="M8" s="512">
        <v>0</v>
      </c>
      <c r="N8" s="513">
        <v>0</v>
      </c>
    </row>
    <row r="9" spans="1:14" ht="14.45" customHeight="1" x14ac:dyDescent="0.2">
      <c r="A9" s="507" t="s">
        <v>440</v>
      </c>
      <c r="B9" s="508" t="s">
        <v>441</v>
      </c>
      <c r="C9" s="509" t="s">
        <v>447</v>
      </c>
      <c r="D9" s="510" t="s">
        <v>448</v>
      </c>
      <c r="E9" s="511">
        <v>50113001</v>
      </c>
      <c r="F9" s="510" t="s">
        <v>458</v>
      </c>
      <c r="G9" s="509" t="s">
        <v>459</v>
      </c>
      <c r="H9" s="509">
        <v>158249</v>
      </c>
      <c r="I9" s="509">
        <v>58249</v>
      </c>
      <c r="J9" s="509" t="s">
        <v>468</v>
      </c>
      <c r="K9" s="509" t="s">
        <v>442</v>
      </c>
      <c r="L9" s="512">
        <v>230.40399999999994</v>
      </c>
      <c r="M9" s="512">
        <v>10</v>
      </c>
      <c r="N9" s="513">
        <v>2304.0399999999995</v>
      </c>
    </row>
    <row r="10" spans="1:14" ht="14.45" customHeight="1" x14ac:dyDescent="0.2">
      <c r="A10" s="507" t="s">
        <v>440</v>
      </c>
      <c r="B10" s="508" t="s">
        <v>441</v>
      </c>
      <c r="C10" s="509" t="s">
        <v>447</v>
      </c>
      <c r="D10" s="510" t="s">
        <v>448</v>
      </c>
      <c r="E10" s="511">
        <v>50113001</v>
      </c>
      <c r="F10" s="510" t="s">
        <v>458</v>
      </c>
      <c r="G10" s="509" t="s">
        <v>459</v>
      </c>
      <c r="H10" s="509">
        <v>216670</v>
      </c>
      <c r="I10" s="509">
        <v>216670</v>
      </c>
      <c r="J10" s="509" t="s">
        <v>469</v>
      </c>
      <c r="K10" s="509" t="s">
        <v>470</v>
      </c>
      <c r="L10" s="512">
        <v>314.27</v>
      </c>
      <c r="M10" s="512">
        <v>1</v>
      </c>
      <c r="N10" s="513">
        <v>314.27</v>
      </c>
    </row>
    <row r="11" spans="1:14" ht="14.45" customHeight="1" x14ac:dyDescent="0.2">
      <c r="A11" s="507" t="s">
        <v>440</v>
      </c>
      <c r="B11" s="508" t="s">
        <v>441</v>
      </c>
      <c r="C11" s="509" t="s">
        <v>447</v>
      </c>
      <c r="D11" s="510" t="s">
        <v>448</v>
      </c>
      <c r="E11" s="511">
        <v>50113001</v>
      </c>
      <c r="F11" s="510" t="s">
        <v>458</v>
      </c>
      <c r="G11" s="509" t="s">
        <v>459</v>
      </c>
      <c r="H11" s="509">
        <v>51366</v>
      </c>
      <c r="I11" s="509">
        <v>51366</v>
      </c>
      <c r="J11" s="509" t="s">
        <v>471</v>
      </c>
      <c r="K11" s="509" t="s">
        <v>472</v>
      </c>
      <c r="L11" s="512">
        <v>171.6</v>
      </c>
      <c r="M11" s="512">
        <v>106</v>
      </c>
      <c r="N11" s="513">
        <v>18189.599999999999</v>
      </c>
    </row>
    <row r="12" spans="1:14" ht="14.45" customHeight="1" x14ac:dyDescent="0.2">
      <c r="A12" s="507" t="s">
        <v>440</v>
      </c>
      <c r="B12" s="508" t="s">
        <v>441</v>
      </c>
      <c r="C12" s="509" t="s">
        <v>447</v>
      </c>
      <c r="D12" s="510" t="s">
        <v>448</v>
      </c>
      <c r="E12" s="511">
        <v>50113001</v>
      </c>
      <c r="F12" s="510" t="s">
        <v>458</v>
      </c>
      <c r="G12" s="509" t="s">
        <v>459</v>
      </c>
      <c r="H12" s="509">
        <v>208466</v>
      </c>
      <c r="I12" s="509">
        <v>208466</v>
      </c>
      <c r="J12" s="509" t="s">
        <v>473</v>
      </c>
      <c r="K12" s="509" t="s">
        <v>474</v>
      </c>
      <c r="L12" s="512">
        <v>792.77</v>
      </c>
      <c r="M12" s="512">
        <v>4</v>
      </c>
      <c r="N12" s="513">
        <v>3171.08</v>
      </c>
    </row>
    <row r="13" spans="1:14" ht="14.45" customHeight="1" x14ac:dyDescent="0.2">
      <c r="A13" s="507" t="s">
        <v>440</v>
      </c>
      <c r="B13" s="508" t="s">
        <v>441</v>
      </c>
      <c r="C13" s="509" t="s">
        <v>447</v>
      </c>
      <c r="D13" s="510" t="s">
        <v>448</v>
      </c>
      <c r="E13" s="511">
        <v>50113001</v>
      </c>
      <c r="F13" s="510" t="s">
        <v>458</v>
      </c>
      <c r="G13" s="509" t="s">
        <v>459</v>
      </c>
      <c r="H13" s="509">
        <v>920304</v>
      </c>
      <c r="I13" s="509">
        <v>0</v>
      </c>
      <c r="J13" s="509" t="s">
        <v>475</v>
      </c>
      <c r="K13" s="509" t="s">
        <v>442</v>
      </c>
      <c r="L13" s="512">
        <v>258.69533282035491</v>
      </c>
      <c r="M13" s="512">
        <v>4</v>
      </c>
      <c r="N13" s="513">
        <v>1034.7813312814196</v>
      </c>
    </row>
    <row r="14" spans="1:14" ht="14.45" customHeight="1" x14ac:dyDescent="0.2">
      <c r="A14" s="507" t="s">
        <v>440</v>
      </c>
      <c r="B14" s="508" t="s">
        <v>441</v>
      </c>
      <c r="C14" s="509" t="s">
        <v>447</v>
      </c>
      <c r="D14" s="510" t="s">
        <v>448</v>
      </c>
      <c r="E14" s="511">
        <v>50113001</v>
      </c>
      <c r="F14" s="510" t="s">
        <v>458</v>
      </c>
      <c r="G14" s="509" t="s">
        <v>459</v>
      </c>
      <c r="H14" s="509">
        <v>930035</v>
      </c>
      <c r="I14" s="509">
        <v>0</v>
      </c>
      <c r="J14" s="509" t="s">
        <v>476</v>
      </c>
      <c r="K14" s="509" t="s">
        <v>442</v>
      </c>
      <c r="L14" s="512">
        <v>58.147350943981401</v>
      </c>
      <c r="M14" s="512">
        <v>6</v>
      </c>
      <c r="N14" s="513">
        <v>348.88410566388842</v>
      </c>
    </row>
    <row r="15" spans="1:14" ht="14.45" customHeight="1" x14ac:dyDescent="0.2">
      <c r="A15" s="507" t="s">
        <v>440</v>
      </c>
      <c r="B15" s="508" t="s">
        <v>441</v>
      </c>
      <c r="C15" s="509" t="s">
        <v>447</v>
      </c>
      <c r="D15" s="510" t="s">
        <v>448</v>
      </c>
      <c r="E15" s="511">
        <v>50113001</v>
      </c>
      <c r="F15" s="510" t="s">
        <v>458</v>
      </c>
      <c r="G15" s="509" t="s">
        <v>459</v>
      </c>
      <c r="H15" s="509">
        <v>900321</v>
      </c>
      <c r="I15" s="509">
        <v>0</v>
      </c>
      <c r="J15" s="509" t="s">
        <v>477</v>
      </c>
      <c r="K15" s="509" t="s">
        <v>442</v>
      </c>
      <c r="L15" s="512">
        <v>81.56374283672892</v>
      </c>
      <c r="M15" s="512">
        <v>4</v>
      </c>
      <c r="N15" s="513">
        <v>326.25497134691568</v>
      </c>
    </row>
    <row r="16" spans="1:14" ht="14.45" customHeight="1" x14ac:dyDescent="0.2">
      <c r="A16" s="507" t="s">
        <v>440</v>
      </c>
      <c r="B16" s="508" t="s">
        <v>441</v>
      </c>
      <c r="C16" s="509" t="s">
        <v>447</v>
      </c>
      <c r="D16" s="510" t="s">
        <v>448</v>
      </c>
      <c r="E16" s="511">
        <v>50113001</v>
      </c>
      <c r="F16" s="510" t="s">
        <v>458</v>
      </c>
      <c r="G16" s="509" t="s">
        <v>459</v>
      </c>
      <c r="H16" s="509">
        <v>841560</v>
      </c>
      <c r="I16" s="509">
        <v>0</v>
      </c>
      <c r="J16" s="509" t="s">
        <v>478</v>
      </c>
      <c r="K16" s="509" t="s">
        <v>442</v>
      </c>
      <c r="L16" s="512">
        <v>186.3049949460935</v>
      </c>
      <c r="M16" s="512">
        <v>59</v>
      </c>
      <c r="N16" s="513">
        <v>10991.994701819516</v>
      </c>
    </row>
    <row r="17" spans="1:14" ht="14.45" customHeight="1" x14ac:dyDescent="0.2">
      <c r="A17" s="507" t="s">
        <v>440</v>
      </c>
      <c r="B17" s="508" t="s">
        <v>441</v>
      </c>
      <c r="C17" s="509" t="s">
        <v>447</v>
      </c>
      <c r="D17" s="510" t="s">
        <v>448</v>
      </c>
      <c r="E17" s="511">
        <v>50113001</v>
      </c>
      <c r="F17" s="510" t="s">
        <v>458</v>
      </c>
      <c r="G17" s="509" t="s">
        <v>459</v>
      </c>
      <c r="H17" s="509">
        <v>237329</v>
      </c>
      <c r="I17" s="509">
        <v>237329</v>
      </c>
      <c r="J17" s="509" t="s">
        <v>479</v>
      </c>
      <c r="K17" s="509" t="s">
        <v>480</v>
      </c>
      <c r="L17" s="512">
        <v>108.64</v>
      </c>
      <c r="M17" s="512">
        <v>22</v>
      </c>
      <c r="N17" s="513">
        <v>2390.08</v>
      </c>
    </row>
    <row r="18" spans="1:14" ht="14.45" customHeight="1" x14ac:dyDescent="0.2">
      <c r="A18" s="507" t="s">
        <v>440</v>
      </c>
      <c r="B18" s="508" t="s">
        <v>441</v>
      </c>
      <c r="C18" s="509" t="s">
        <v>447</v>
      </c>
      <c r="D18" s="510" t="s">
        <v>448</v>
      </c>
      <c r="E18" s="511">
        <v>50113001</v>
      </c>
      <c r="F18" s="510" t="s">
        <v>458</v>
      </c>
      <c r="G18" s="509" t="s">
        <v>459</v>
      </c>
      <c r="H18" s="509">
        <v>100498</v>
      </c>
      <c r="I18" s="509">
        <v>498</v>
      </c>
      <c r="J18" s="509" t="s">
        <v>479</v>
      </c>
      <c r="K18" s="509" t="s">
        <v>480</v>
      </c>
      <c r="L18" s="512">
        <v>108.72235449735449</v>
      </c>
      <c r="M18" s="512">
        <v>378</v>
      </c>
      <c r="N18" s="513">
        <v>41097.049999999996</v>
      </c>
    </row>
    <row r="19" spans="1:14" ht="14.45" customHeight="1" x14ac:dyDescent="0.2">
      <c r="A19" s="507" t="s">
        <v>440</v>
      </c>
      <c r="B19" s="508" t="s">
        <v>441</v>
      </c>
      <c r="C19" s="509" t="s">
        <v>447</v>
      </c>
      <c r="D19" s="510" t="s">
        <v>448</v>
      </c>
      <c r="E19" s="511">
        <v>50113001</v>
      </c>
      <c r="F19" s="510" t="s">
        <v>458</v>
      </c>
      <c r="G19" s="509" t="s">
        <v>459</v>
      </c>
      <c r="H19" s="509">
        <v>102684</v>
      </c>
      <c r="I19" s="509">
        <v>2684</v>
      </c>
      <c r="J19" s="509" t="s">
        <v>481</v>
      </c>
      <c r="K19" s="509" t="s">
        <v>482</v>
      </c>
      <c r="L19" s="512">
        <v>109.66</v>
      </c>
      <c r="M19" s="512">
        <v>4</v>
      </c>
      <c r="N19" s="513">
        <v>438.64</v>
      </c>
    </row>
    <row r="20" spans="1:14" ht="14.45" customHeight="1" x14ac:dyDescent="0.2">
      <c r="A20" s="507" t="s">
        <v>440</v>
      </c>
      <c r="B20" s="508" t="s">
        <v>441</v>
      </c>
      <c r="C20" s="509" t="s">
        <v>447</v>
      </c>
      <c r="D20" s="510" t="s">
        <v>448</v>
      </c>
      <c r="E20" s="511">
        <v>50113001</v>
      </c>
      <c r="F20" s="510" t="s">
        <v>458</v>
      </c>
      <c r="G20" s="509" t="s">
        <v>459</v>
      </c>
      <c r="H20" s="509">
        <v>100527</v>
      </c>
      <c r="I20" s="509">
        <v>527</v>
      </c>
      <c r="J20" s="509" t="s">
        <v>483</v>
      </c>
      <c r="K20" s="509" t="s">
        <v>484</v>
      </c>
      <c r="L20" s="512">
        <v>136.54000000000002</v>
      </c>
      <c r="M20" s="512">
        <v>1</v>
      </c>
      <c r="N20" s="513">
        <v>136.54000000000002</v>
      </c>
    </row>
    <row r="21" spans="1:14" ht="14.45" customHeight="1" x14ac:dyDescent="0.2">
      <c r="A21" s="507" t="s">
        <v>440</v>
      </c>
      <c r="B21" s="508" t="s">
        <v>441</v>
      </c>
      <c r="C21" s="509" t="s">
        <v>447</v>
      </c>
      <c r="D21" s="510" t="s">
        <v>448</v>
      </c>
      <c r="E21" s="511">
        <v>50113001</v>
      </c>
      <c r="F21" s="510" t="s">
        <v>458</v>
      </c>
      <c r="G21" s="509" t="s">
        <v>459</v>
      </c>
      <c r="H21" s="509">
        <v>207962</v>
      </c>
      <c r="I21" s="509">
        <v>207962</v>
      </c>
      <c r="J21" s="509" t="s">
        <v>485</v>
      </c>
      <c r="K21" s="509" t="s">
        <v>486</v>
      </c>
      <c r="L21" s="512">
        <v>32.89</v>
      </c>
      <c r="M21" s="512">
        <v>1</v>
      </c>
      <c r="N21" s="513">
        <v>32.89</v>
      </c>
    </row>
    <row r="22" spans="1:14" ht="14.45" customHeight="1" x14ac:dyDescent="0.2">
      <c r="A22" s="507" t="s">
        <v>440</v>
      </c>
      <c r="B22" s="508" t="s">
        <v>441</v>
      </c>
      <c r="C22" s="509" t="s">
        <v>447</v>
      </c>
      <c r="D22" s="510" t="s">
        <v>448</v>
      </c>
      <c r="E22" s="511">
        <v>50113001</v>
      </c>
      <c r="F22" s="510" t="s">
        <v>458</v>
      </c>
      <c r="G22" s="509" t="s">
        <v>487</v>
      </c>
      <c r="H22" s="509">
        <v>107981</v>
      </c>
      <c r="I22" s="509">
        <v>7981</v>
      </c>
      <c r="J22" s="509" t="s">
        <v>488</v>
      </c>
      <c r="K22" s="509" t="s">
        <v>489</v>
      </c>
      <c r="L22" s="512">
        <v>50.658181818181831</v>
      </c>
      <c r="M22" s="512">
        <v>33</v>
      </c>
      <c r="N22" s="513">
        <v>1671.7200000000005</v>
      </c>
    </row>
    <row r="23" spans="1:14" ht="14.45" customHeight="1" x14ac:dyDescent="0.2">
      <c r="A23" s="507" t="s">
        <v>440</v>
      </c>
      <c r="B23" s="508" t="s">
        <v>441</v>
      </c>
      <c r="C23" s="509" t="s">
        <v>447</v>
      </c>
      <c r="D23" s="510" t="s">
        <v>448</v>
      </c>
      <c r="E23" s="511">
        <v>50113001</v>
      </c>
      <c r="F23" s="510" t="s">
        <v>458</v>
      </c>
      <c r="G23" s="509" t="s">
        <v>459</v>
      </c>
      <c r="H23" s="509">
        <v>100643</v>
      </c>
      <c r="I23" s="509">
        <v>643</v>
      </c>
      <c r="J23" s="509" t="s">
        <v>490</v>
      </c>
      <c r="K23" s="509" t="s">
        <v>491</v>
      </c>
      <c r="L23" s="512">
        <v>63.579999999999991</v>
      </c>
      <c r="M23" s="512">
        <v>1</v>
      </c>
      <c r="N23" s="513">
        <v>63.579999999999991</v>
      </c>
    </row>
    <row r="24" spans="1:14" ht="14.45" customHeight="1" x14ac:dyDescent="0.2">
      <c r="A24" s="507" t="s">
        <v>440</v>
      </c>
      <c r="B24" s="508" t="s">
        <v>441</v>
      </c>
      <c r="C24" s="509" t="s">
        <v>455</v>
      </c>
      <c r="D24" s="510" t="s">
        <v>456</v>
      </c>
      <c r="E24" s="511">
        <v>50113001</v>
      </c>
      <c r="F24" s="510" t="s">
        <v>458</v>
      </c>
      <c r="G24" s="509" t="s">
        <v>459</v>
      </c>
      <c r="H24" s="509">
        <v>26151</v>
      </c>
      <c r="I24" s="509">
        <v>26151</v>
      </c>
      <c r="J24" s="509" t="s">
        <v>492</v>
      </c>
      <c r="K24" s="509" t="s">
        <v>493</v>
      </c>
      <c r="L24" s="512">
        <v>469.93039024390248</v>
      </c>
      <c r="M24" s="512">
        <v>1025</v>
      </c>
      <c r="N24" s="513">
        <v>481678.65</v>
      </c>
    </row>
    <row r="25" spans="1:14" ht="14.45" customHeight="1" x14ac:dyDescent="0.2">
      <c r="A25" s="507" t="s">
        <v>440</v>
      </c>
      <c r="B25" s="508" t="s">
        <v>441</v>
      </c>
      <c r="C25" s="509" t="s">
        <v>455</v>
      </c>
      <c r="D25" s="510" t="s">
        <v>456</v>
      </c>
      <c r="E25" s="511">
        <v>50113001</v>
      </c>
      <c r="F25" s="510" t="s">
        <v>458</v>
      </c>
      <c r="G25" s="509" t="s">
        <v>459</v>
      </c>
      <c r="H25" s="509">
        <v>57521</v>
      </c>
      <c r="I25" s="509">
        <v>57521</v>
      </c>
      <c r="J25" s="509" t="s">
        <v>494</v>
      </c>
      <c r="K25" s="509" t="s">
        <v>495</v>
      </c>
      <c r="L25" s="512">
        <v>447.50199999999995</v>
      </c>
      <c r="M25" s="512">
        <v>100</v>
      </c>
      <c r="N25" s="513">
        <v>44750.2</v>
      </c>
    </row>
    <row r="26" spans="1:14" ht="14.45" customHeight="1" x14ac:dyDescent="0.2">
      <c r="A26" s="507" t="s">
        <v>440</v>
      </c>
      <c r="B26" s="508" t="s">
        <v>441</v>
      </c>
      <c r="C26" s="509" t="s">
        <v>452</v>
      </c>
      <c r="D26" s="510" t="s">
        <v>453</v>
      </c>
      <c r="E26" s="511">
        <v>50113001</v>
      </c>
      <c r="F26" s="510" t="s">
        <v>458</v>
      </c>
      <c r="G26" s="509" t="s">
        <v>459</v>
      </c>
      <c r="H26" s="509">
        <v>845282</v>
      </c>
      <c r="I26" s="509">
        <v>107133</v>
      </c>
      <c r="J26" s="509" t="s">
        <v>496</v>
      </c>
      <c r="K26" s="509" t="s">
        <v>497</v>
      </c>
      <c r="L26" s="512">
        <v>877.12981016076071</v>
      </c>
      <c r="M26" s="512">
        <v>92</v>
      </c>
      <c r="N26" s="513">
        <v>80695.942534789981</v>
      </c>
    </row>
    <row r="27" spans="1:14" ht="14.45" customHeight="1" x14ac:dyDescent="0.2">
      <c r="A27" s="507" t="s">
        <v>440</v>
      </c>
      <c r="B27" s="508" t="s">
        <v>441</v>
      </c>
      <c r="C27" s="509" t="s">
        <v>452</v>
      </c>
      <c r="D27" s="510" t="s">
        <v>453</v>
      </c>
      <c r="E27" s="511">
        <v>50113001</v>
      </c>
      <c r="F27" s="510" t="s">
        <v>458</v>
      </c>
      <c r="G27" s="509" t="s">
        <v>459</v>
      </c>
      <c r="H27" s="509">
        <v>193805</v>
      </c>
      <c r="I27" s="509">
        <v>193805</v>
      </c>
      <c r="J27" s="509" t="s">
        <v>498</v>
      </c>
      <c r="K27" s="509" t="s">
        <v>499</v>
      </c>
      <c r="L27" s="512">
        <v>2485.514725249895</v>
      </c>
      <c r="M27" s="512">
        <v>6</v>
      </c>
      <c r="N27" s="513">
        <v>14913.088351499371</v>
      </c>
    </row>
    <row r="28" spans="1:14" ht="14.45" customHeight="1" x14ac:dyDescent="0.2">
      <c r="A28" s="507" t="s">
        <v>440</v>
      </c>
      <c r="B28" s="508" t="s">
        <v>441</v>
      </c>
      <c r="C28" s="509" t="s">
        <v>452</v>
      </c>
      <c r="D28" s="510" t="s">
        <v>453</v>
      </c>
      <c r="E28" s="511">
        <v>50113001</v>
      </c>
      <c r="F28" s="510" t="s">
        <v>458</v>
      </c>
      <c r="G28" s="509" t="s">
        <v>459</v>
      </c>
      <c r="H28" s="509">
        <v>120102</v>
      </c>
      <c r="I28" s="509">
        <v>120102</v>
      </c>
      <c r="J28" s="509" t="s">
        <v>500</v>
      </c>
      <c r="K28" s="509" t="s">
        <v>501</v>
      </c>
      <c r="L28" s="512">
        <v>551.65045377152967</v>
      </c>
      <c r="M28" s="512">
        <v>2</v>
      </c>
      <c r="N28" s="513">
        <v>1103.3009075430593</v>
      </c>
    </row>
    <row r="29" spans="1:14" ht="14.45" customHeight="1" x14ac:dyDescent="0.2">
      <c r="A29" s="507" t="s">
        <v>440</v>
      </c>
      <c r="B29" s="508" t="s">
        <v>441</v>
      </c>
      <c r="C29" s="509" t="s">
        <v>452</v>
      </c>
      <c r="D29" s="510" t="s">
        <v>453</v>
      </c>
      <c r="E29" s="511">
        <v>50113001</v>
      </c>
      <c r="F29" s="510" t="s">
        <v>458</v>
      </c>
      <c r="G29" s="509" t="s">
        <v>459</v>
      </c>
      <c r="H29" s="509">
        <v>132827</v>
      </c>
      <c r="I29" s="509">
        <v>32827</v>
      </c>
      <c r="J29" s="509" t="s">
        <v>502</v>
      </c>
      <c r="K29" s="509" t="s">
        <v>499</v>
      </c>
      <c r="L29" s="512">
        <v>672.12526315789478</v>
      </c>
      <c r="M29" s="512">
        <v>19</v>
      </c>
      <c r="N29" s="513">
        <v>12770.380000000001</v>
      </c>
    </row>
    <row r="30" spans="1:14" ht="14.45" customHeight="1" x14ac:dyDescent="0.2">
      <c r="A30" s="507" t="s">
        <v>440</v>
      </c>
      <c r="B30" s="508" t="s">
        <v>441</v>
      </c>
      <c r="C30" s="509" t="s">
        <v>452</v>
      </c>
      <c r="D30" s="510" t="s">
        <v>453</v>
      </c>
      <c r="E30" s="511">
        <v>50113001</v>
      </c>
      <c r="F30" s="510" t="s">
        <v>458</v>
      </c>
      <c r="G30" s="509" t="s">
        <v>459</v>
      </c>
      <c r="H30" s="509">
        <v>103073</v>
      </c>
      <c r="I30" s="509">
        <v>103073</v>
      </c>
      <c r="J30" s="509" t="s">
        <v>503</v>
      </c>
      <c r="K30" s="509" t="s">
        <v>504</v>
      </c>
      <c r="L30" s="512">
        <v>639.87004799372289</v>
      </c>
      <c r="M30" s="512">
        <v>1</v>
      </c>
      <c r="N30" s="513">
        <v>639.87004799372289</v>
      </c>
    </row>
    <row r="31" spans="1:14" ht="14.45" customHeight="1" x14ac:dyDescent="0.2">
      <c r="A31" s="507" t="s">
        <v>440</v>
      </c>
      <c r="B31" s="508" t="s">
        <v>441</v>
      </c>
      <c r="C31" s="509" t="s">
        <v>452</v>
      </c>
      <c r="D31" s="510" t="s">
        <v>453</v>
      </c>
      <c r="E31" s="511">
        <v>50113001</v>
      </c>
      <c r="F31" s="510" t="s">
        <v>458</v>
      </c>
      <c r="G31" s="509" t="s">
        <v>459</v>
      </c>
      <c r="H31" s="509">
        <v>215956</v>
      </c>
      <c r="I31" s="509">
        <v>215956</v>
      </c>
      <c r="J31" s="509" t="s">
        <v>505</v>
      </c>
      <c r="K31" s="509" t="s">
        <v>506</v>
      </c>
      <c r="L31" s="512">
        <v>636.46326930903695</v>
      </c>
      <c r="M31" s="512">
        <v>94</v>
      </c>
      <c r="N31" s="513">
        <v>59827.547315049473</v>
      </c>
    </row>
    <row r="32" spans="1:14" ht="14.45" customHeight="1" x14ac:dyDescent="0.2">
      <c r="A32" s="507" t="s">
        <v>440</v>
      </c>
      <c r="B32" s="508" t="s">
        <v>441</v>
      </c>
      <c r="C32" s="509" t="s">
        <v>452</v>
      </c>
      <c r="D32" s="510" t="s">
        <v>453</v>
      </c>
      <c r="E32" s="511">
        <v>50113001</v>
      </c>
      <c r="F32" s="510" t="s">
        <v>458</v>
      </c>
      <c r="G32" s="509" t="s">
        <v>459</v>
      </c>
      <c r="H32" s="509">
        <v>210636</v>
      </c>
      <c r="I32" s="509">
        <v>210636</v>
      </c>
      <c r="J32" s="509" t="s">
        <v>507</v>
      </c>
      <c r="K32" s="509" t="s">
        <v>508</v>
      </c>
      <c r="L32" s="512">
        <v>3334.1771148664143</v>
      </c>
      <c r="M32" s="512">
        <v>6</v>
      </c>
      <c r="N32" s="513">
        <v>20005.062689198487</v>
      </c>
    </row>
    <row r="33" spans="1:14" ht="14.45" customHeight="1" x14ac:dyDescent="0.2">
      <c r="A33" s="507" t="s">
        <v>440</v>
      </c>
      <c r="B33" s="508" t="s">
        <v>441</v>
      </c>
      <c r="C33" s="509" t="s">
        <v>452</v>
      </c>
      <c r="D33" s="510" t="s">
        <v>453</v>
      </c>
      <c r="E33" s="511">
        <v>50113001</v>
      </c>
      <c r="F33" s="510" t="s">
        <v>458</v>
      </c>
      <c r="G33" s="509" t="s">
        <v>459</v>
      </c>
      <c r="H33" s="509">
        <v>231888</v>
      </c>
      <c r="I33" s="509">
        <v>231888</v>
      </c>
      <c r="J33" s="509" t="s">
        <v>509</v>
      </c>
      <c r="K33" s="509" t="s">
        <v>510</v>
      </c>
      <c r="L33" s="512">
        <v>187.2</v>
      </c>
      <c r="M33" s="512">
        <v>40</v>
      </c>
      <c r="N33" s="513">
        <v>7488</v>
      </c>
    </row>
    <row r="34" spans="1:14" ht="14.45" customHeight="1" x14ac:dyDescent="0.2">
      <c r="A34" s="507" t="s">
        <v>440</v>
      </c>
      <c r="B34" s="508" t="s">
        <v>441</v>
      </c>
      <c r="C34" s="509" t="s">
        <v>452</v>
      </c>
      <c r="D34" s="510" t="s">
        <v>453</v>
      </c>
      <c r="E34" s="511">
        <v>50113001</v>
      </c>
      <c r="F34" s="510" t="s">
        <v>458</v>
      </c>
      <c r="G34" s="509" t="s">
        <v>459</v>
      </c>
      <c r="H34" s="509">
        <v>26151</v>
      </c>
      <c r="I34" s="509">
        <v>26151</v>
      </c>
      <c r="J34" s="509" t="s">
        <v>492</v>
      </c>
      <c r="K34" s="509" t="s">
        <v>493</v>
      </c>
      <c r="L34" s="512">
        <v>464.53000000000009</v>
      </c>
      <c r="M34" s="512">
        <v>1</v>
      </c>
      <c r="N34" s="513">
        <v>464.53000000000009</v>
      </c>
    </row>
    <row r="35" spans="1:14" ht="14.45" customHeight="1" x14ac:dyDescent="0.2">
      <c r="A35" s="507" t="s">
        <v>440</v>
      </c>
      <c r="B35" s="508" t="s">
        <v>441</v>
      </c>
      <c r="C35" s="509" t="s">
        <v>452</v>
      </c>
      <c r="D35" s="510" t="s">
        <v>453</v>
      </c>
      <c r="E35" s="511">
        <v>50113001</v>
      </c>
      <c r="F35" s="510" t="s">
        <v>458</v>
      </c>
      <c r="G35" s="509" t="s">
        <v>459</v>
      </c>
      <c r="H35" s="509">
        <v>193236</v>
      </c>
      <c r="I35" s="509">
        <v>193236</v>
      </c>
      <c r="J35" s="509" t="s">
        <v>511</v>
      </c>
      <c r="K35" s="509" t="s">
        <v>512</v>
      </c>
      <c r="L35" s="512">
        <v>960.86165225036837</v>
      </c>
      <c r="M35" s="512">
        <v>10</v>
      </c>
      <c r="N35" s="513">
        <v>9608.6165225036839</v>
      </c>
    </row>
    <row r="36" spans="1:14" ht="14.45" customHeight="1" x14ac:dyDescent="0.2">
      <c r="A36" s="507" t="s">
        <v>440</v>
      </c>
      <c r="B36" s="508" t="s">
        <v>441</v>
      </c>
      <c r="C36" s="509" t="s">
        <v>452</v>
      </c>
      <c r="D36" s="510" t="s">
        <v>453</v>
      </c>
      <c r="E36" s="511">
        <v>50113001</v>
      </c>
      <c r="F36" s="510" t="s">
        <v>458</v>
      </c>
      <c r="G36" s="509" t="s">
        <v>459</v>
      </c>
      <c r="H36" s="509">
        <v>103543</v>
      </c>
      <c r="I36" s="509">
        <v>103543</v>
      </c>
      <c r="J36" s="509" t="s">
        <v>513</v>
      </c>
      <c r="K36" s="509" t="s">
        <v>514</v>
      </c>
      <c r="L36" s="512">
        <v>967.37371609776596</v>
      </c>
      <c r="M36" s="512">
        <v>5</v>
      </c>
      <c r="N36" s="513">
        <v>4836.86858048883</v>
      </c>
    </row>
    <row r="37" spans="1:14" ht="14.45" customHeight="1" x14ac:dyDescent="0.2">
      <c r="A37" s="507" t="s">
        <v>440</v>
      </c>
      <c r="B37" s="508" t="s">
        <v>441</v>
      </c>
      <c r="C37" s="509" t="s">
        <v>452</v>
      </c>
      <c r="D37" s="510" t="s">
        <v>453</v>
      </c>
      <c r="E37" s="511">
        <v>50113001</v>
      </c>
      <c r="F37" s="510" t="s">
        <v>458</v>
      </c>
      <c r="G37" s="509" t="s">
        <v>459</v>
      </c>
      <c r="H37" s="509">
        <v>147208</v>
      </c>
      <c r="I37" s="509">
        <v>103543</v>
      </c>
      <c r="J37" s="509" t="s">
        <v>515</v>
      </c>
      <c r="K37" s="509" t="s">
        <v>516</v>
      </c>
      <c r="L37" s="512">
        <v>964.94388973137268</v>
      </c>
      <c r="M37" s="512">
        <v>17</v>
      </c>
      <c r="N37" s="513">
        <v>16404.046125433335</v>
      </c>
    </row>
    <row r="38" spans="1:14" ht="14.45" customHeight="1" x14ac:dyDescent="0.2">
      <c r="A38" s="507" t="s">
        <v>440</v>
      </c>
      <c r="B38" s="508" t="s">
        <v>441</v>
      </c>
      <c r="C38" s="509" t="s">
        <v>452</v>
      </c>
      <c r="D38" s="510" t="s">
        <v>453</v>
      </c>
      <c r="E38" s="511">
        <v>50113001</v>
      </c>
      <c r="F38" s="510" t="s">
        <v>458</v>
      </c>
      <c r="G38" s="509" t="s">
        <v>459</v>
      </c>
      <c r="H38" s="509">
        <v>126816</v>
      </c>
      <c r="I38" s="509">
        <v>26816</v>
      </c>
      <c r="J38" s="509" t="s">
        <v>517</v>
      </c>
      <c r="K38" s="509" t="s">
        <v>518</v>
      </c>
      <c r="L38" s="512">
        <v>1426.2275157652653</v>
      </c>
      <c r="M38" s="512">
        <v>22</v>
      </c>
      <c r="N38" s="513">
        <v>31377.005346835835</v>
      </c>
    </row>
    <row r="39" spans="1:14" ht="14.45" customHeight="1" x14ac:dyDescent="0.2">
      <c r="A39" s="507" t="s">
        <v>440</v>
      </c>
      <c r="B39" s="508" t="s">
        <v>441</v>
      </c>
      <c r="C39" s="509" t="s">
        <v>452</v>
      </c>
      <c r="D39" s="510" t="s">
        <v>453</v>
      </c>
      <c r="E39" s="511">
        <v>50113001</v>
      </c>
      <c r="F39" s="510" t="s">
        <v>458</v>
      </c>
      <c r="G39" s="509" t="s">
        <v>459</v>
      </c>
      <c r="H39" s="509">
        <v>186403</v>
      </c>
      <c r="I39" s="509">
        <v>85170</v>
      </c>
      <c r="J39" s="509" t="s">
        <v>519</v>
      </c>
      <c r="K39" s="509" t="s">
        <v>520</v>
      </c>
      <c r="L39" s="512">
        <v>604.60352179652102</v>
      </c>
      <c r="M39" s="512">
        <v>88</v>
      </c>
      <c r="N39" s="513">
        <v>53205.109918093855</v>
      </c>
    </row>
    <row r="40" spans="1:14" ht="14.45" customHeight="1" x14ac:dyDescent="0.2">
      <c r="A40" s="507" t="s">
        <v>440</v>
      </c>
      <c r="B40" s="508" t="s">
        <v>441</v>
      </c>
      <c r="C40" s="509" t="s">
        <v>452</v>
      </c>
      <c r="D40" s="510" t="s">
        <v>453</v>
      </c>
      <c r="E40" s="511">
        <v>50113001</v>
      </c>
      <c r="F40" s="510" t="s">
        <v>458</v>
      </c>
      <c r="G40" s="509" t="s">
        <v>459</v>
      </c>
      <c r="H40" s="509">
        <v>10277</v>
      </c>
      <c r="I40" s="509">
        <v>10277</v>
      </c>
      <c r="J40" s="509" t="s">
        <v>521</v>
      </c>
      <c r="K40" s="509" t="s">
        <v>522</v>
      </c>
      <c r="L40" s="512">
        <v>1215.8389040158918</v>
      </c>
      <c r="M40" s="512">
        <v>2</v>
      </c>
      <c r="N40" s="513">
        <v>2431.6778080317836</v>
      </c>
    </row>
    <row r="41" spans="1:14" ht="14.45" customHeight="1" thickBot="1" x14ac:dyDescent="0.25">
      <c r="A41" s="514" t="s">
        <v>440</v>
      </c>
      <c r="B41" s="515" t="s">
        <v>441</v>
      </c>
      <c r="C41" s="516" t="s">
        <v>452</v>
      </c>
      <c r="D41" s="517" t="s">
        <v>453</v>
      </c>
      <c r="E41" s="518">
        <v>50113001</v>
      </c>
      <c r="F41" s="517" t="s">
        <v>458</v>
      </c>
      <c r="G41" s="516" t="s">
        <v>459</v>
      </c>
      <c r="H41" s="516">
        <v>847178</v>
      </c>
      <c r="I41" s="516">
        <v>107496</v>
      </c>
      <c r="J41" s="516" t="s">
        <v>523</v>
      </c>
      <c r="K41" s="516" t="s">
        <v>524</v>
      </c>
      <c r="L41" s="519">
        <v>570.50065003948566</v>
      </c>
      <c r="M41" s="519">
        <v>49</v>
      </c>
      <c r="N41" s="520">
        <v>27954.531851934797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494D5511-6C57-49CE-A48F-7598BEF6AE28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7" customWidth="1"/>
    <col min="3" max="3" width="5.5703125" style="210" customWidth="1"/>
    <col min="4" max="4" width="10.85546875" style="207" customWidth="1"/>
    <col min="5" max="5" width="5.5703125" style="210" customWidth="1"/>
    <col min="6" max="6" width="10.85546875" style="207" customWidth="1"/>
    <col min="7" max="16384" width="8.85546875" style="129"/>
  </cols>
  <sheetData>
    <row r="1" spans="1:6" ht="37.15" customHeight="1" thickBot="1" x14ac:dyDescent="0.35">
      <c r="A1" s="367" t="s">
        <v>164</v>
      </c>
      <c r="B1" s="368"/>
      <c r="C1" s="368"/>
      <c r="D1" s="368"/>
      <c r="E1" s="368"/>
      <c r="F1" s="368"/>
    </row>
    <row r="2" spans="1:6" ht="14.45" customHeight="1" thickBot="1" x14ac:dyDescent="0.25">
      <c r="A2" s="232" t="s">
        <v>270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521" t="s">
        <v>143</v>
      </c>
      <c r="B4" s="522" t="s">
        <v>14</v>
      </c>
      <c r="C4" s="523" t="s">
        <v>2</v>
      </c>
      <c r="D4" s="522" t="s">
        <v>14</v>
      </c>
      <c r="E4" s="523" t="s">
        <v>2</v>
      </c>
      <c r="F4" s="524" t="s">
        <v>14</v>
      </c>
    </row>
    <row r="5" spans="1:6" ht="14.45" customHeight="1" thickBot="1" x14ac:dyDescent="0.25">
      <c r="A5" s="535" t="s">
        <v>525</v>
      </c>
      <c r="B5" s="498"/>
      <c r="C5" s="525">
        <v>0</v>
      </c>
      <c r="D5" s="498">
        <v>1671.7200000000003</v>
      </c>
      <c r="E5" s="525">
        <v>1</v>
      </c>
      <c r="F5" s="499">
        <v>1671.7200000000003</v>
      </c>
    </row>
    <row r="6" spans="1:6" ht="14.45" customHeight="1" thickBot="1" x14ac:dyDescent="0.25">
      <c r="A6" s="531" t="s">
        <v>3</v>
      </c>
      <c r="B6" s="532"/>
      <c r="C6" s="533">
        <v>0</v>
      </c>
      <c r="D6" s="532">
        <v>1671.7200000000003</v>
      </c>
      <c r="E6" s="533">
        <v>1</v>
      </c>
      <c r="F6" s="534">
        <v>1671.7200000000003</v>
      </c>
    </row>
    <row r="7" spans="1:6" ht="14.45" customHeight="1" thickBot="1" x14ac:dyDescent="0.25"/>
    <row r="8" spans="1:6" ht="14.45" customHeight="1" thickBot="1" x14ac:dyDescent="0.25">
      <c r="A8" s="535" t="s">
        <v>526</v>
      </c>
      <c r="B8" s="498"/>
      <c r="C8" s="525">
        <v>0</v>
      </c>
      <c r="D8" s="498">
        <v>1671.7200000000003</v>
      </c>
      <c r="E8" s="525">
        <v>1</v>
      </c>
      <c r="F8" s="499">
        <v>1671.7200000000003</v>
      </c>
    </row>
    <row r="9" spans="1:6" ht="14.45" customHeight="1" thickBot="1" x14ac:dyDescent="0.25">
      <c r="A9" s="531" t="s">
        <v>3</v>
      </c>
      <c r="B9" s="532"/>
      <c r="C9" s="533">
        <v>0</v>
      </c>
      <c r="D9" s="532">
        <v>1671.7200000000003</v>
      </c>
      <c r="E9" s="533">
        <v>1</v>
      </c>
      <c r="F9" s="534">
        <v>1671.7200000000003</v>
      </c>
    </row>
  </sheetData>
  <mergeCells count="3">
    <mergeCell ref="A1:F1"/>
    <mergeCell ref="B3:C3"/>
    <mergeCell ref="D3:E3"/>
  </mergeCells>
  <conditionalFormatting sqref="C5:C1048576">
    <cfRule type="cellIs" dxfId="38" priority="8" stopIfTrue="1" operator="greaterThan">
      <formula>0.1</formula>
    </cfRule>
  </conditionalFormatting>
  <hyperlinks>
    <hyperlink ref="A2" location="Obsah!A1" display="Zpět na Obsah  KL 01  1.-4.měsíc" xr:uid="{C9506662-F7E5-4E02-B0EA-4821C7BACF63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26</vt:i4>
      </vt:variant>
      <vt:variant>
        <vt:lpstr>Pojmenované oblasti</vt:lpstr>
      </vt:variant>
      <vt:variant>
        <vt:i4>3</vt:i4>
      </vt:variant>
    </vt:vector>
  </HeadingPairs>
  <TitlesOfParts>
    <vt:vector size="2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2019-10-29T10:49:38Z</dcterms:modified>
</cp:coreProperties>
</file>