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9" i="371" l="1"/>
  <c r="V9" i="371" s="1"/>
  <c r="S9" i="371"/>
  <c r="R9" i="371"/>
  <c r="Q9" i="371"/>
  <c r="U8" i="371"/>
  <c r="T8" i="371"/>
  <c r="V8" i="371" s="1"/>
  <c r="S8" i="371"/>
  <c r="R8" i="371"/>
  <c r="Q8" i="371"/>
  <c r="V7" i="371"/>
  <c r="U7" i="371"/>
  <c r="T7" i="371"/>
  <c r="S7" i="371"/>
  <c r="R7" i="371"/>
  <c r="Q7" i="371"/>
  <c r="U6" i="371"/>
  <c r="T6" i="371"/>
  <c r="V6" i="371" s="1"/>
  <c r="S6" i="371"/>
  <c r="R6" i="371"/>
  <c r="Q6" i="371"/>
  <c r="V5" i="371"/>
  <c r="U5" i="371"/>
  <c r="T5" i="371"/>
  <c r="S5" i="371"/>
  <c r="R5" i="371"/>
  <c r="Q5" i="371"/>
  <c r="U9" i="371" l="1"/>
  <c r="A7" i="339"/>
  <c r="B3" i="418" l="1"/>
  <c r="L6" i="419" l="1"/>
  <c r="H6" i="419"/>
  <c r="K6" i="419"/>
  <c r="G6" i="419"/>
  <c r="D6" i="419"/>
  <c r="J6" i="419"/>
  <c r="F6" i="419"/>
  <c r="C6" i="419"/>
  <c r="I6" i="419"/>
  <c r="E6" i="419"/>
  <c r="B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15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H3" i="390" l="1"/>
  <c r="U3" i="347"/>
  <c r="Q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11" i="383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15" i="414"/>
  <c r="D17" i="414"/>
  <c r="C4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<sst xmlns="http://schemas.openxmlformats.org/spreadsheetml/2006/main" count="5814" uniqueCount="1405">
  <si>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</si>
  <si>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</si>
  <si>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</si>
  <si>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</si>
  <si>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</si>
  <si>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</si>
  <si>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</si>
  <si>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</si>
  <si>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</si>
  <si>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</si>
  <si>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</si>
  <si>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</si>
  <si>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</si>
  <si>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</si>
  <si>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</si>
  <si>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</si>
  <si>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</si>
  <si>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</si>
  <si>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</si>
  <si>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</si>
  <si>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</si>
  <si>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</si>
  <si>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</si>
  <si>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</si>
  <si>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</si>
  <si>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</si>
  <si>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</si>
  <si>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</si>
  <si>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</si>
  <si>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</si>
  <si>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</si>
  <si>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</si>
  <si>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</si>
  <si>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</si>
  <si>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</si>
  <si>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</si>
  <si>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</si>
  <si>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</si>
  <si>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</si>
  <si>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</si>
  <si>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</si>
  <si>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</si>
  <si>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</si>
  <si>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</si>
  <si>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</si>
  <si>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</si>
  <si>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</si>
  <si>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</si>
  <si>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</si>
  <si>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</si>
  <si>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</si>
  <si>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</si>
  <si>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</si>
  <si>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</si>
  <si>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</si>
  <si>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</si>
  <si>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</si>
  <si>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</si>
  <si>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</si>
  <si>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</si>
  <si>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</si>
  <si>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</si>
  <si>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</si>
  <si>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</si>
  <si>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</si>
  <si>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</si>
  <si>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</si>
  <si>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</si>
  <si>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</si>
  <si>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</si>
  <si>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</si>
  <si>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</si>
  <si>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</si>
  <si>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</si>
  <si>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</si>
  <si>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</si>
  <si>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</si>
  <si>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</si>
  <si>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</si>
  <si>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</si>
  <si>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</si>
  <si>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</si>
  <si>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</si>
  <si>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</si>
  <si>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</si>
  <si>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</si>
  <si>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</si>
  <si>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</si>
  <si>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</si>
  <si>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</si>
  <si>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</si>
  <si>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</si>
  <si>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</si>
  <si>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</si>
  <si>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</si>
  <si>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</si>
  <si>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</si>
  <si>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</si>
  <si>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</si>
  <si>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</si>
  <si>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</si>
  <si>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</si>
  <si>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</si>
  <si>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</si>
  <si>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</si>
  <si>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</si>
  <si>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</si>
  <si>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</si>
  <si>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</si>
  <si>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</si>
  <si>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</si>
  <si>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</si>
  <si>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</si>
  <si>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</si>
  <si>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</si>
  <si>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</si>
  <si>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</si>
  <si>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</si>
  <si>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</si>
  <si>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</si>
  <si>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</si>
  <si>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</si>
  <si>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</si>
  <si>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</si>
  <si>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</si>
  <si>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</si>
  <si>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</si>
  <si>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</si>
  <si>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</si>
  <si>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</si>
  <si>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</si>
  <si>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</si>
  <si>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</si>
  <si>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</si>
  <si>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</si>
  <si>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</si>
  <si>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</si>
  <si>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</si>
  <si>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</si>
  <si>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</si>
  <si>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</si>
  <si>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</si>
  <si>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</si>
  <si>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</si>
  <si>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</si>
  <si>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</si>
  <si>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</si>
  <si>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</si>
  <si>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</si>
  <si>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</si>
  <si>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</si>
  <si>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</si>
  <si>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</si>
  <si>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</si>
  <si>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</si>
  <si>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</si>
  <si>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</si>
  <si>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</si>
  <si>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</si>
  <si>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</si>
  <si>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</si>
  <si>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</si>
  <si>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</si>
  <si>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</si>
  <si>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</si>
  <si>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</si>
  <si>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</si>
  <si>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</si>
  <si>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</si>
  <si>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</si>
  <si>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</si>
  <si>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</si>
  <si>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</si>
  <si>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</si>
  <si>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</si>
  <si>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</si>
  <si>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</si>
  <si>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</si>
  <si>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</si>
  <si>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</si>
  <si>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</si>
  <si>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</si>
  <si>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</si>
  <si>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</si>
  <si>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</si>
  <si>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</si>
  <si>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</si>
  <si>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</si>
  <si>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</si>
  <si>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</si>
  <si>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</si>
  <si>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</si>
  <si>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</si>
  <si>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</si>
  <si>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</si>
  <si>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</si>
  <si>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</si>
  <si>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</si>
  <si>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</si>
  <si>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</si>
  <si>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</si>
  <si>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</si>
  <si>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</si>
  <si>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</si>
  <si>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</si>
  <si>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</si>
  <si>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</si>
  <si>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</si>
  <si>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</si>
  <si>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</si>
  <si>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</si>
  <si>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</si>
  <si>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</si>
  <si>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</si>
  <si>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</si>
  <si>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</si>
  <si>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</si>
  <si>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</si>
  <si>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</si>
  <si>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</si>
  <si>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</si>
  <si>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</si>
  <si>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</si>
  <si>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</si>
  <si>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</si>
  <si>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</si>
  <si>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</si>
  <si>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</si>
  <si>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</si>
  <si>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</si>
  <si>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</si>
  <si>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</si>
  <si>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</si>
  <si>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</si>
  <si>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</si>
  <si>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</si>
  <si>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</si>
  <si>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</si>
  <si>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</si>
  <si>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* Legenda</t>
  </si>
  <si>
    <t>Dle vyhlášky optimum casemixu 97%, hospitalizace 93%</t>
  </si>
  <si>
    <t>333 - Cizinci</t>
  </si>
  <si>
    <t>Počet hospitalizací - případů DRG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</si>
  <si>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</si>
  <si>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</si>
  <si>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</si>
  <si>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</si>
  <si>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</si>
  <si>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</si>
  <si>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</si>
  <si>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</si>
  <si>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</si>
  <si>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</si>
  <si>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</si>
  <si>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</si>
  <si>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</si>
  <si>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</si>
  <si>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</si>
  <si>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</si>
  <si>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</si>
  <si>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</si>
  <si>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</si>
  <si>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</si>
  <si>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</si>
  <si>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</si>
  <si>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</si>
  <si>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</si>
  <si>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</si>
  <si>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</si>
  <si>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</si>
  <si>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</si>
  <si>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</si>
  <si>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</si>
  <si>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</si>
  <si>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</si>
  <si>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</si>
  <si>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</si>
  <si>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</si>
  <si>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</si>
  <si>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</si>
  <si>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</si>
  <si>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</si>
  <si>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</si>
  <si>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</si>
  <si>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</si>
  <si>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</si>
  <si>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</si>
  <si>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</si>
  <si>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</si>
  <si>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</si>
  <si>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</si>
  <si>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</si>
  <si>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</si>
  <si>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</si>
  <si>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</si>
  <si>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</si>
  <si>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</si>
  <si>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</si>
  <si>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</si>
  <si>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</si>
  <si>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</si>
  <si>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</si>
  <si>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</si>
  <si>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</si>
  <si>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</si>
  <si>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</si>
  <si>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</si>
  <si>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</si>
  <si>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</si>
  <si>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</si>
  <si>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</si>
  <si>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</si>
  <si>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</si>
  <si>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50113016     léky - spotřeba v centrech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</si>
  <si>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</si>
  <si>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</si>
  <si>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</si>
  <si>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</si>
  <si>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</si>
  <si>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</si>
  <si>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</si>
  <si>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</si>
  <si>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</si>
  <si>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</si>
  <si>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</si>
  <si>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</si>
  <si>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</si>
  <si>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</si>
  <si>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</si>
  <si>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</si>
  <si>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</si>
  <si>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</si>
  <si>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</si>
  <si>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</si>
  <si>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</si>
  <si>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</si>
  <si>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</si>
  <si>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</si>
  <si>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</si>
  <si>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</si>
  <si>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</si>
  <si>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</si>
  <si>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</si>
  <si>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</si>
  <si>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</si>
  <si>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</si>
  <si>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</si>
  <si>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</si>
  <si>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</si>
  <si>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</si>
  <si>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</si>
  <si>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</si>
  <si>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</si>
  <si>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</si>
  <si>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</si>
  <si>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</si>
  <si>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</si>
  <si>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</si>
  <si>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</si>
  <si>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</si>
  <si>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</si>
  <si>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</si>
  <si>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</si>
  <si>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</si>
  <si>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</si>
  <si>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</si>
  <si>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</si>
  <si>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</si>
  <si>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</si>
  <si>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</si>
  <si>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</si>
  <si>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</si>
  <si>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</si>
  <si>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</si>
  <si>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</si>
  <si>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</si>
  <si>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</si>
  <si>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</si>
  <si>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</si>
  <si>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</si>
  <si>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</si>
  <si>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</si>
  <si>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</si>
  <si>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</si>
  <si>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</si>
  <si>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</si>
  <si>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</si>
  <si>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</si>
  <si>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</si>
  <si>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</si>
  <si>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</si>
  <si>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</si>
  <si>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</si>
  <si>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</si>
  <si>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</si>
  <si>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</si>
  <si>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</si>
  <si>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</si>
  <si>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</si>
  <si>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</si>
  <si>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</si>
  <si>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</si>
  <si>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</si>
  <si>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</si>
  <si>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</si>
  <si>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</si>
  <si>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</si>
  <si>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</si>
  <si>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</si>
  <si>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</si>
  <si>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</si>
  <si>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</si>
  <si>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</si>
  <si>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</si>
  <si>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</si>
  <si>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</si>
  <si>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</si>
  <si>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</si>
  <si>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</si>
  <si>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</si>
  <si>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</si>
  <si>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</si>
  <si>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</si>
  <si>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</si>
  <si>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</si>
  <si>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</si>
  <si>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</si>
  <si>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</si>
  <si>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</si>
  <si>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</si>
  <si>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</si>
  <si>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</si>
  <si>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</si>
  <si>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</si>
  <si>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</si>
  <si>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</si>
  <si>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</si>
  <si>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</si>
  <si>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</si>
  <si>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</si>
  <si>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</si>
  <si>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</si>
  <si>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</si>
  <si>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</si>
  <si>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</si>
  <si>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</si>
  <si>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</si>
  <si>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</si>
  <si>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</si>
  <si>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</si>
  <si>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</si>
  <si>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</si>
  <si>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</si>
  <si>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</si>
  <si>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</si>
  <si>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</si>
  <si>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</si>
  <si>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</si>
  <si>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</si>
  <si>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</si>
  <si>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</si>
  <si>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</si>
  <si>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</si>
  <si>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</si>
  <si>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</si>
  <si>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</si>
  <si>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</si>
  <si>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</si>
  <si>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</si>
  <si>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</si>
  <si>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</si>
  <si>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</si>
  <si>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</si>
  <si>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</si>
  <si>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</si>
  <si>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</si>
  <si>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</si>
  <si>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</si>
  <si>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</si>
  <si>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</si>
  <si>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</si>
  <si>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</si>
  <si>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</si>
  <si>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22</t>
  </si>
  <si>
    <t/>
  </si>
  <si>
    <t>Klinika nukleární medicíny</t>
  </si>
  <si>
    <t>50113001</t>
  </si>
  <si>
    <t>Lékárna - léčiva</t>
  </si>
  <si>
    <t>50113009</t>
  </si>
  <si>
    <t>Lékárna - RTG diagnostika</t>
  </si>
  <si>
    <t>50113013</t>
  </si>
  <si>
    <t>Lékárna - antibiotika</t>
  </si>
  <si>
    <t>50113016</t>
  </si>
  <si>
    <t>Lékárna - centrové léky</t>
  </si>
  <si>
    <t>SumaKL</t>
  </si>
  <si>
    <t>2211</t>
  </si>
  <si>
    <t>Klinika nukleární medicíny, lůžkové oddělení 40</t>
  </si>
  <si>
    <t>SumaNS</t>
  </si>
  <si>
    <t>mezeraNS</t>
  </si>
  <si>
    <t>2221</t>
  </si>
  <si>
    <t>Klinika nukleární medicíny, ambulance</t>
  </si>
  <si>
    <t>2251</t>
  </si>
  <si>
    <t>KNM, přístr.pracoviště - PET</t>
  </si>
  <si>
    <t>2294</t>
  </si>
  <si>
    <t>Klinika nukleární medicíny, centrum - KNM</t>
  </si>
  <si>
    <t>O</t>
  </si>
  <si>
    <t>100362</t>
  </si>
  <si>
    <t>362</t>
  </si>
  <si>
    <t>ADRENALIN LECIVA</t>
  </si>
  <si>
    <t>INJ 5X1ML/1MG</t>
  </si>
  <si>
    <t>102420</t>
  </si>
  <si>
    <t>2420</t>
  </si>
  <si>
    <t>PANCREOLAN FORTE</t>
  </si>
  <si>
    <t>TBL ENT 30X220MG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</si>
  <si>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</si>
  <si>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</si>
  <si>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</si>
  <si>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</si>
  <si>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</si>
  <si>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</si>
  <si>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</si>
  <si>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</si>
  <si>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155947</t>
  </si>
  <si>
    <t>55947</t>
  </si>
  <si>
    <t>OPHTAL LIQ 2X50ML</t>
  </si>
  <si>
    <t>188217</t>
  </si>
  <si>
    <t>88217</t>
  </si>
  <si>
    <t>LEXAURIN</t>
  </si>
  <si>
    <t>TBL 30X1.5MG</t>
  </si>
  <si>
    <t>194248</t>
  </si>
  <si>
    <t>94248</t>
  </si>
  <si>
    <t>ZOLPIDEM-RATIOPHARM 10 MG</t>
  </si>
  <si>
    <t>POR TBL FLM 10X10MG</t>
  </si>
  <si>
    <t>840143</t>
  </si>
  <si>
    <t>Heřmánek Spofa her.20x1g nálev.sáčky LEROS</t>
  </si>
  <si>
    <t>841059</t>
  </si>
  <si>
    <t>Indulona olivová ung.100g</t>
  </si>
  <si>
    <t>847974</t>
  </si>
  <si>
    <t>125525</t>
  </si>
  <si>
    <t>APO-IBUPROFEN 400 MG</t>
  </si>
  <si>
    <t>POR TBL FLM 30X400MG</t>
  </si>
  <si>
    <t>841498</t>
  </si>
  <si>
    <t>Carbosorb tbl.20-blistr</t>
  </si>
  <si>
    <t>844148</t>
  </si>
  <si>
    <t>104694</t>
  </si>
  <si>
    <t>MUCOSOLVAN PRO DOSPĚLÉ</t>
  </si>
  <si>
    <t>POR SIR 1X100ML</t>
  </si>
  <si>
    <t>192414</t>
  </si>
  <si>
    <t>92414</t>
  </si>
  <si>
    <t>SEPTONEX</t>
  </si>
  <si>
    <t>SPR 1X45ML</t>
  </si>
  <si>
    <t>901235</t>
  </si>
  <si>
    <t>IR AC.BORICI AQ.OPHTAL.250 ml</t>
  </si>
  <si>
    <t>IR OČNÍ VODA 250 ml</t>
  </si>
  <si>
    <t>200863</t>
  </si>
  <si>
    <t>OPHTHALMO-SEPTONEX</t>
  </si>
  <si>
    <t>OPH GTT SOL 1X10ML PLAST</t>
  </si>
  <si>
    <t>841023</t>
  </si>
  <si>
    <t>Apotheke Heřmánek pravý čaj 20x2g n.s.</t>
  </si>
  <si>
    <t>P</t>
  </si>
  <si>
    <t>142547</t>
  </si>
  <si>
    <t>42547</t>
  </si>
  <si>
    <t>LACTULOSE AL SIRUP</t>
  </si>
  <si>
    <t>POR SIR 1X500ML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</si>
  <si>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</si>
  <si>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</si>
  <si>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</si>
  <si>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</si>
  <si>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</si>
  <si>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</si>
  <si>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</si>
  <si>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</si>
  <si>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</si>
  <si>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</si>
  <si>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</si>
  <si>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</si>
  <si>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105951</t>
  </si>
  <si>
    <t>5951</t>
  </si>
  <si>
    <t>AMOKSIKLAV 1G</t>
  </si>
  <si>
    <t>TBL OBD 14X1GM</t>
  </si>
  <si>
    <t>51366</t>
  </si>
  <si>
    <t>CHLORID SODNÝ 0,9% BRAUN</t>
  </si>
  <si>
    <t>INF SOL 20X100MLPELAH</t>
  </si>
  <si>
    <t>51367</t>
  </si>
  <si>
    <t>INF SOL 10X250MLPELAH</t>
  </si>
  <si>
    <t>100516</t>
  </si>
  <si>
    <t>516</t>
  </si>
  <si>
    <t>NATRIUM CHLORATUM BIOTIKA ISOT.</t>
  </si>
  <si>
    <t>INJ 10X10ML</t>
  </si>
  <si>
    <t>124067</t>
  </si>
  <si>
    <t>HYDROCORTISON VUAB 100 MG</t>
  </si>
  <si>
    <t>INJ PLV SOL 1X100MG</t>
  </si>
  <si>
    <t>131215</t>
  </si>
  <si>
    <t>31215</t>
  </si>
  <si>
    <t>TENSIOMIN</t>
  </si>
  <si>
    <t>TBL 30X25MG</t>
  </si>
  <si>
    <t>193746</t>
  </si>
  <si>
    <t>93746</t>
  </si>
  <si>
    <t>HEPARIN LECIVA</t>
  </si>
  <si>
    <t>INJ 1X10ML/50KU</t>
  </si>
  <si>
    <t>169755</t>
  </si>
  <si>
    <t>69755</t>
  </si>
  <si>
    <t>ARDEANUTRISOL G 40</t>
  </si>
  <si>
    <t>INF 1X80ML</t>
  </si>
  <si>
    <t>166503</t>
  </si>
  <si>
    <t>66503</t>
  </si>
  <si>
    <t>DRM SPR SOL 1X30ML</t>
  </si>
  <si>
    <t>103645</t>
  </si>
  <si>
    <t>3645</t>
  </si>
  <si>
    <t>DIMEXOL</t>
  </si>
  <si>
    <t>TBL 30X200MG</t>
  </si>
  <si>
    <t>156993</t>
  </si>
  <si>
    <t>56993</t>
  </si>
  <si>
    <t>CODEIN SLOVAKOFARMA 30MG</t>
  </si>
  <si>
    <t>TBL 10X30MG-BLISTR</t>
  </si>
  <si>
    <t>847713</t>
  </si>
  <si>
    <t>125526</t>
  </si>
  <si>
    <t>POR TBL FLM 100X400MG</t>
  </si>
  <si>
    <t>51384</t>
  </si>
  <si>
    <t>INF SOL 10X1000MLPLAH</t>
  </si>
  <si>
    <t>198169</t>
  </si>
  <si>
    <t>98169</t>
  </si>
  <si>
    <t>BUSCOPAN</t>
  </si>
  <si>
    <t>INJ 5X1ML/20MG</t>
  </si>
  <si>
    <t>122077</t>
  </si>
  <si>
    <t>22077</t>
  </si>
  <si>
    <t>IOMERON 400</t>
  </si>
  <si>
    <t>INJ SOL 1X200ML</t>
  </si>
  <si>
    <t>195609</t>
  </si>
  <si>
    <t>95609</t>
  </si>
  <si>
    <t>MICROPAQUE CT</t>
  </si>
  <si>
    <t>SUS 1X2000ML/100GM</t>
  </si>
  <si>
    <t>193626</t>
  </si>
  <si>
    <t>93626</t>
  </si>
  <si>
    <t>ULTRAVIST 370</t>
  </si>
  <si>
    <t>27720</t>
  </si>
  <si>
    <t>THYROGEN 0.9 MG</t>
  </si>
  <si>
    <t>INJ PLV SOL 2X0.9MG</t>
  </si>
  <si>
    <t>2251 - KNM, přístr.pracoviště - PET</t>
  </si>
  <si>
    <t>2211 - Klinika nukleární medicíny, lůžkové oddělení 40</t>
  </si>
  <si>
    <t>A06AD11 - Laktulóza</t>
  </si>
  <si>
    <t>V08AB05 - Jopromid</t>
  </si>
  <si>
    <t>J01CR02 - Amoxicilin a enzymový inhibitor</t>
  </si>
  <si>
    <t>A06AD11</t>
  </si>
  <si>
    <t>J01CR02</t>
  </si>
  <si>
    <t>AMOKSIKLAV 1 G</t>
  </si>
  <si>
    <t>POR TBL FLM 14X1GM</t>
  </si>
  <si>
    <t>V08AB05</t>
  </si>
  <si>
    <t>Přehled plnění pozitivního listu - spotřeba léčivých přípravků - orientační přehled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</si>
  <si>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</si>
  <si>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</si>
  <si>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</si>
  <si>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</si>
  <si>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</si>
  <si>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</si>
  <si>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Budíková Miroslava</t>
  </si>
  <si>
    <t>Crháková Hana</t>
  </si>
  <si>
    <t>Dočkal Milan</t>
  </si>
  <si>
    <t>Henzlová Lenka</t>
  </si>
  <si>
    <t>Kamínek Milan</t>
  </si>
  <si>
    <t>Koranda Pavel</t>
  </si>
  <si>
    <t>Metelková Iva</t>
  </si>
  <si>
    <t>Mysliveček Miroslav</t>
  </si>
  <si>
    <t>Dočkalová Eva</t>
  </si>
  <si>
    <t>Jiná</t>
  </si>
  <si>
    <t>999999</t>
  </si>
  <si>
    <t>Jiný</t>
  </si>
  <si>
    <t>Levothyroxin, sodná sůl</t>
  </si>
  <si>
    <t>147452</t>
  </si>
  <si>
    <t>EUTHYROX 88 MIKROGRAMŮ</t>
  </si>
  <si>
    <t>POR TBL NOB 100X88RG I</t>
  </si>
  <si>
    <t>30021</t>
  </si>
  <si>
    <t>LETROX 125</t>
  </si>
  <si>
    <t>POR TBL NOB 100X125MCG</t>
  </si>
  <si>
    <t>47133</t>
  </si>
  <si>
    <t>LETROX 150</t>
  </si>
  <si>
    <t>POR TBL NOB 100X150RG</t>
  </si>
  <si>
    <t>69191</t>
  </si>
  <si>
    <t>EUTHYROX 150 MIKROGRAMŮ</t>
  </si>
  <si>
    <t>97186</t>
  </si>
  <si>
    <t>EUTHYROX 100 MIKROGRAMŮ</t>
  </si>
  <si>
    <t>POR TBL NOB 100X100RG</t>
  </si>
  <si>
    <t>Escitalopram</t>
  </si>
  <si>
    <t>20132</t>
  </si>
  <si>
    <t>CIPRALEX 10 MG</t>
  </si>
  <si>
    <t>POR TBL FLM 28X10MG I</t>
  </si>
  <si>
    <t>Hořčík (různé sole v kombinaci)</t>
  </si>
  <si>
    <t>66555</t>
  </si>
  <si>
    <t>MAGNOSOLV</t>
  </si>
  <si>
    <t>POR GRA SOL 30</t>
  </si>
  <si>
    <t>Chlorid draselný</t>
  </si>
  <si>
    <t>17188</t>
  </si>
  <si>
    <t>KALIUM CHLORATUM BIOMEDICA</t>
  </si>
  <si>
    <t>POR TBL FLM 50X500MG</t>
  </si>
  <si>
    <t>147456</t>
  </si>
  <si>
    <t>EUTHYROX 112 MIKROGRAMŮ</t>
  </si>
  <si>
    <t>POR TBL NOB 100X112RG I</t>
  </si>
  <si>
    <t>47144</t>
  </si>
  <si>
    <t>LETROX 100</t>
  </si>
  <si>
    <t>POR TBL NOB 100X100RG I</t>
  </si>
  <si>
    <t>Omeprazol</t>
  </si>
  <si>
    <t>132530</t>
  </si>
  <si>
    <t>HELICID 20</t>
  </si>
  <si>
    <t>POR CPS ETD 28X20MG</t>
  </si>
  <si>
    <t>Prednison</t>
  </si>
  <si>
    <t>2963</t>
  </si>
  <si>
    <t>PREDNISON 20 LÉČIVA</t>
  </si>
  <si>
    <t>POR TBL NOB 20X20MG</t>
  </si>
  <si>
    <t>Thiamazol</t>
  </si>
  <si>
    <t>87148</t>
  </si>
  <si>
    <t>THYROZOL 10</t>
  </si>
  <si>
    <t>POR TBL FLM 20X10MG</t>
  </si>
  <si>
    <t>Vápník, kombinace s vitaminem D a/nebo jinými léčivy</t>
  </si>
  <si>
    <t>57610</t>
  </si>
  <si>
    <t>KOMBI-KALZ 1000/880</t>
  </si>
  <si>
    <t>POR GRA SOL 30-SÁČ</t>
  </si>
  <si>
    <t>Adapalen</t>
  </si>
  <si>
    <t>46643</t>
  </si>
  <si>
    <t>DIFFERINE KRÉM</t>
  </si>
  <si>
    <t>DRM CRM 1X30GM/30MG</t>
  </si>
  <si>
    <t>Alprazolam</t>
  </si>
  <si>
    <t>103185</t>
  </si>
  <si>
    <t>XANAX 0,5 MG</t>
  </si>
  <si>
    <t>POR TBL NOB 100X0.5MG</t>
  </si>
  <si>
    <t>Azithromycin</t>
  </si>
  <si>
    <t>10382</t>
  </si>
  <si>
    <t>AZITROX 500</t>
  </si>
  <si>
    <t>POR TBL FLM 3X500MG</t>
  </si>
  <si>
    <t>Citalopram</t>
  </si>
  <si>
    <t>17424</t>
  </si>
  <si>
    <t>CITALEC 10 ZENTIVA</t>
  </si>
  <si>
    <t>POR TBL FLM 20X10 MG</t>
  </si>
  <si>
    <t>Desloratadin</t>
  </si>
  <si>
    <t>26330</t>
  </si>
  <si>
    <t>AERIUS 5 MG</t>
  </si>
  <si>
    <t>POR TBL FLM 50X5MG</t>
  </si>
  <si>
    <t>Hydrokortison</t>
  </si>
  <si>
    <t>2668</t>
  </si>
  <si>
    <t>OPHTHALMO-HYDROCORTISON LÉČIVA</t>
  </si>
  <si>
    <t>OPH UNG 1X5GM/25MG</t>
  </si>
  <si>
    <t>Indapamid</t>
  </si>
  <si>
    <t>96696</t>
  </si>
  <si>
    <t>INDAP</t>
  </si>
  <si>
    <t>POR CPS DUR 30X2.5MG</t>
  </si>
  <si>
    <t>Isotretinoin, kombinace</t>
  </si>
  <si>
    <t>169737</t>
  </si>
  <si>
    <t>ISOTREXIN</t>
  </si>
  <si>
    <t>DRM GEL 1X30GM</t>
  </si>
  <si>
    <t>Klopidogrel</t>
  </si>
  <si>
    <t>149486</t>
  </si>
  <si>
    <t>ZYLLT 75 MG</t>
  </si>
  <si>
    <t>POR TBL FLM 90X75MG</t>
  </si>
  <si>
    <t>164997</t>
  </si>
  <si>
    <t>ELTROXIN 100 MCG</t>
  </si>
  <si>
    <t>POR TBL NOB 100X0.1MG</t>
  </si>
  <si>
    <t>30018</t>
  </si>
  <si>
    <t>LETROX 75</t>
  </si>
  <si>
    <t>POR TBL NOB 100X75MCG I</t>
  </si>
  <si>
    <t>46692</t>
  </si>
  <si>
    <t>EUTHYROX 75 MIKROGRAMŮ</t>
  </si>
  <si>
    <t>POR TBL NOB 100X75RG</t>
  </si>
  <si>
    <t>46694</t>
  </si>
  <si>
    <t>EUTHYROX 125 MIKROGRAMŮ</t>
  </si>
  <si>
    <t>POR TBL NOB 100X125RG</t>
  </si>
  <si>
    <t>Metoprolol</t>
  </si>
  <si>
    <t>46981</t>
  </si>
  <si>
    <t>BETALOC SR 200 MG</t>
  </si>
  <si>
    <t>POR TBL PRO 30X200MG</t>
  </si>
  <si>
    <t>49941</t>
  </si>
  <si>
    <t>BETALOC ZOK 100 MG</t>
  </si>
  <si>
    <t>POR TBL PRO 100X100MG</t>
  </si>
  <si>
    <t>Pseudoefedrin, kombinace</t>
  </si>
  <si>
    <t>83059</t>
  </si>
  <si>
    <t>CLARINASE REPETABS</t>
  </si>
  <si>
    <t>POR TBL RET 14</t>
  </si>
  <si>
    <t>Ramipril</t>
  </si>
  <si>
    <t>56981</t>
  </si>
  <si>
    <t>TRITACE 5 MG</t>
  </si>
  <si>
    <t>POR TBL NOB 30X5MG</t>
  </si>
  <si>
    <t>Rilmenidin</t>
  </si>
  <si>
    <t>84360</t>
  </si>
  <si>
    <t>TENAXUM</t>
  </si>
  <si>
    <t>POR TBL NOB 30X1MG</t>
  </si>
  <si>
    <t>Tretinoin</t>
  </si>
  <si>
    <t>15388</t>
  </si>
  <si>
    <t>RETIN-A 0,05%</t>
  </si>
  <si>
    <t>DRM CRM 1X30GM</t>
  </si>
  <si>
    <t>Zolpidem</t>
  </si>
  <si>
    <t>16285</t>
  </si>
  <si>
    <t>STILNOX</t>
  </si>
  <si>
    <t>16286</t>
  </si>
  <si>
    <t>169714</t>
  </si>
  <si>
    <t>47142</t>
  </si>
  <si>
    <t>POR TBL NOB 50X100RG I</t>
  </si>
  <si>
    <t>Alfakalcidol</t>
  </si>
  <si>
    <t>14398</t>
  </si>
  <si>
    <t>ALPHA D3 1 MCG</t>
  </si>
  <si>
    <t>POR CPS MOL 30X1RG</t>
  </si>
  <si>
    <t>Ibuprofen</t>
  </si>
  <si>
    <t>Kodein</t>
  </si>
  <si>
    <t>90</t>
  </si>
  <si>
    <t>CODEIN SLOVAKOFARMA 30 MG</t>
  </si>
  <si>
    <t>POR TBL NOB 10X30MG</t>
  </si>
  <si>
    <t>Kyselina listová</t>
  </si>
  <si>
    <t>76064</t>
  </si>
  <si>
    <t>ACIDUM FOLICUM LÉČIVA</t>
  </si>
  <si>
    <t>POR TBL OBD 30X10MG</t>
  </si>
  <si>
    <t>147460</t>
  </si>
  <si>
    <t>EUTHYROX 200 MIKROGRAMŮ</t>
  </si>
  <si>
    <t>POR TBL NOB 100X200RG I</t>
  </si>
  <si>
    <t>147462</t>
  </si>
  <si>
    <t>POR TBL NOB 100X200RG II</t>
  </si>
  <si>
    <t>69189</t>
  </si>
  <si>
    <t>EUTHYROX 50 MIKROGRAMŮ</t>
  </si>
  <si>
    <t>POR TBL NOB 100X50RG</t>
  </si>
  <si>
    <t>Midazolam</t>
  </si>
  <si>
    <t>15010</t>
  </si>
  <si>
    <t>DORMICUM 15 MG</t>
  </si>
  <si>
    <t>POR TBL FLM 10X15MG</t>
  </si>
  <si>
    <t>14399</t>
  </si>
  <si>
    <t>POR CPS MOL 100X1RG</t>
  </si>
  <si>
    <t>Atorvastatin</t>
  </si>
  <si>
    <t>93018</t>
  </si>
  <si>
    <t>SORTIS 20 MG</t>
  </si>
  <si>
    <t>POR TBL FLM 100X20MG</t>
  </si>
  <si>
    <t>53913</t>
  </si>
  <si>
    <t>AZITROMYCIN SANDOZ 250 MG</t>
  </si>
  <si>
    <t>POR TBL FLM 6X250MG</t>
  </si>
  <si>
    <t>Cilazapril</t>
  </si>
  <si>
    <t>125440</t>
  </si>
  <si>
    <t>INHIBACE 2,5 MG</t>
  </si>
  <si>
    <t>POR TBL FLM 100X2.5MG</t>
  </si>
  <si>
    <t>Cyproteron a estrogen</t>
  </si>
  <si>
    <t>13940</t>
  </si>
  <si>
    <t>CHLOE</t>
  </si>
  <si>
    <t>POR TBL FLM 3X28</t>
  </si>
  <si>
    <t>141036</t>
  </si>
  <si>
    <t>TROMBEX 75 MG POTAHOVANÉ TABLETY</t>
  </si>
  <si>
    <t>47141</t>
  </si>
  <si>
    <t>LETROX 50</t>
  </si>
  <si>
    <t>POR TBL NOB 100X50RG I</t>
  </si>
  <si>
    <t>Amoxicilin a enzymový inhibitor</t>
  </si>
  <si>
    <t>Alopurinol</t>
  </si>
  <si>
    <t>2592</t>
  </si>
  <si>
    <t>MILURIT 100</t>
  </si>
  <si>
    <t>POR TBL NOB 50X100MG</t>
  </si>
  <si>
    <t>Amoxicilin</t>
  </si>
  <si>
    <t>62052</t>
  </si>
  <si>
    <t>DUOMOX 1000</t>
  </si>
  <si>
    <t>POR TBL SUS 20X1000MG</t>
  </si>
  <si>
    <t>Betaxolol</t>
  </si>
  <si>
    <t>49909</t>
  </si>
  <si>
    <t>LOKREN 20 MG</t>
  </si>
  <si>
    <t>POR TBL FLM 28X20MG</t>
  </si>
  <si>
    <t>Bisoprolol</t>
  </si>
  <si>
    <t>3801</t>
  </si>
  <si>
    <t>CONCOR COR 2,5 MG</t>
  </si>
  <si>
    <t>POR TBL FLM 28X2.5MG</t>
  </si>
  <si>
    <t>Dimetinden</t>
  </si>
  <si>
    <t>15520</t>
  </si>
  <si>
    <t>FENISTIL</t>
  </si>
  <si>
    <t>POR GTT SOL 1X20ML</t>
  </si>
  <si>
    <t>858</t>
  </si>
  <si>
    <t>HYDROCORTISON LÉČIVA</t>
  </si>
  <si>
    <t>DRM UNG 1X10GM 1%</t>
  </si>
  <si>
    <t>147454</t>
  </si>
  <si>
    <t>POR TBL NOB 100X88RG II</t>
  </si>
  <si>
    <t>147464</t>
  </si>
  <si>
    <t>EUTHYROX 137 MIKROGRAMŮ</t>
  </si>
  <si>
    <t>POR TBL NOB 100X137RG I</t>
  </si>
  <si>
    <t>98629</t>
  </si>
  <si>
    <t>Multienzymové přípravky (lipáza, proteáza apod.)</t>
  </si>
  <si>
    <t>40378</t>
  </si>
  <si>
    <t>PANZYNORM FORTE-N</t>
  </si>
  <si>
    <t>POR TBL FLM 30</t>
  </si>
  <si>
    <t>Pitofenon a analgetika</t>
  </si>
  <si>
    <t>50335</t>
  </si>
  <si>
    <t>ALGIFEN NEO</t>
  </si>
  <si>
    <t>POR GTT SOL 1X25ML</t>
  </si>
  <si>
    <t>64934</t>
  </si>
  <si>
    <t>POR TBL RET 7</t>
  </si>
  <si>
    <t>Tizanidin</t>
  </si>
  <si>
    <t>16051</t>
  </si>
  <si>
    <t>SIRDALUD 2 MG</t>
  </si>
  <si>
    <t>POR TBL NOB 30X2MG</t>
  </si>
  <si>
    <t>107869</t>
  </si>
  <si>
    <t>APO-ALLOPURINOL</t>
  </si>
  <si>
    <t>POR TBL NOB 100X100MG</t>
  </si>
  <si>
    <t>86656</t>
  </si>
  <si>
    <t>NEUROL 1,0</t>
  </si>
  <si>
    <t>93015</t>
  </si>
  <si>
    <t>SORTIS 10 MG</t>
  </si>
  <si>
    <t>POR TBL FLM 100X10MG</t>
  </si>
  <si>
    <t>93021</t>
  </si>
  <si>
    <t>SORTIS 40 MG</t>
  </si>
  <si>
    <t>POR TBL FLM 100X40MG</t>
  </si>
  <si>
    <t>Diazepam</t>
  </si>
  <si>
    <t>2478</t>
  </si>
  <si>
    <t>DIAZEPAM SLOVAKOFARMA 10 MG</t>
  </si>
  <si>
    <t>POR TBL NOB 20X10MG</t>
  </si>
  <si>
    <t>Diklofenak</t>
  </si>
  <si>
    <t>125122</t>
  </si>
  <si>
    <t>APO-DICLO SR 100</t>
  </si>
  <si>
    <t>POR TBL RET 100X100MG</t>
  </si>
  <si>
    <t>25366</t>
  </si>
  <si>
    <t>HELICID 20 ZENTIVA</t>
  </si>
  <si>
    <t>POR CPS ETD 90X20MG SKLO</t>
  </si>
  <si>
    <t>Perindopril</t>
  </si>
  <si>
    <t>101211</t>
  </si>
  <si>
    <t>PRESTARIUM NEO</t>
  </si>
  <si>
    <t>POR TBL FLM 90X5MG</t>
  </si>
  <si>
    <t>Fenofibrát</t>
  </si>
  <si>
    <t>11014</t>
  </si>
  <si>
    <t>LIPANTHYL 267 M</t>
  </si>
  <si>
    <t>POR CPS DUR 90X267MG</t>
  </si>
  <si>
    <t>Mefenoxalon</t>
  </si>
  <si>
    <t>85656</t>
  </si>
  <si>
    <t>DORSIFLEX 200 MG</t>
  </si>
  <si>
    <t>POR TBL NOB 30X200MG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</si>
  <si>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</si>
  <si>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</si>
  <si>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</si>
  <si>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</si>
  <si>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H03AA01 - Levothyroxin, sodná sůl</t>
  </si>
  <si>
    <t>B01AC04 - Klopidogrel</t>
  </si>
  <si>
    <t>J01FA10 - Azithromycin</t>
  </si>
  <si>
    <t>N06AB10 - Escitalopram</t>
  </si>
  <si>
    <t>C07AB07 - Bisoprolol</t>
  </si>
  <si>
    <t>N05BA12 - Alprazolam</t>
  </si>
  <si>
    <t>C07AB02 - Metoprolol</t>
  </si>
  <si>
    <t>M04AA01 - Alopurinol</t>
  </si>
  <si>
    <t>C10AB05 - Fenofibrát</t>
  </si>
  <si>
    <t>N06AB04 - Citalopram</t>
  </si>
  <si>
    <t>N05CD08 - Midazolam</t>
  </si>
  <si>
    <t>C10AA05 - Atorvastatin</t>
  </si>
  <si>
    <t>C07AB05 - Betaxolol</t>
  </si>
  <si>
    <t>C09AA05 - Ramipril</t>
  </si>
  <si>
    <t>B01AC04</t>
  </si>
  <si>
    <t>C07AB02</t>
  </si>
  <si>
    <t>C09AA05</t>
  </si>
  <si>
    <t>H03AA01</t>
  </si>
  <si>
    <t>J01FA10</t>
  </si>
  <si>
    <t>N05BA12</t>
  </si>
  <si>
    <t>N06AB04</t>
  </si>
  <si>
    <t>N05CD08</t>
  </si>
  <si>
    <t>C10AB05</t>
  </si>
  <si>
    <t>C10AA05</t>
  </si>
  <si>
    <t>N06AB10</t>
  </si>
  <si>
    <t>C07AB05</t>
  </si>
  <si>
    <t>C07AB07</t>
  </si>
  <si>
    <t>M04AA01</t>
  </si>
  <si>
    <t>Přehled plnění PL - Preskripce léčivých přípravků - orientační přehled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</si>
  <si>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</si>
  <si>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</si>
  <si>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</si>
  <si>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</si>
  <si>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</si>
  <si>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</si>
  <si>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</si>
  <si>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</si>
  <si>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2241</t>
  </si>
  <si>
    <t>Klinika nukleární medicíny, laboratoř-SVLS</t>
  </si>
  <si>
    <t>ZA090</t>
  </si>
  <si>
    <t>Vata buničitá přířezy 37 x 57 cm 2730152</t>
  </si>
  <si>
    <t>ZA429</t>
  </si>
  <si>
    <t>Obinadlo elastické idealtex   8 cm x 5 m 931061</t>
  </si>
  <si>
    <t>ZA443</t>
  </si>
  <si>
    <t>Šátek trojcípý pletený 125 x 85 x 85 cm 20001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</si>
  <si>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</si>
  <si>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</si>
  <si>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</si>
  <si>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</si>
  <si>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</si>
  <si>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</si>
  <si>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</si>
  <si>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</si>
  <si>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ZB759</t>
  </si>
  <si>
    <t>Zkumavka červená 8 ml gel 455071</t>
  </si>
  <si>
    <t>ZB761</t>
  </si>
  <si>
    <t>Zkumavka červená 4 ml 454092</t>
  </si>
  <si>
    <t>ZB768</t>
  </si>
  <si>
    <t>Jehla vakuová 216/38 mm zelená 450076</t>
  </si>
  <si>
    <t>ZB777</t>
  </si>
  <si>
    <t>Zkumavka červená 4 ml gel 454071</t>
  </si>
  <si>
    <t>ZE159</t>
  </si>
  <si>
    <t>Nádoba na kontaminovaný odpad 2 l 15-0003</t>
  </si>
  <si>
    <t>ZG515</t>
  </si>
  <si>
    <t>Zkumavka močová vacuette 10,5 ml bal. á 50 ks 331980455007</t>
  </si>
  <si>
    <t>ZL948</t>
  </si>
  <si>
    <t>Rukavice nitril promedica bez p. M bílé 6N á 100 ks 9399W3</t>
  </si>
  <si>
    <t>ZB084</t>
  </si>
  <si>
    <t>Náplast transpore 2,50 cm x 9,14 m 1527-1</t>
  </si>
  <si>
    <t>ZL789</t>
  </si>
  <si>
    <t>Obvaz sterilní hotový č. 2 004091360</t>
  </si>
  <si>
    <t>ZL790</t>
  </si>
  <si>
    <t>Obvaz sterilní hotový č. 3 004101144</t>
  </si>
  <si>
    <t>ZC769</t>
  </si>
  <si>
    <t>Hadička spojovací HS 1,8 x 450LL 606301</t>
  </si>
  <si>
    <t>ZD211</t>
  </si>
  <si>
    <t>Kohout trojcestný modrý á 50 ks, RO 301- pouze pro KNM</t>
  </si>
  <si>
    <t>ZD808</t>
  </si>
  <si>
    <t>Kanyla vasofix 22G modrá safety 4269098S-01</t>
  </si>
  <si>
    <t>ZD945</t>
  </si>
  <si>
    <t>Filtr bakteriální a virový 1544</t>
  </si>
  <si>
    <t>ZE668</t>
  </si>
  <si>
    <t>Rukavice latex bez p.zdrsněné L 9421625</t>
  </si>
  <si>
    <t>ZA338</t>
  </si>
  <si>
    <t>Obinadlo hydrofilní   6 cm x   5 m 13005</t>
  </si>
  <si>
    <t>ZA339</t>
  </si>
  <si>
    <t>Obinadlo hydrofilní   8 cm x   5 m 13006</t>
  </si>
  <si>
    <t>ZA789</t>
  </si>
  <si>
    <t>Stříkačka injekční   2 ml 4606027V</t>
  </si>
  <si>
    <t>ZA790</t>
  </si>
  <si>
    <t>Stříkačka injekční   5 ml 4606051V</t>
  </si>
  <si>
    <t>ZL949</t>
  </si>
  <si>
    <t>Rukavice nitril promedica bez p. L bílé 6N á 100 ks 9399W4</t>
  </si>
  <si>
    <t>ZA737</t>
  </si>
  <si>
    <t>Filtr mini spike modrý 4550234</t>
  </si>
  <si>
    <t>ZA787</t>
  </si>
  <si>
    <t>Stříkačka injekční 10 ml 4606108V</t>
  </si>
  <si>
    <t>ZA788</t>
  </si>
  <si>
    <t>Stříkačka injekční 20 ml 4606205V</t>
  </si>
  <si>
    <t>ZB289</t>
  </si>
  <si>
    <t>Válec tlak. stříkačky Medrad SDS-CTP-QFT 1H07169</t>
  </si>
  <si>
    <t>ZB600</t>
  </si>
  <si>
    <t>Kit denní DDK-LU pro systém LU</t>
  </si>
  <si>
    <t>ZB893</t>
  </si>
  <si>
    <t>Stříkačka inzulinová omnican 0,5 ml 100j s jehlou 30 G 9151125S</t>
  </si>
  <si>
    <t>ZC863</t>
  </si>
  <si>
    <t>Hadička spojovací HS 1,8 x 1800LL 606304</t>
  </si>
  <si>
    <t>ZD809</t>
  </si>
  <si>
    <t>Kanyla vasofix 20G růžová safety 4269110S-01</t>
  </si>
  <si>
    <t>ZK798</t>
  </si>
  <si>
    <t xml:space="preserve">Zátka combi modrá 4495152 </t>
  </si>
  <si>
    <t>ZJ102</t>
  </si>
  <si>
    <t>Vzduchovod nosní 9,0 bal. á 10 ks 321090</t>
  </si>
  <si>
    <t>ZL688</t>
  </si>
  <si>
    <t>Proužky Accu-Check Inform IIStrip 50 EU1 á 50 ks 05942861</t>
  </si>
  <si>
    <t>ZB316</t>
  </si>
  <si>
    <t>Vzduchovod nosní 8.0 mm bal. á 10 ks 100/210/080</t>
  </si>
  <si>
    <t>ZB599</t>
  </si>
  <si>
    <t>Kit denní DDK-A pro dávávkovač DDK-A</t>
  </si>
  <si>
    <t>ZA360</t>
  </si>
  <si>
    <t>Jehla sterican 0,5 x 25 mm oranžová 9186158</t>
  </si>
  <si>
    <t>Spotřeba zdravotnického materiálu - orientační přehled</t>
  </si>
  <si>
    <t>ON Data</t>
  </si>
  <si>
    <t>407 - Pracoviště nukleární medicíny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</si>
  <si>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</si>
  <si>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</si>
  <si>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</si>
  <si>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407</t>
  </si>
  <si>
    <t>1</t>
  </si>
  <si>
    <t>0022077</t>
  </si>
  <si>
    <t>0093625</t>
  </si>
  <si>
    <t>0093626</t>
  </si>
  <si>
    <t>0095609</t>
  </si>
  <si>
    <t>9999990</t>
  </si>
  <si>
    <t>Nespecifikovany LEK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</si>
  <si>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</si>
  <si>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</si>
  <si>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</si>
  <si>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</si>
  <si>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</si>
  <si>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</si>
  <si>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</si>
  <si>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0002023</t>
  </si>
  <si>
    <t>99mTc-mefenin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</si>
  <si>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</si>
  <si>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</si>
  <si>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</si>
  <si>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</si>
  <si>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</si>
  <si>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</si>
  <si>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</si>
  <si>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</si>
  <si>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</si>
  <si>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</si>
  <si>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</si>
  <si>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</si>
  <si>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</si>
  <si>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</si>
  <si>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</si>
  <si>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</si>
  <si>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</si>
  <si>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</si>
  <si>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</si>
  <si>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</si>
  <si>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</si>
  <si>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</si>
  <si>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</si>
  <si>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</si>
  <si>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0002077</t>
  </si>
  <si>
    <t>111In pentetreotid inj.</t>
  </si>
  <si>
    <t>0002087</t>
  </si>
  <si>
    <t>18F-FDG</t>
  </si>
  <si>
    <t>0002089</t>
  </si>
  <si>
    <t>99mTc-bicisát inj.</t>
  </si>
  <si>
    <t>0002092</t>
  </si>
  <si>
    <t>123I-joflupan inj.</t>
  </si>
  <si>
    <t>0002095</t>
  </si>
  <si>
    <t>99mTc-nanokoloid alb.inj.</t>
  </si>
  <si>
    <t>0002100</t>
  </si>
  <si>
    <t>9999999</t>
  </si>
  <si>
    <t>nespecifikovany</t>
  </si>
  <si>
    <t>0002101</t>
  </si>
  <si>
    <t>18F Fluoromethylcholin inj.</t>
  </si>
  <si>
    <t>0002099</t>
  </si>
  <si>
    <t>18 F-FLT inj.</t>
  </si>
  <si>
    <t>0002090</t>
  </si>
  <si>
    <t>186Re-koloidní rhenium sulfid inj.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</si>
  <si>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</si>
  <si>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</si>
  <si>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</si>
  <si>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</si>
  <si>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</si>
  <si>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</si>
  <si>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</si>
  <si>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</si>
  <si>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</si>
  <si>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</si>
  <si>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</si>
  <si>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</si>
  <si>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</si>
  <si>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</si>
  <si>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</si>
  <si>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</si>
  <si>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</si>
  <si>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</si>
  <si>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</si>
  <si>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</si>
  <si>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</si>
  <si>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</si>
  <si>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</si>
  <si>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</si>
  <si>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</si>
  <si>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</si>
  <si>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</si>
  <si>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</si>
  <si>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</si>
  <si>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</si>
  <si>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</si>
  <si>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</si>
  <si>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</si>
  <si>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</si>
  <si>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</si>
  <si>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</si>
  <si>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</si>
  <si>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47355</t>
  </si>
  <si>
    <t>HYBRIDNÍ VÝPOČETNÍ A POZITRONOVÁ EMISNÍ TOMOGRAFIE</t>
  </si>
  <si>
    <t>09547</t>
  </si>
  <si>
    <t>REGULAČNÍ POPLATEK -- POJIŠTĚNEC OD ÚHRADY POPLATK</t>
  </si>
  <si>
    <t>09543</t>
  </si>
  <si>
    <t>REGULAČNÍ POPLATEK ZA NÁVŠTĚVU -- POPLATEK UHRAZEN</t>
  </si>
  <si>
    <t>47302</t>
  </si>
  <si>
    <t>17113</t>
  </si>
  <si>
    <t>SPECIALIZOVANÉ ERGOMETRICKÉ VYŠETŘENÍ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</si>
  <si>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</si>
  <si>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</si>
  <si>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</si>
  <si>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</si>
  <si>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</si>
  <si>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</si>
  <si>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</si>
  <si>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</si>
  <si>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</si>
  <si>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</si>
  <si>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</si>
  <si>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</si>
  <si>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</si>
  <si>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</si>
  <si>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</si>
  <si>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</si>
  <si>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</si>
  <si>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</si>
  <si>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</si>
  <si>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</si>
  <si>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</si>
  <si>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</si>
  <si>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</si>
  <si>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</si>
  <si>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</si>
  <si>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</si>
  <si>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</si>
  <si>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</si>
  <si>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</si>
  <si>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</si>
  <si>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</si>
  <si>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</si>
  <si>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</si>
  <si>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</si>
  <si>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</si>
  <si>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</si>
  <si>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</si>
  <si>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</si>
  <si>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</si>
  <si>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</si>
  <si>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22 - KLINIKA NUKLEÁRNÍ MEDICÍNY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</si>
  <si>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</si>
  <si>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</si>
  <si>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</si>
  <si>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</si>
  <si>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</si>
  <si>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01</t>
  </si>
  <si>
    <t>47353</t>
  </si>
  <si>
    <t>POZITRONOVÁ EMISNÍ TOMOGRAFIE (PET) LIMITOVANÉ OBL</t>
  </si>
  <si>
    <t>02</t>
  </si>
  <si>
    <t>03</t>
  </si>
  <si>
    <t>47163</t>
  </si>
  <si>
    <t>SCINTIGRAFIE EVAKUACE ŽALUDKU</t>
  </si>
  <si>
    <t>47165</t>
  </si>
  <si>
    <t>STANOVENÍ GASTROESOFAGEÁLNÍHO REFLUXU</t>
  </si>
  <si>
    <t>04</t>
  </si>
  <si>
    <t>05</t>
  </si>
  <si>
    <t>08</t>
  </si>
  <si>
    <t>10</t>
  </si>
  <si>
    <t>11</t>
  </si>
  <si>
    <t>12</t>
  </si>
  <si>
    <t>13</t>
  </si>
  <si>
    <t>0002021</t>
  </si>
  <si>
    <t>99mTc-nanokoloid albuminu inj.</t>
  </si>
  <si>
    <t>14</t>
  </si>
  <si>
    <t>16</t>
  </si>
  <si>
    <t>17</t>
  </si>
  <si>
    <t>18</t>
  </si>
  <si>
    <t>21</t>
  </si>
  <si>
    <t>47151</t>
  </si>
  <si>
    <t>CELOTĚLOVÁ SCINTIGRAFIE U KARCINOMU ŠTÍTNÉ ŽLÁZY</t>
  </si>
  <si>
    <t>4F7</t>
  </si>
  <si>
    <t>0027720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</si>
  <si>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</si>
  <si>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</si>
  <si>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</si>
  <si>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</si>
  <si>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</si>
  <si>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</si>
  <si>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</si>
  <si>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</si>
  <si>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</si>
  <si>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</si>
  <si>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</si>
  <si>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</si>
  <si>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</si>
  <si>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</si>
  <si>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</si>
  <si>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</si>
  <si>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</si>
  <si>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</si>
  <si>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</si>
  <si>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</si>
  <si>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</si>
  <si>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</si>
  <si>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29</t>
  </si>
  <si>
    <t>30</t>
  </si>
  <si>
    <t>31</t>
  </si>
  <si>
    <t>32</t>
  </si>
  <si>
    <t>0002066</t>
  </si>
  <si>
    <t>51Cr-trombocyty</t>
  </si>
  <si>
    <t>47233</t>
  </si>
  <si>
    <t>PŘEŽÍVÁNÍ A LOKALIZACE DESTRUKCE AUTOLOGNÍCH THROM</t>
  </si>
  <si>
    <t>50</t>
  </si>
  <si>
    <t>Zdravotní výkony vykázané na pracovišti pro pacienty hospitalizované ve FNOL - orientační přehled</t>
  </si>
  <si>
    <t>06301</t>
  </si>
  <si>
    <t>A</t>
  </si>
  <si>
    <t xml:space="preserve">MALIGNÍ ONEMOCNĚNÍ TRÁVICÍHO SYSTÉMU BEZ CC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</si>
  <si>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</si>
  <si>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</si>
  <si>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</si>
  <si>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</si>
  <si>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</si>
  <si>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</si>
  <si>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</si>
  <si>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</si>
  <si>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Porovnání jednotlivých IR DRG skupin</t>
  </si>
  <si>
    <t>33 - ODDĚLENÍ KLINICKÉ BIOCHEMIE</t>
  </si>
  <si>
    <t>34 - KLINIKA RADIOLOGICKÁ</t>
  </si>
  <si>
    <t>37 - ÚSTAV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</si>
  <si>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</si>
  <si>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</si>
  <si>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</si>
  <si>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</si>
  <si>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</si>
  <si>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</si>
  <si>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</si>
  <si>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</si>
  <si>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</si>
  <si>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</si>
  <si>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</si>
  <si>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</si>
  <si>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</si>
  <si>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</si>
  <si>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96315</t>
  </si>
  <si>
    <t>ANALÝZA KREVNÍHO NÁTĚRU PANOPTICKY OBARVENÉHO. IND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</si>
  <si>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</si>
  <si>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</si>
  <si>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</si>
  <si>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</si>
  <si>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</si>
  <si>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</si>
  <si>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</si>
  <si>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</si>
  <si>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81157</t>
  </si>
  <si>
    <t>CHLORIDY STATIM</t>
  </si>
  <si>
    <t>81427</t>
  </si>
  <si>
    <t>FOSFOR ANORGANICKÝ</t>
  </si>
  <si>
    <t>81731</t>
  </si>
  <si>
    <t>STANOVENÍ NATRIURETICKÝCH PEPTIDŮ V SÉRU A V PLAZM</t>
  </si>
  <si>
    <t>93141</t>
  </si>
  <si>
    <t>KALCITONIN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</si>
  <si>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</si>
  <si>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</si>
  <si>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</si>
  <si>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</si>
  <si>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</si>
  <si>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</si>
  <si>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</si>
  <si>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</si>
  <si>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</si>
  <si>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</si>
  <si>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</si>
  <si>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</si>
  <si>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</si>
  <si>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</si>
  <si>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</si>
  <si>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</si>
  <si>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</si>
  <si>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</si>
  <si>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</si>
  <si>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</si>
  <si>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81113</t>
  </si>
  <si>
    <t>A S T  STATIM</t>
  </si>
  <si>
    <t>81169</t>
  </si>
  <si>
    <t>KREATININ STATIM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</si>
  <si>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</si>
  <si>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</si>
  <si>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</si>
  <si>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</si>
  <si>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</si>
  <si>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</si>
  <si>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</si>
  <si>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</si>
  <si>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</si>
  <si>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</si>
  <si>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</si>
  <si>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</si>
  <si>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</si>
  <si>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</si>
  <si>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</si>
  <si>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</si>
  <si>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</si>
  <si>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</si>
  <si>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</si>
  <si>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</si>
  <si>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93265</t>
  </si>
  <si>
    <t>CYFRA 21-1 (NÁDOROVÝ ANTIGEN, CYTOKERATIN FRAGMENT</t>
  </si>
  <si>
    <t>34</t>
  </si>
  <si>
    <t>809</t>
  </si>
  <si>
    <t>0077019</t>
  </si>
  <si>
    <t>89129</t>
  </si>
  <si>
    <t>RTG ŽEBER A STERNA</t>
  </si>
  <si>
    <t>89313</t>
  </si>
  <si>
    <t xml:space="preserve">PERKUTÁNNÍ PUNKCE NEBO BIOPSIE ŘÍZENÁ RDG METODOU </t>
  </si>
  <si>
    <t>89131</t>
  </si>
  <si>
    <t>RTG HRUDNÍKU</t>
  </si>
  <si>
    <t>89615</t>
  </si>
  <si>
    <t>CT VYŠETŘENÍ S VĚTŠÍM POČTEM SKENŮ (NAD 30), BEZ P</t>
  </si>
  <si>
    <t>89125</t>
  </si>
  <si>
    <t>RTG RAMENNÍHO KLOUBU</t>
  </si>
  <si>
    <t>89611</t>
  </si>
  <si>
    <t>CT VYŠETŘENÍ HLAVY NEBO TĚLA NATIVNÍ A KONTRASTNÍ</t>
  </si>
  <si>
    <t>37</t>
  </si>
  <si>
    <t>807</t>
  </si>
  <si>
    <t>87427</t>
  </si>
  <si>
    <t>CYTOLOGICKÉ NÁTĚRY  NECENTRIFUGOVANÉ TEKUTINY - 4-</t>
  </si>
  <si>
    <t>87513</t>
  </si>
  <si>
    <t>STANOVENÍ CYTOLOGICKÉ DIAGNÓZY I. STUPNĚ OBTÍŽNOST</t>
  </si>
  <si>
    <t>87449</t>
  </si>
  <si>
    <t xml:space="preserve">SCREENINGOVÉ ODEČÍTÁNÍ CYTOLOGICKÝCH NÁLEZŮ (ZA 1 </t>
  </si>
  <si>
    <t>87435</t>
  </si>
  <si>
    <t>STANDARDNÍ CYTOLOGICKÉ BARVENÍ,  ZA 4-10  PREPARÁT</t>
  </si>
  <si>
    <t>40</t>
  </si>
  <si>
    <t>802</t>
  </si>
  <si>
    <t>82025</t>
  </si>
  <si>
    <t>KULTIVAČNÍ VYŠETŘENÍ NA GO</t>
  </si>
  <si>
    <t>41</t>
  </si>
  <si>
    <t>813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</si>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</sst>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55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2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2" fontId="31" fillId="3" borderId="30" xfId="81" applyNumberFormat="1" applyFont="1" applyFill="1" applyBorder="1"/>
    <xf numFmtId="172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5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4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7" xfId="26" applyNumberFormat="1" applyFont="1" applyFill="1" applyBorder="1"/>
    <xf numFmtId="9" fontId="32" fillId="0" borderId="28" xfId="26" applyNumberFormat="1" applyFont="1" applyFill="1" applyBorder="1"/>
    <xf numFmtId="171" fontId="32" fillId="0" borderId="51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9" xfId="26" applyNumberFormat="1" applyFont="1" applyFill="1" applyBorder="1"/>
    <xf numFmtId="171" fontId="32" fillId="0" borderId="24" xfId="26" applyNumberFormat="1" applyFont="1" applyFill="1" applyBorder="1"/>
    <xf numFmtId="9" fontId="32" fillId="0" borderId="25" xfId="26" applyNumberFormat="1" applyFont="1" applyFill="1" applyBorder="1"/>
    <xf numFmtId="171" fontId="32" fillId="0" borderId="53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4" borderId="22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9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8" fontId="34" fillId="2" borderId="23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8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8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9" xfId="26" applyNumberFormat="1" applyFont="1" applyFill="1" applyBorder="1"/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8" fontId="34" fillId="3" borderId="23" xfId="86" applyNumberFormat="1" applyFont="1" applyFill="1" applyBorder="1" applyAlignment="1">
      <alignment horizontal="right"/>
    </xf>
    <xf numFmtId="168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8" fontId="34" fillId="4" borderId="23" xfId="26" applyNumberFormat="1" applyFont="1" applyFill="1" applyBorder="1" applyAlignment="1">
      <alignment horizontal="center"/>
    </xf>
    <xf numFmtId="3" fontId="34" fillId="4" borderId="29" xfId="26" applyNumberFormat="1" applyFont="1" applyFill="1" applyBorder="1"/>
    <xf numFmtId="3" fontId="34" fillId="4" borderId="30" xfId="26" applyNumberFormat="1" applyFont="1" applyFill="1" applyBorder="1"/>
    <xf numFmtId="168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8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50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2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4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5" fontId="34" fillId="0" borderId="78" xfId="53" applyNumberFormat="1" applyFont="1" applyFill="1" applyBorder="1"/>
    <xf numFmtId="165" fontId="34" fillId="0" borderId="79" xfId="53" applyNumberFormat="1" applyFont="1" applyFill="1" applyBorder="1"/>
    <xf numFmtId="9" fontId="34" fillId="0" borderId="80" xfId="83" applyNumberFormat="1" applyFont="1" applyFill="1" applyBorder="1"/>
    <xf numFmtId="170" fontId="34" fillId="0" borderId="78" xfId="53" applyNumberFormat="1" applyFont="1" applyFill="1" applyBorder="1"/>
    <xf numFmtId="170" fontId="34" fillId="0" borderId="79" xfId="5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4" xfId="26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2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4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4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9" fontId="5" fillId="0" borderId="0" xfId="26" applyNumberFormat="1" applyFont="1" applyFill="1"/>
    <xf numFmtId="167" fontId="3" fillId="2" borderId="33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50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8" xfId="26" applyNumberFormat="1" applyFont="1" applyFill="1" applyBorder="1"/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8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8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4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7" xfId="0" applyNumberFormat="1" applyFont="1" applyFill="1" applyBorder="1"/>
    <xf numFmtId="3" fontId="42" fillId="2" borderId="59" xfId="0" applyNumberFormat="1" applyFont="1" applyFill="1" applyBorder="1"/>
    <xf numFmtId="9" fontId="42" fillId="2" borderId="66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62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4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70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70" fontId="42" fillId="0" borderId="31" xfId="0" applyNumberFormat="1" applyFont="1" applyFill="1" applyBorder="1" applyAlignment="1"/>
    <xf numFmtId="9" fontId="42" fillId="0" borderId="56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4" xfId="0" applyNumberFormat="1" applyFont="1" applyFill="1" applyBorder="1" applyAlignment="1"/>
    <xf numFmtId="9" fontId="35" fillId="0" borderId="54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4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9" fontId="3" fillId="0" borderId="47" xfId="26" applyNumberFormat="1" applyFont="1" applyFill="1" applyBorder="1" applyAlignment="1">
      <alignment vertical="center"/>
    </xf>
    <xf numFmtId="167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59" fillId="9" borderId="87" xfId="0" applyNumberFormat="1" applyFont="1" applyFill="1" applyBorder="1"/>
    <xf numFmtId="3" fontId="59" fillId="9" borderId="86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90" xfId="0" applyNumberFormat="1" applyFont="1" applyFill="1" applyBorder="1" applyAlignment="1">
      <alignment horizontal="center" vertical="center"/>
    </xf>
    <xf numFmtId="0" fontId="42" fillId="2" borderId="91" xfId="0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3" fontId="61" fillId="2" borderId="93" xfId="0" applyNumberFormat="1" applyFont="1" applyFill="1" applyBorder="1" applyAlignment="1">
      <alignment horizontal="center" vertical="center" wrapText="1"/>
    </xf>
    <xf numFmtId="0" fontId="61" fillId="2" borderId="94" xfId="0" applyFont="1" applyFill="1" applyBorder="1" applyAlignment="1">
      <alignment horizontal="center" vertical="center" wrapText="1"/>
    </xf>
    <xf numFmtId="0" fontId="61" fillId="2" borderId="95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1" fillId="2" borderId="111" xfId="0" applyNumberFormat="1" applyFont="1" applyFill="1" applyBorder="1" applyAlignment="1">
      <alignment horizontal="center" vertical="center" wrapText="1"/>
    </xf>
    <xf numFmtId="174" fontId="42" fillId="4" borderId="97" xfId="0" applyNumberFormat="1" applyFont="1" applyFill="1" applyBorder="1" applyAlignment="1"/>
    <xf numFmtId="174" fontId="42" fillId="4" borderId="90" xfId="0" applyNumberFormat="1" applyFont="1" applyFill="1" applyBorder="1" applyAlignment="1"/>
    <xf numFmtId="174" fontId="42" fillId="4" borderId="91" xfId="0" applyNumberFormat="1" applyFont="1" applyFill="1" applyBorder="1" applyAlignment="1"/>
    <xf numFmtId="174" fontId="42" fillId="4" borderId="92" xfId="0" applyNumberFormat="1" applyFont="1" applyFill="1" applyBorder="1" applyAlignment="1"/>
    <xf numFmtId="174" fontId="42" fillId="0" borderId="99" xfId="0" applyNumberFormat="1" applyFont="1" applyBorder="1"/>
    <xf numFmtId="174" fontId="35" fillId="0" borderId="103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42" fillId="0" borderId="110" xfId="0" applyNumberFormat="1" applyFont="1" applyBorder="1"/>
    <xf numFmtId="174" fontId="35" fillId="0" borderId="111" xfId="0" applyNumberFormat="1" applyFont="1" applyBorder="1"/>
    <xf numFmtId="174" fontId="35" fillId="0" borderId="94" xfId="0" applyNumberFormat="1" applyFont="1" applyBorder="1"/>
    <xf numFmtId="174" fontId="35" fillId="0" borderId="95" xfId="0" applyNumberFormat="1" applyFont="1" applyBorder="1"/>
    <xf numFmtId="174" fontId="42" fillId="2" borderId="112" xfId="0" applyNumberFormat="1" applyFont="1" applyFill="1" applyBorder="1" applyAlignment="1"/>
    <xf numFmtId="174" fontId="42" fillId="2" borderId="90" xfId="0" applyNumberFormat="1" applyFont="1" applyFill="1" applyBorder="1" applyAlignment="1"/>
    <xf numFmtId="174" fontId="42" fillId="2" borderId="91" xfId="0" applyNumberFormat="1" applyFont="1" applyFill="1" applyBorder="1" applyAlignment="1"/>
    <xf numFmtId="174" fontId="42" fillId="2" borderId="92" xfId="0" applyNumberFormat="1" applyFont="1" applyFill="1" applyBorder="1" applyAlignment="1"/>
    <xf numFmtId="174" fontId="42" fillId="0" borderId="105" xfId="0" applyNumberFormat="1" applyFont="1" applyBorder="1"/>
    <xf numFmtId="174" fontId="35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174" fontId="42" fillId="0" borderId="97" xfId="0" applyNumberFormat="1" applyFont="1" applyBorder="1"/>
    <xf numFmtId="174" fontId="35" fillId="0" borderId="113" xfId="0" applyNumberFormat="1" applyFont="1" applyBorder="1"/>
    <xf numFmtId="174" fontId="35" fillId="0" borderId="91" xfId="0" applyNumberFormat="1" applyFont="1" applyBorder="1"/>
    <xf numFmtId="174" fontId="35" fillId="0" borderId="92" xfId="0" applyNumberFormat="1" applyFont="1" applyBorder="1"/>
    <xf numFmtId="174" fontId="35" fillId="0" borderId="100" xfId="0" applyNumberFormat="1" applyFont="1" applyBorder="1"/>
    <xf numFmtId="174" fontId="35" fillId="0" borderId="93" xfId="0" applyNumberFormat="1" applyFont="1" applyBorder="1"/>
    <xf numFmtId="175" fontId="42" fillId="2" borderId="97" xfId="0" applyNumberFormat="1" applyFont="1" applyFill="1" applyBorder="1" applyAlignment="1"/>
    <xf numFmtId="175" fontId="35" fillId="2" borderId="90" xfId="0" applyNumberFormat="1" applyFont="1" applyFill="1" applyBorder="1" applyAlignment="1"/>
    <xf numFmtId="175" fontId="35" fillId="2" borderId="91" xfId="0" applyNumberFormat="1" applyFont="1" applyFill="1" applyBorder="1" applyAlignment="1"/>
    <xf numFmtId="175" fontId="35" fillId="2" borderId="92" xfId="0" applyNumberFormat="1" applyFont="1" applyFill="1" applyBorder="1" applyAlignment="1"/>
    <xf numFmtId="175" fontId="42" fillId="0" borderId="99" xfId="0" applyNumberFormat="1" applyFont="1" applyBorder="1"/>
    <xf numFmtId="175" fontId="35" fillId="0" borderId="100" xfId="0" applyNumberFormat="1" applyFont="1" applyBorder="1"/>
    <xf numFmtId="175" fontId="35" fillId="0" borderId="101" xfId="0" applyNumberFormat="1" applyFont="1" applyBorder="1"/>
    <xf numFmtId="175" fontId="35" fillId="0" borderId="102" xfId="0" applyNumberFormat="1" applyFont="1" applyBorder="1"/>
    <xf numFmtId="175" fontId="35" fillId="0" borderId="103" xfId="0" applyNumberFormat="1" applyFont="1" applyBorder="1"/>
    <xf numFmtId="175" fontId="42" fillId="0" borderId="105" xfId="0" applyNumberFormat="1" applyFont="1" applyBorder="1"/>
    <xf numFmtId="175" fontId="35" fillId="0" borderId="106" xfId="0" applyNumberFormat="1" applyFont="1" applyBorder="1"/>
    <xf numFmtId="175" fontId="35" fillId="0" borderId="107" xfId="0" applyNumberFormat="1" applyFont="1" applyBorder="1"/>
    <xf numFmtId="175" fontId="35" fillId="0" borderId="108" xfId="0" applyNumberFormat="1" applyFont="1" applyBorder="1"/>
    <xf numFmtId="0" fontId="28" fillId="2" borderId="20" xfId="1" applyFill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2" xfId="81" applyFont="1" applyFill="1" applyBorder="1" applyAlignment="1">
      <alignment horizontal="center"/>
    </xf>
    <xf numFmtId="0" fontId="34" fillId="2" borderId="53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7" xfId="53" applyNumberFormat="1" applyFont="1" applyFill="1" applyBorder="1" applyAlignment="1">
      <alignment horizontal="right"/>
    </xf>
    <xf numFmtId="165" fontId="32" fillId="2" borderId="32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8" xfId="0" applyFont="1" applyFill="1" applyBorder="1" applyAlignment="1"/>
    <xf numFmtId="3" fontId="31" fillId="2" borderId="60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4" xfId="0" applyFont="1" applyFill="1" applyBorder="1" applyAlignment="1">
      <alignment horizontal="left"/>
    </xf>
    <xf numFmtId="0" fontId="35" fillId="2" borderId="58" xfId="0" applyFont="1" applyFill="1" applyBorder="1" applyAlignment="1">
      <alignment horizontal="left"/>
    </xf>
    <xf numFmtId="0" fontId="42" fillId="2" borderId="60" xfId="0" applyFont="1" applyFill="1" applyBorder="1" applyAlignment="1">
      <alignment horizontal="left"/>
    </xf>
    <xf numFmtId="3" fontId="42" fillId="2" borderId="60" xfId="0" applyNumberFormat="1" applyFont="1" applyFill="1" applyBorder="1" applyAlignment="1">
      <alignment horizontal="left"/>
    </xf>
    <xf numFmtId="3" fontId="35" fillId="2" borderId="55" xfId="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74" fontId="35" fillId="0" borderId="94" xfId="0" applyNumberFormat="1" applyFont="1" applyBorder="1" applyAlignment="1"/>
    <xf numFmtId="0" fontId="2" fillId="0" borderId="2" xfId="26" applyFont="1" applyFill="1" applyBorder="1" applyAlignment="1"/>
    <xf numFmtId="0" fontId="0" fillId="0" borderId="2" xfId="0" applyBorder="1" applyAlignment="1"/>
    <xf numFmtId="167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74" fontId="35" fillId="0" borderId="101" xfId="0" applyNumberFormat="1" applyFont="1" applyBorder="1" applyAlignment="1"/>
    <xf numFmtId="174" fontId="42" fillId="4" borderId="91" xfId="0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4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55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5" xfId="0" applyFont="1" applyFill="1" applyBorder="1" applyAlignment="1">
      <alignment horizontal="center"/>
    </xf>
    <xf numFmtId="9" fontId="46" fillId="2" borderId="55" xfId="0" applyNumberFormat="1" applyFont="1" applyFill="1" applyBorder="1" applyAlignment="1">
      <alignment horizontal="center" vertical="top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5" xfId="0" applyNumberFormat="1" applyFont="1" applyFill="1" applyBorder="1" applyAlignment="1">
      <alignment horizontal="center"/>
    </xf>
    <xf numFmtId="0" fontId="46" fillId="2" borderId="55" xfId="0" applyNumberFormat="1" applyFont="1" applyFill="1" applyBorder="1" applyAlignment="1">
      <alignment horizontal="center" vertical="top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8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3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54" xfId="26" applyNumberFormat="1" applyFont="1" applyFill="1" applyBorder="1" applyAlignment="1">
      <alignment horizontal="right" vertical="top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4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3" borderId="33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4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0" fontId="35" fillId="0" borderId="54" xfId="0" applyFont="1" applyFill="1" applyBorder="1" applyAlignment="1">
      <alignment horizontal="right" vertical="top"/>
    </xf>
    <xf numFmtId="3" fontId="3" fillId="2" borderId="68" xfId="27" applyNumberFormat="1" applyFont="1" applyFill="1" applyBorder="1" applyAlignment="1">
      <alignment horizontal="center"/>
    </xf>
    <xf numFmtId="0" fontId="35" fillId="2" borderId="54" xfId="14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4" xfId="26" applyFont="1" applyFill="1" applyBorder="1" applyAlignment="1">
      <alignment horizontal="center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5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4" xfId="26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169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7" xfId="76" applyNumberFormat="1" applyFont="1" applyFill="1" applyBorder="1" applyAlignment="1">
      <alignment horizontal="center" vertical="center"/>
    </xf>
    <xf numFmtId="3" fontId="34" fillId="2" borderId="59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7" xfId="0" applyNumberFormat="1" applyFont="1" applyFill="1" applyBorder="1" applyAlignment="1">
      <alignment horizontal="right" vertical="top"/>
    </xf>
    <xf numFmtId="3" fontId="36" fillId="10" borderId="118" xfId="0" applyNumberFormat="1" applyFont="1" applyFill="1" applyBorder="1" applyAlignment="1">
      <alignment horizontal="right" vertical="top"/>
    </xf>
    <xf numFmtId="176" fontId="36" fillId="10" borderId="119" xfId="0" applyNumberFormat="1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176" fontId="36" fillId="10" borderId="120" xfId="0" applyNumberFormat="1" applyFont="1" applyFill="1" applyBorder="1" applyAlignment="1">
      <alignment horizontal="right" vertical="top"/>
    </xf>
    <xf numFmtId="3" fontId="38" fillId="10" borderId="122" xfId="0" applyNumberFormat="1" applyFont="1" applyFill="1" applyBorder="1" applyAlignment="1">
      <alignment horizontal="right" vertical="top"/>
    </xf>
    <xf numFmtId="3" fontId="38" fillId="10" borderId="123" xfId="0" applyNumberFormat="1" applyFont="1" applyFill="1" applyBorder="1" applyAlignment="1">
      <alignment horizontal="right" vertical="top"/>
    </xf>
    <xf numFmtId="0" fontId="38" fillId="10" borderId="124" xfId="0" applyFont="1" applyFill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0" fontId="38" fillId="10" borderId="125" xfId="0" applyFont="1" applyFill="1" applyBorder="1" applyAlignment="1">
      <alignment horizontal="right" vertical="top"/>
    </xf>
    <xf numFmtId="0" fontId="36" fillId="10" borderId="119" xfId="0" applyFont="1" applyFill="1" applyBorder="1" applyAlignment="1">
      <alignment horizontal="right" vertical="top"/>
    </xf>
    <xf numFmtId="0" fontId="36" fillId="10" borderId="120" xfId="0" applyFont="1" applyFill="1" applyBorder="1" applyAlignment="1">
      <alignment horizontal="right" vertical="top"/>
    </xf>
    <xf numFmtId="176" fontId="38" fillId="10" borderId="124" xfId="0" applyNumberFormat="1" applyFont="1" applyFill="1" applyBorder="1" applyAlignment="1">
      <alignment horizontal="right" vertical="top"/>
    </xf>
    <xf numFmtId="176" fontId="38" fillId="10" borderId="125" xfId="0" applyNumberFormat="1" applyFont="1" applyFill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0" fontId="38" fillId="0" borderId="128" xfId="0" applyFont="1" applyBorder="1" applyAlignment="1">
      <alignment horizontal="right" vertical="top"/>
    </xf>
    <xf numFmtId="176" fontId="38" fillId="10" borderId="129" xfId="0" applyNumberFormat="1" applyFont="1" applyFill="1" applyBorder="1" applyAlignment="1">
      <alignment horizontal="right" vertical="top"/>
    </xf>
    <xf numFmtId="0" fontId="40" fillId="11" borderId="116" xfId="0" applyFont="1" applyFill="1" applyBorder="1" applyAlignment="1">
      <alignment vertical="top"/>
    </xf>
    <xf numFmtId="0" fontId="40" fillId="11" borderId="116" xfId="0" applyFont="1" applyFill="1" applyBorder="1" applyAlignment="1">
      <alignment vertical="top" indent="2"/>
    </xf>
    <xf numFmtId="0" fontId="40" fillId="11" borderId="116" xfId="0" applyFont="1" applyFill="1" applyBorder="1" applyAlignment="1">
      <alignment vertical="top" indent="4"/>
    </xf>
    <xf numFmtId="0" fontId="41" fillId="11" borderId="121" xfId="0" applyFont="1" applyFill="1" applyBorder="1" applyAlignment="1">
      <alignment vertical="top" indent="6"/>
    </xf>
    <xf numFmtId="0" fontId="40" fillId="11" borderId="116" xfId="0" applyFont="1" applyFill="1" applyBorder="1" applyAlignment="1">
      <alignment vertical="top" indent="8"/>
    </xf>
    <xf numFmtId="0" fontId="41" fillId="11" borderId="121" xfId="0" applyFont="1" applyFill="1" applyBorder="1" applyAlignment="1">
      <alignment vertical="top" indent="2"/>
    </xf>
    <xf numFmtId="0" fontId="40" fillId="11" borderId="116" xfId="0" applyFont="1" applyFill="1" applyBorder="1" applyAlignment="1">
      <alignment vertical="top" indent="6"/>
    </xf>
    <xf numFmtId="0" fontId="41" fillId="11" borderId="121" xfId="0" applyFont="1" applyFill="1" applyBorder="1" applyAlignment="1">
      <alignment vertical="top" indent="4"/>
    </xf>
    <xf numFmtId="0" fontId="41" fillId="11" borderId="121" xfId="0" applyFont="1" applyFill="1" applyBorder="1" applyAlignment="1">
      <alignment vertical="top"/>
    </xf>
    <xf numFmtId="0" fontId="35" fillId="11" borderId="116" xfId="0" applyFont="1" applyFill="1" applyBorder="1"/>
    <xf numFmtId="0" fontId="41" fillId="11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4" fillId="2" borderId="130" xfId="53" applyNumberFormat="1" applyFont="1" applyFill="1" applyBorder="1" applyAlignment="1">
      <alignment horizontal="left"/>
    </xf>
    <xf numFmtId="165" fontId="34" fillId="2" borderId="131" xfId="53" applyNumberFormat="1" applyFont="1" applyFill="1" applyBorder="1" applyAlignment="1">
      <alignment horizontal="left"/>
    </xf>
    <xf numFmtId="165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5" fontId="35" fillId="0" borderId="101" xfId="0" applyNumberFormat="1" applyFont="1" applyFill="1" applyBorder="1"/>
    <xf numFmtId="165" fontId="35" fillId="0" borderId="101" xfId="0" applyNumberFormat="1" applyFont="1" applyFill="1" applyBorder="1" applyAlignment="1">
      <alignment horizontal="right"/>
    </xf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5" fontId="35" fillId="0" borderId="94" xfId="0" applyNumberFormat="1" applyFont="1" applyFill="1" applyBorder="1"/>
    <xf numFmtId="165" fontId="35" fillId="0" borderId="94" xfId="0" applyNumberFormat="1" applyFont="1" applyFill="1" applyBorder="1" applyAlignment="1">
      <alignment horizontal="right"/>
    </xf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30" xfId="0" applyFont="1" applyFill="1" applyBorder="1"/>
    <xf numFmtId="3" fontId="42" fillId="2" borderId="13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9" fontId="35" fillId="0" borderId="30" xfId="0" applyNumberFormat="1" applyFont="1" applyFill="1" applyBorder="1"/>
    <xf numFmtId="0" fontId="42" fillId="11" borderId="22" xfId="0" applyFont="1" applyFill="1" applyBorder="1"/>
    <xf numFmtId="3" fontId="42" fillId="11" borderId="30" xfId="0" applyNumberFormat="1" applyFont="1" applyFill="1" applyBorder="1"/>
    <xf numFmtId="9" fontId="42" fillId="11" borderId="30" xfId="0" applyNumberFormat="1" applyFont="1" applyFill="1" applyBorder="1"/>
    <xf numFmtId="3" fontId="42" fillId="11" borderId="23" xfId="0" applyNumberFormat="1" applyFont="1" applyFill="1" applyBorder="1"/>
    <xf numFmtId="0" fontId="42" fillId="0" borderId="90" xfId="0" applyFont="1" applyFill="1" applyBorder="1"/>
    <xf numFmtId="0" fontId="42" fillId="0" borderId="133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100" xfId="0" applyFont="1" applyFill="1" applyBorder="1"/>
    <xf numFmtId="0" fontId="42" fillId="2" borderId="13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42" fillId="11" borderId="135" xfId="0" applyFont="1" applyFill="1" applyBorder="1"/>
    <xf numFmtId="0" fontId="42" fillId="11" borderId="136" xfId="0" applyFont="1" applyFill="1" applyBorder="1"/>
    <xf numFmtId="0" fontId="42" fillId="11" borderId="137" xfId="0" applyFont="1" applyFill="1" applyBorder="1"/>
    <xf numFmtId="3" fontId="3" fillId="2" borderId="107" xfId="80" applyNumberFormat="1" applyFont="1" applyFill="1" applyBorder="1"/>
    <xf numFmtId="0" fontId="3" fillId="2" borderId="107" xfId="80" applyFont="1" applyFill="1" applyBorder="1"/>
    <xf numFmtId="3" fontId="35" fillId="0" borderId="90" xfId="0" applyNumberFormat="1" applyFont="1" applyFill="1" applyBorder="1"/>
    <xf numFmtId="0" fontId="35" fillId="0" borderId="11" xfId="0" applyFont="1" applyFill="1" applyBorder="1"/>
    <xf numFmtId="3" fontId="35" fillId="0" borderId="93" xfId="0" applyNumberFormat="1" applyFont="1" applyFill="1" applyBorder="1"/>
    <xf numFmtId="0" fontId="35" fillId="0" borderId="26" xfId="0" applyFont="1" applyFill="1" applyBorder="1"/>
    <xf numFmtId="3" fontId="35" fillId="0" borderId="26" xfId="0" applyNumberFormat="1" applyFont="1" applyFill="1" applyBorder="1"/>
    <xf numFmtId="3" fontId="35" fillId="0" borderId="115" xfId="0" applyNumberFormat="1" applyFont="1" applyFill="1" applyBorder="1"/>
    <xf numFmtId="3" fontId="35" fillId="0" borderId="17" xfId="0" applyNumberFormat="1" applyFont="1" applyFill="1" applyBorder="1"/>
    <xf numFmtId="3" fontId="35" fillId="0" borderId="63" xfId="0" applyNumberFormat="1" applyFont="1" applyFill="1" applyBorder="1"/>
    <xf numFmtId="9" fontId="3" fillId="2" borderId="107" xfId="80" applyNumberFormat="1" applyFont="1" applyFill="1" applyBorder="1"/>
    <xf numFmtId="9" fontId="3" fillId="2" borderId="16" xfId="80" applyNumberFormat="1" applyFont="1" applyFill="1" applyBorder="1"/>
    <xf numFmtId="0" fontId="35" fillId="0" borderId="10" xfId="0" applyFont="1" applyFill="1" applyBorder="1"/>
    <xf numFmtId="9" fontId="35" fillId="0" borderId="92" xfId="0" applyNumberFormat="1" applyFont="1" applyFill="1" applyBorder="1"/>
    <xf numFmtId="9" fontId="35" fillId="0" borderId="11" xfId="0" applyNumberFormat="1" applyFont="1" applyFill="1" applyBorder="1"/>
    <xf numFmtId="9" fontId="35" fillId="0" borderId="26" xfId="0" applyNumberFormat="1" applyFont="1" applyFill="1" applyBorder="1"/>
    <xf numFmtId="9" fontId="35" fillId="0" borderId="25" xfId="0" applyNumberFormat="1" applyFont="1" applyFill="1" applyBorder="1"/>
    <xf numFmtId="0" fontId="35" fillId="0" borderId="135" xfId="0" applyFont="1" applyFill="1" applyBorder="1"/>
    <xf numFmtId="0" fontId="35" fillId="0" borderId="9" xfId="0" applyFont="1" applyFill="1" applyBorder="1"/>
    <xf numFmtId="0" fontId="35" fillId="0" borderId="52" xfId="0" applyFont="1" applyFill="1" applyBorder="1"/>
    <xf numFmtId="3" fontId="35" fillId="0" borderId="113" xfId="0" applyNumberFormat="1" applyFont="1" applyFill="1" applyBorder="1"/>
    <xf numFmtId="3" fontId="35" fillId="0" borderId="13" xfId="0" applyNumberFormat="1" applyFont="1" applyFill="1" applyBorder="1"/>
    <xf numFmtId="3" fontId="35" fillId="0" borderId="35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5" fontId="35" fillId="0" borderId="32" xfId="0" applyNumberFormat="1" applyFont="1" applyFill="1" applyBorder="1"/>
    <xf numFmtId="166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1" xfId="0" applyFont="1" applyFill="1" applyBorder="1" applyAlignment="1">
      <alignment horizontal="right"/>
    </xf>
    <xf numFmtId="0" fontId="35" fillId="0" borderId="11" xfId="0" applyFont="1" applyFill="1" applyBorder="1" applyAlignment="1">
      <alignment horizontal="left"/>
    </xf>
    <xf numFmtId="165" fontId="35" fillId="0" borderId="11" xfId="0" applyNumberFormat="1" applyFont="1" applyFill="1" applyBorder="1"/>
    <xf numFmtId="166" fontId="35" fillId="0" borderId="11" xfId="0" applyNumberFormat="1" applyFont="1" applyFill="1" applyBorder="1"/>
    <xf numFmtId="0" fontId="35" fillId="0" borderId="26" xfId="0" applyFont="1" applyFill="1" applyBorder="1" applyAlignment="1">
      <alignment horizontal="right"/>
    </xf>
    <xf numFmtId="0" fontId="35" fillId="0" borderId="26" xfId="0" applyFont="1" applyFill="1" applyBorder="1" applyAlignment="1">
      <alignment horizontal="left"/>
    </xf>
    <xf numFmtId="165" fontId="35" fillId="0" borderId="26" xfId="0" applyNumberFormat="1" applyFont="1" applyFill="1" applyBorder="1"/>
    <xf numFmtId="166" fontId="35" fillId="0" borderId="26" xfId="0" applyNumberFormat="1" applyFont="1" applyFill="1" applyBorder="1"/>
    <xf numFmtId="0" fontId="42" fillId="2" borderId="57" xfId="0" applyFont="1" applyFill="1" applyBorder="1"/>
    <xf numFmtId="3" fontId="35" fillId="0" borderId="28" xfId="0" applyNumberFormat="1" applyFont="1" applyFill="1" applyBorder="1"/>
    <xf numFmtId="3" fontId="35" fillId="0" borderId="12" xfId="0" applyNumberFormat="1" applyFont="1" applyFill="1" applyBorder="1"/>
    <xf numFmtId="3" fontId="35" fillId="0" borderId="25" xfId="0" applyNumberFormat="1" applyFont="1" applyFill="1" applyBorder="1"/>
    <xf numFmtId="3" fontId="35" fillId="0" borderId="16" xfId="0" applyNumberFormat="1" applyFont="1" applyFill="1" applyBorder="1"/>
    <xf numFmtId="0" fontId="42" fillId="0" borderId="27" xfId="0" applyFont="1" applyFill="1" applyBorder="1"/>
    <xf numFmtId="0" fontId="42" fillId="0" borderId="10" xfId="0" applyFont="1" applyFill="1" applyBorder="1"/>
    <xf numFmtId="0" fontId="42" fillId="0" borderId="14" xfId="0" applyFont="1" applyFill="1" applyBorder="1"/>
    <xf numFmtId="0" fontId="42" fillId="2" borderId="59" xfId="0" applyFont="1" applyFill="1" applyBorder="1"/>
    <xf numFmtId="165" fontId="34" fillId="2" borderId="57" xfId="53" applyNumberFormat="1" applyFont="1" applyFill="1" applyBorder="1" applyAlignment="1">
      <alignment horizontal="left"/>
    </xf>
    <xf numFmtId="165" fontId="34" fillId="2" borderId="59" xfId="53" applyNumberFormat="1" applyFont="1" applyFill="1" applyBorder="1" applyAlignment="1">
      <alignment horizontal="left"/>
    </xf>
    <xf numFmtId="165" fontId="35" fillId="0" borderId="32" xfId="0" applyNumberFormat="1" applyFont="1" applyFill="1" applyBorder="1" applyAlignment="1">
      <alignment horizontal="right"/>
    </xf>
    <xf numFmtId="165" fontId="35" fillId="0" borderId="11" xfId="0" applyNumberFormat="1" applyFont="1" applyFill="1" applyBorder="1" applyAlignment="1">
      <alignment horizontal="right"/>
    </xf>
    <xf numFmtId="165" fontId="35" fillId="0" borderId="26" xfId="0" applyNumberFormat="1" applyFont="1" applyFill="1" applyBorder="1" applyAlignment="1">
      <alignment horizontal="right"/>
    </xf>
    <xf numFmtId="174" fontId="42" fillId="4" borderId="32" xfId="0" applyNumberFormat="1" applyFont="1" applyFill="1" applyBorder="1" applyAlignment="1">
      <alignment horizontal="center"/>
    </xf>
    <xf numFmtId="174" fontId="35" fillId="0" borderId="11" xfId="0" applyNumberFormat="1" applyFont="1" applyBorder="1" applyAlignment="1"/>
    <xf numFmtId="174" fontId="35" fillId="0" borderId="26" xfId="0" applyNumberFormat="1" applyFont="1" applyBorder="1" applyAlignment="1"/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70" fontId="35" fillId="0" borderId="30" xfId="0" applyNumberFormat="1" applyFont="1" applyFill="1" applyBorder="1"/>
    <xf numFmtId="0" fontId="35" fillId="0" borderId="30" xfId="0" applyFont="1" applyFill="1" applyBorder="1"/>
    <xf numFmtId="9" fontId="35" fillId="0" borderId="23" xfId="0" applyNumberFormat="1" applyFont="1" applyFill="1" applyBorder="1"/>
    <xf numFmtId="0" fontId="42" fillId="0" borderId="22" xfId="0" applyFont="1" applyFill="1" applyBorder="1"/>
    <xf numFmtId="0" fontId="64" fillId="0" borderId="0" xfId="0" applyFont="1" applyFill="1"/>
    <xf numFmtId="0" fontId="65" fillId="0" borderId="0" xfId="0" applyFont="1" applyFill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170" fontId="35" fillId="0" borderId="32" xfId="0" applyNumberFormat="1" applyFont="1" applyFill="1" applyBorder="1"/>
    <xf numFmtId="170" fontId="35" fillId="0" borderId="11" xfId="0" applyNumberFormat="1" applyFont="1" applyFill="1" applyBorder="1"/>
    <xf numFmtId="170" fontId="35" fillId="0" borderId="26" xfId="0" applyNumberFormat="1" applyFont="1" applyFill="1" applyBorder="1"/>
    <xf numFmtId="0" fontId="42" fillId="0" borderId="93" xfId="0" applyFont="1" applyFill="1" applyBorder="1"/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12" fillId="0" borderId="134" xfId="0" applyNumberFormat="1" applyFont="1" applyBorder="1"/>
    <xf numFmtId="167" fontId="12" fillId="0" borderId="134" xfId="0" applyNumberFormat="1" applyFont="1" applyBorder="1"/>
    <xf numFmtId="167" fontId="12" fillId="0" borderId="105" xfId="0" applyNumberFormat="1" applyFont="1" applyBorder="1"/>
    <xf numFmtId="167" fontId="5" fillId="0" borderId="134" xfId="0" applyNumberFormat="1" applyFont="1" applyBorder="1" applyAlignment="1">
      <alignment horizontal="right"/>
    </xf>
    <xf numFmtId="167" fontId="5" fillId="0" borderId="105" xfId="0" applyNumberFormat="1" applyFont="1" applyBorder="1" applyAlignment="1">
      <alignment horizontal="right"/>
    </xf>
    <xf numFmtId="3" fontId="5" fillId="0" borderId="134" xfId="0" applyNumberFormat="1" applyFont="1" applyBorder="1" applyAlignment="1">
      <alignment horizontal="right"/>
    </xf>
    <xf numFmtId="177" fontId="5" fillId="0" borderId="134" xfId="0" applyNumberFormat="1" applyFont="1" applyBorder="1" applyAlignment="1">
      <alignment horizontal="right"/>
    </xf>
    <xf numFmtId="4" fontId="5" fillId="0" borderId="134" xfId="0" applyNumberFormat="1" applyFont="1" applyBorder="1" applyAlignment="1">
      <alignment horizontal="right"/>
    </xf>
    <xf numFmtId="3" fontId="5" fillId="0" borderId="134" xfId="0" applyNumberFormat="1" applyFont="1" applyBorder="1"/>
    <xf numFmtId="3" fontId="11" fillId="0" borderId="20" xfId="0" applyNumberFormat="1" applyFont="1" applyBorder="1" applyAlignment="1">
      <alignment horizontal="center"/>
    </xf>
    <xf numFmtId="167" fontId="11" fillId="0" borderId="105" xfId="0" applyNumberFormat="1" applyFont="1" applyBorder="1" applyAlignment="1">
      <alignment horizontal="right"/>
    </xf>
    <xf numFmtId="167" fontId="12" fillId="0" borderId="19" xfId="0" applyNumberFormat="1" applyFont="1" applyBorder="1"/>
    <xf numFmtId="167" fontId="5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3" fontId="12" fillId="0" borderId="134" xfId="0" applyNumberFormat="1" applyFont="1" applyBorder="1" applyAlignment="1">
      <alignment horizontal="right"/>
    </xf>
    <xf numFmtId="167" fontId="12" fillId="0" borderId="134" xfId="0" applyNumberFormat="1" applyFont="1" applyBorder="1" applyAlignment="1">
      <alignment horizontal="right"/>
    </xf>
    <xf numFmtId="167" fontId="12" fillId="0" borderId="105" xfId="0" applyNumberFormat="1" applyFont="1" applyBorder="1" applyAlignment="1">
      <alignment horizontal="right"/>
    </xf>
    <xf numFmtId="3" fontId="35" fillId="0" borderId="134" xfId="0" applyNumberFormat="1" applyFont="1" applyBorder="1" applyAlignment="1">
      <alignment horizontal="right"/>
    </xf>
    <xf numFmtId="0" fontId="5" fillId="0" borderId="134" xfId="0" applyFont="1" applyBorder="1"/>
    <xf numFmtId="3" fontId="35" fillId="0" borderId="134" xfId="0" applyNumberFormat="1" applyFont="1" applyBorder="1"/>
    <xf numFmtId="9" fontId="35" fillId="0" borderId="134" xfId="0" applyNumberFormat="1" applyFont="1" applyBorder="1"/>
    <xf numFmtId="167" fontId="35" fillId="0" borderId="134" xfId="0" applyNumberFormat="1" applyFont="1" applyBorder="1"/>
    <xf numFmtId="167" fontId="35" fillId="0" borderId="105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9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 wrapText="1"/>
    </xf>
    <xf numFmtId="169" fontId="3" fillId="2" borderId="34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9" fontId="3" fillId="2" borderId="18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7" fontId="3" fillId="2" borderId="19" xfId="24" applyNumberFormat="1" applyFont="1" applyFill="1" applyBorder="1" applyAlignment="1">
      <alignment horizontal="left" vertical="center" wrapText="1"/>
    </xf>
    <xf numFmtId="3" fontId="12" fillId="0" borderId="54" xfId="0" applyNumberFormat="1" applyFont="1" applyBorder="1"/>
    <xf numFmtId="167" fontId="12" fillId="0" borderId="54" xfId="0" applyNumberFormat="1" applyFont="1" applyBorder="1"/>
    <xf numFmtId="167" fontId="12" fillId="0" borderId="55" xfId="0" applyNumberFormat="1" applyFont="1" applyBorder="1"/>
    <xf numFmtId="3" fontId="35" fillId="0" borderId="54" xfId="0" applyNumberFormat="1" applyFont="1" applyBorder="1" applyAlignment="1">
      <alignment horizontal="right"/>
    </xf>
    <xf numFmtId="167" fontId="5" fillId="0" borderId="54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3" fontId="5" fillId="0" borderId="54" xfId="0" applyNumberFormat="1" applyFont="1" applyBorder="1" applyAlignment="1">
      <alignment horizontal="right"/>
    </xf>
    <xf numFmtId="177" fontId="5" fillId="0" borderId="54" xfId="0" applyNumberFormat="1" applyFont="1" applyBorder="1" applyAlignment="1">
      <alignment horizontal="right"/>
    </xf>
    <xf numFmtId="4" fontId="5" fillId="0" borderId="54" xfId="0" applyNumberFormat="1" applyFont="1" applyBorder="1" applyAlignment="1">
      <alignment horizontal="right"/>
    </xf>
    <xf numFmtId="0" fontId="5" fillId="0" borderId="54" xfId="0" applyFont="1" applyBorder="1"/>
    <xf numFmtId="3" fontId="5" fillId="0" borderId="54" xfId="0" applyNumberFormat="1" applyFont="1" applyBorder="1"/>
    <xf numFmtId="3" fontId="35" fillId="0" borderId="54" xfId="0" applyNumberFormat="1" applyFont="1" applyBorder="1"/>
    <xf numFmtId="9" fontId="35" fillId="0" borderId="54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49" fontId="3" fillId="0" borderId="33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09" xfId="0" applyNumberFormat="1" applyFont="1" applyBorder="1" applyAlignment="1">
      <alignment horizontal="center"/>
    </xf>
    <xf numFmtId="3" fontId="35" fillId="0" borderId="49" xfId="0" applyNumberFormat="1" applyFont="1" applyBorder="1"/>
    <xf numFmtId="167" fontId="35" fillId="0" borderId="49" xfId="0" applyNumberFormat="1" applyFont="1" applyBorder="1"/>
    <xf numFmtId="167" fontId="35" fillId="0" borderId="53" xfId="0" applyNumberFormat="1" applyFont="1" applyBorder="1"/>
    <xf numFmtId="3" fontId="35" fillId="0" borderId="49" xfId="0" applyNumberFormat="1" applyFont="1" applyBorder="1" applyAlignment="1">
      <alignment horizontal="right"/>
    </xf>
    <xf numFmtId="167" fontId="5" fillId="0" borderId="49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12" fillId="0" borderId="49" xfId="0" applyNumberFormat="1" applyFont="1" applyBorder="1" applyAlignment="1">
      <alignment horizontal="right"/>
    </xf>
    <xf numFmtId="167" fontId="12" fillId="0" borderId="49" xfId="0" applyNumberFormat="1" applyFont="1" applyBorder="1" applyAlignment="1">
      <alignment horizontal="right"/>
    </xf>
    <xf numFmtId="167" fontId="11" fillId="0" borderId="53" xfId="0" applyNumberFormat="1" applyFont="1" applyBorder="1" applyAlignment="1">
      <alignment horizontal="right"/>
    </xf>
    <xf numFmtId="177" fontId="5" fillId="0" borderId="49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4" fontId="5" fillId="0" borderId="49" xfId="0" applyNumberFormat="1" applyFont="1" applyBorder="1" applyAlignment="1">
      <alignment horizontal="right"/>
    </xf>
    <xf numFmtId="0" fontId="5" fillId="0" borderId="49" xfId="0" applyFont="1" applyBorder="1"/>
    <xf numFmtId="3" fontId="5" fillId="0" borderId="49" xfId="0" applyNumberFormat="1" applyFont="1" applyBorder="1"/>
    <xf numFmtId="9" fontId="35" fillId="0" borderId="49" xfId="0" applyNumberFormat="1" applyFont="1" applyBorder="1"/>
    <xf numFmtId="3" fontId="11" fillId="0" borderId="109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6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42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6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170" fontId="32" fillId="0" borderId="22" xfId="76" applyNumberFormat="1" applyFont="1" applyFill="1" applyBorder="1"/>
    <xf numFmtId="170" fontId="32" fillId="0" borderId="30" xfId="76" applyNumberFormat="1" applyFont="1" applyFill="1" applyBorder="1"/>
    <xf numFmtId="0" fontId="34" fillId="2" borderId="16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0.94694901020709432</c:v>
                </c:pt>
                <c:pt idx="1">
                  <c:v>0.85297325570172522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27648"/>
        <c:axId val="976029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0.7820061915426163</c:v>
                </c:pt>
                <c:pt idx="1">
                  <c:v>0.7820061915426163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092416"/>
        <c:axId val="978093952"/>
      </c:scatterChart>
      <c:catAx>
        <c:axId val="97602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602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029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6027648"/>
        <c:crosses val="autoZero"/>
        <c:crossBetween val="between"/>
      </c:valAx>
      <c:valAx>
        <c:axId val="978092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8093952"/>
        <c:crosses val="max"/>
        <c:crossBetween val="midCat"/>
      </c:valAx>
      <c:valAx>
        <c:axId val="978093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8092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1.0245078344716754</c:v>
                </c:pt>
                <c:pt idx="1">
                  <c:v>1.1243474769107216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494784"/>
        <c:axId val="121144115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443840"/>
        <c:axId val="1212010880"/>
      </c:scatterChart>
      <c:catAx>
        <c:axId val="104349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14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411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43494784"/>
        <c:crosses val="autoZero"/>
        <c:crossBetween val="between"/>
      </c:valAx>
      <c:valAx>
        <c:axId val="12114438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2010880"/>
        <c:crosses val="max"/>
        <c:crossBetween val="midCat"/>
      </c:valAx>
      <c:valAx>
        <c:axId val="12120108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1144384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60" bestFit="1" customWidth="1"/>
    <col min="2" max="2" width="98.6640625" style="260" customWidth="1"/>
    <col min="3" max="3" width="16.109375" style="51" hidden="1" customWidth="1"/>
    <col min="4" max="16384" width="8.88671875" style="260"/>
  </cols>
  <sheetData>
    <row r="1" spans="1:3" ht="18.600000000000001" customHeight="1" thickBot="1" x14ac:dyDescent="0.4">
      <c r="A1" s="462" t="s">
        <v>136</v>
      </c>
      <c r="B1" s="462"/>
    </row>
    <row r="2" spans="1:3" ht="14.4" customHeight="1" thickBot="1" x14ac:dyDescent="0.35">
      <c r="A2" s="389" t="s">
        <v>298</v>
      </c>
      <c r="B2" s="50"/>
    </row>
    <row r="3" spans="1:3" ht="14.4" customHeight="1" thickBot="1" x14ac:dyDescent="0.35">
      <c r="A3" s="458" t="s">
        <v>186</v>
      </c>
      <c r="B3" s="459"/>
    </row>
    <row r="4" spans="1:3" ht="14.4" customHeight="1" x14ac:dyDescent="0.3">
      <c r="A4" s="277" t="str">
        <f t="shared" ref="A4:A8" si="0">HYPERLINK("#'"&amp;C4&amp;"'!A1",C4)</f>
        <v>Motivace</v>
      </c>
      <c r="B4" s="182" t="s">
        <v>155</v>
      </c>
      <c r="C4" s="51" t="s">
        <v>156</v>
      </c>
    </row>
    <row r="5" spans="1:3" ht="14.4" customHeight="1" x14ac:dyDescent="0.3">
      <c r="A5" s="278" t="str">
        <f t="shared" si="0"/>
        <v>HI</v>
      </c>
      <c r="B5" s="183" t="s">
        <v>179</v>
      </c>
      <c r="C5" s="51" t="s">
        <v>140</v>
      </c>
    </row>
    <row r="6" spans="1:3" ht="14.4" customHeight="1" x14ac:dyDescent="0.3">
      <c r="A6" s="279" t="str">
        <f t="shared" si="0"/>
        <v>HI Graf</v>
      </c>
      <c r="B6" s="184" t="s">
        <v>132</v>
      </c>
      <c r="C6" s="51" t="s">
        <v>141</v>
      </c>
    </row>
    <row r="7" spans="1:3" ht="14.4" customHeight="1" x14ac:dyDescent="0.3">
      <c r="A7" s="279" t="str">
        <f t="shared" si="0"/>
        <v>Man Tab</v>
      </c>
      <c r="B7" s="184" t="s">
        <v>300</v>
      </c>
      <c r="C7" s="51" t="s">
        <v>142</v>
      </c>
    </row>
    <row r="8" spans="1:3" ht="14.4" customHeight="1" thickBot="1" x14ac:dyDescent="0.35">
      <c r="A8" s="280" t="str">
        <f t="shared" si="0"/>
        <v>HV</v>
      </c>
      <c r="B8" s="185" t="s">
        <v>64</v>
      </c>
      <c r="C8" s="51" t="s">
        <v>69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0" t="s">
        <v>137</v>
      </c>
      <c r="B10" s="459"/>
    </row>
    <row r="11" spans="1:3" ht="14.4" customHeight="1" x14ac:dyDescent="0.3">
      <c r="A11" s="281" t="str">
        <f t="shared" ref="A11:A22" si="1">HYPERLINK("#'"&amp;C11&amp;"'!A1",C11)</f>
        <v>Léky Žádanky</v>
      </c>
      <c r="B11" s="183" t="s">
        <v>180</v>
      </c>
      <c r="C11" s="51" t="s">
        <v>143</v>
      </c>
    </row>
    <row r="12" spans="1:3" ht="14.4" customHeight="1" x14ac:dyDescent="0.3">
      <c r="A12" s="279" t="str">
        <f t="shared" si="1"/>
        <v>LŽ Detail</v>
      </c>
      <c r="B12" s="184" t="s">
        <v>212</v>
      </c>
      <c r="C12" s="51" t="s">
        <v>144</v>
      </c>
    </row>
    <row r="13" spans="1:3" ht="28.8" customHeight="1" x14ac:dyDescent="0.3">
      <c r="A13" s="279" t="str">
        <f t="shared" si="1"/>
        <v>LŽ PL</v>
      </c>
      <c r="B13" s="660" t="s">
        <v>214</v>
      </c>
      <c r="C13" s="51" t="s">
        <v>191</v>
      </c>
    </row>
    <row r="14" spans="1:3" ht="14.4" customHeight="1" x14ac:dyDescent="0.3">
      <c r="A14" s="279" t="str">
        <f t="shared" si="1"/>
        <v>LŽ PL Detail</v>
      </c>
      <c r="B14" s="184" t="s">
        <v>648</v>
      </c>
      <c r="C14" s="51" t="s">
        <v>193</v>
      </c>
    </row>
    <row r="15" spans="1:3" ht="14.4" customHeight="1" x14ac:dyDescent="0.3">
      <c r="A15" s="279" t="str">
        <f t="shared" si="1"/>
        <v>Léky Recepty</v>
      </c>
      <c r="B15" s="184" t="s">
        <v>181</v>
      </c>
      <c r="C15" s="51" t="s">
        <v>145</v>
      </c>
    </row>
    <row r="16" spans="1:3" ht="14.4" customHeight="1" x14ac:dyDescent="0.3">
      <c r="A16" s="279" t="str">
        <f t="shared" si="1"/>
        <v>LRp Lékaři</v>
      </c>
      <c r="B16" s="184" t="s">
        <v>196</v>
      </c>
      <c r="C16" s="51" t="s">
        <v>197</v>
      </c>
    </row>
    <row r="17" spans="1:3" ht="14.4" customHeight="1" x14ac:dyDescent="0.3">
      <c r="A17" s="279" t="str">
        <f t="shared" si="1"/>
        <v>LRp Detail</v>
      </c>
      <c r="B17" s="184" t="s">
        <v>921</v>
      </c>
      <c r="C17" s="51" t="s">
        <v>146</v>
      </c>
    </row>
    <row r="18" spans="1:3" ht="28.8" customHeight="1" x14ac:dyDescent="0.3">
      <c r="A18" s="279" t="str">
        <f t="shared" si="1"/>
        <v>LRp PL</v>
      </c>
      <c r="B18" s="660" t="s">
        <v>922</v>
      </c>
      <c r="C18" s="51" t="s">
        <v>192</v>
      </c>
    </row>
    <row r="19" spans="1:3" ht="14.4" customHeight="1" x14ac:dyDescent="0.3">
      <c r="A19" s="279" t="str">
        <f>HYPERLINK("#'"&amp;C19&amp;"'!A1",C19)</f>
        <v>LRp PL Detail</v>
      </c>
      <c r="B19" s="184" t="s">
        <v>951</v>
      </c>
      <c r="C19" s="51" t="s">
        <v>194</v>
      </c>
    </row>
    <row r="20" spans="1:3" ht="14.4" customHeight="1" x14ac:dyDescent="0.3">
      <c r="A20" s="281" t="str">
        <f t="shared" si="1"/>
        <v>Materiál Žádanky</v>
      </c>
      <c r="B20" s="184" t="s">
        <v>182</v>
      </c>
      <c r="C20" s="51" t="s">
        <v>147</v>
      </c>
    </row>
    <row r="21" spans="1:3" ht="14.4" customHeight="1" x14ac:dyDescent="0.3">
      <c r="A21" s="279" t="str">
        <f t="shared" si="1"/>
        <v>MŽ Detail</v>
      </c>
      <c r="B21" s="184" t="s">
        <v>1044</v>
      </c>
      <c r="C21" s="51" t="s">
        <v>148</v>
      </c>
    </row>
    <row r="22" spans="1:3" ht="14.4" customHeight="1" thickBot="1" x14ac:dyDescent="0.35">
      <c r="A22" s="281" t="str">
        <f t="shared" si="1"/>
        <v>Osobní náklady</v>
      </c>
      <c r="B22" s="184" t="s">
        <v>134</v>
      </c>
      <c r="C22" s="51" t="s">
        <v>149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61" t="s">
        <v>138</v>
      </c>
      <c r="B24" s="459"/>
    </row>
    <row r="25" spans="1:3" ht="14.4" customHeight="1" x14ac:dyDescent="0.3">
      <c r="A25" s="282" t="str">
        <f t="shared" ref="A25:A34" si="2">HYPERLINK("#'"&amp;C25&amp;"'!A1",C25)</f>
        <v>ZV Vykáz.-A</v>
      </c>
      <c r="B25" s="183" t="s">
        <v>1049</v>
      </c>
      <c r="C25" s="51" t="s">
        <v>157</v>
      </c>
    </row>
    <row r="26" spans="1:3" ht="14.4" customHeight="1" x14ac:dyDescent="0.3">
      <c r="A26" s="279" t="str">
        <f t="shared" si="2"/>
        <v>ZV Vykáz.-A Detail</v>
      </c>
      <c r="B26" s="184" t="s">
        <v>1180</v>
      </c>
      <c r="C26" s="51" t="s">
        <v>158</v>
      </c>
    </row>
    <row r="27" spans="1:3" ht="14.4" customHeight="1" x14ac:dyDescent="0.3">
      <c r="A27" s="279" t="str">
        <f t="shared" si="2"/>
        <v>ZV Vykáz.-H</v>
      </c>
      <c r="B27" s="184" t="s">
        <v>161</v>
      </c>
      <c r="C27" s="51" t="s">
        <v>159</v>
      </c>
    </row>
    <row r="28" spans="1:3" ht="14.4" customHeight="1" x14ac:dyDescent="0.3">
      <c r="A28" s="279" t="str">
        <f t="shared" si="2"/>
        <v>ZV Vykáz.-H Detail</v>
      </c>
      <c r="B28" s="184" t="s">
        <v>1260</v>
      </c>
      <c r="C28" s="51" t="s">
        <v>160</v>
      </c>
    </row>
    <row r="29" spans="1:3" ht="14.4" customHeight="1" x14ac:dyDescent="0.3">
      <c r="A29" s="282" t="str">
        <f t="shared" si="2"/>
        <v>CaseMix</v>
      </c>
      <c r="B29" s="184" t="s">
        <v>139</v>
      </c>
      <c r="C29" s="51" t="s">
        <v>150</v>
      </c>
    </row>
    <row r="30" spans="1:3" ht="14.4" customHeight="1" x14ac:dyDescent="0.3">
      <c r="A30" s="279" t="str">
        <f t="shared" si="2"/>
        <v>ALOS</v>
      </c>
      <c r="B30" s="184" t="s">
        <v>118</v>
      </c>
      <c r="C30" s="51" t="s">
        <v>89</v>
      </c>
    </row>
    <row r="31" spans="1:3" ht="14.4" customHeight="1" x14ac:dyDescent="0.3">
      <c r="A31" s="279" t="str">
        <f t="shared" si="2"/>
        <v>Total</v>
      </c>
      <c r="B31" s="184" t="s">
        <v>1272</v>
      </c>
      <c r="C31" s="51" t="s">
        <v>151</v>
      </c>
    </row>
    <row r="32" spans="1:3" ht="14.4" customHeight="1" x14ac:dyDescent="0.3">
      <c r="A32" s="279" t="str">
        <f t="shared" si="2"/>
        <v>ZV Vyžád.</v>
      </c>
      <c r="B32" s="184" t="s">
        <v>162</v>
      </c>
      <c r="C32" s="51" t="s">
        <v>154</v>
      </c>
    </row>
    <row r="33" spans="1:3" ht="14.4" customHeight="1" x14ac:dyDescent="0.3">
      <c r="A33" s="279" t="str">
        <f t="shared" si="2"/>
        <v>ZV Vyžád. Detail</v>
      </c>
      <c r="B33" s="184" t="s">
        <v>1403</v>
      </c>
      <c r="C33" s="51" t="s">
        <v>153</v>
      </c>
    </row>
    <row r="34" spans="1:3" ht="14.4" customHeight="1" thickBot="1" x14ac:dyDescent="0.35">
      <c r="A34" s="280" t="str">
        <f t="shared" si="2"/>
        <v>OD TISS</v>
      </c>
      <c r="B34" s="185" t="s">
        <v>185</v>
      </c>
      <c r="C34" s="51" t="s">
        <v>152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60" bestFit="1" customWidth="1"/>
    <col min="2" max="2" width="8.88671875" style="260" bestFit="1" customWidth="1"/>
    <col min="3" max="3" width="7" style="260" bestFit="1" customWidth="1"/>
    <col min="4" max="4" width="53.44140625" style="260" bestFit="1" customWidth="1"/>
    <col min="5" max="5" width="28.44140625" style="260" bestFit="1" customWidth="1"/>
    <col min="6" max="6" width="6.6640625" style="343" customWidth="1"/>
    <col min="7" max="7" width="10" style="343" customWidth="1"/>
    <col min="8" max="8" width="6.77734375" style="346" bestFit="1" customWidth="1"/>
    <col min="9" max="9" width="6.6640625" style="343" customWidth="1"/>
    <col min="10" max="10" width="10" style="343" customWidth="1"/>
    <col min="11" max="11" width="6.77734375" style="346" bestFit="1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648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223</v>
      </c>
      <c r="J3" s="47">
        <f>SUBTOTAL(9,J6:J1048576)</f>
        <v>480951.2224066201</v>
      </c>
      <c r="K3" s="48">
        <f>IF(M3=0,0,J3/M3)</f>
        <v>1</v>
      </c>
      <c r="L3" s="47">
        <f>SUBTOTAL(9,L6:L1048576)</f>
        <v>223</v>
      </c>
      <c r="M3" s="49">
        <f>SUBTOTAL(9,M6:M1048576)</f>
        <v>480951.2224066201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643" t="s">
        <v>166</v>
      </c>
      <c r="B5" s="662" t="s">
        <v>167</v>
      </c>
      <c r="C5" s="662" t="s">
        <v>93</v>
      </c>
      <c r="D5" s="662" t="s">
        <v>168</v>
      </c>
      <c r="E5" s="662" t="s">
        <v>169</v>
      </c>
      <c r="F5" s="663" t="s">
        <v>31</v>
      </c>
      <c r="G5" s="663" t="s">
        <v>17</v>
      </c>
      <c r="H5" s="645" t="s">
        <v>170</v>
      </c>
      <c r="I5" s="644" t="s">
        <v>31</v>
      </c>
      <c r="J5" s="663" t="s">
        <v>17</v>
      </c>
      <c r="K5" s="645" t="s">
        <v>170</v>
      </c>
      <c r="L5" s="644" t="s">
        <v>31</v>
      </c>
      <c r="M5" s="664" t="s">
        <v>17</v>
      </c>
    </row>
    <row r="6" spans="1:13" ht="14.4" customHeight="1" x14ac:dyDescent="0.3">
      <c r="A6" s="625" t="s">
        <v>495</v>
      </c>
      <c r="B6" s="626" t="s">
        <v>643</v>
      </c>
      <c r="C6" s="626" t="s">
        <v>561</v>
      </c>
      <c r="D6" s="626" t="s">
        <v>562</v>
      </c>
      <c r="E6" s="626" t="s">
        <v>563</v>
      </c>
      <c r="F6" s="629"/>
      <c r="G6" s="629"/>
      <c r="H6" s="647">
        <v>0</v>
      </c>
      <c r="I6" s="629">
        <v>2</v>
      </c>
      <c r="J6" s="629">
        <v>233.29910227103409</v>
      </c>
      <c r="K6" s="647">
        <v>1</v>
      </c>
      <c r="L6" s="629">
        <v>2</v>
      </c>
      <c r="M6" s="630">
        <v>233.29910227103409</v>
      </c>
    </row>
    <row r="7" spans="1:13" ht="14.4" customHeight="1" x14ac:dyDescent="0.3">
      <c r="A7" s="631" t="s">
        <v>495</v>
      </c>
      <c r="B7" s="632" t="s">
        <v>644</v>
      </c>
      <c r="C7" s="632" t="s">
        <v>577</v>
      </c>
      <c r="D7" s="632" t="s">
        <v>645</v>
      </c>
      <c r="E7" s="632" t="s">
        <v>646</v>
      </c>
      <c r="F7" s="635"/>
      <c r="G7" s="635"/>
      <c r="H7" s="648">
        <v>0</v>
      </c>
      <c r="I7" s="635">
        <v>1</v>
      </c>
      <c r="J7" s="635">
        <v>166.81999999999991</v>
      </c>
      <c r="K7" s="648">
        <v>1</v>
      </c>
      <c r="L7" s="635">
        <v>1</v>
      </c>
      <c r="M7" s="636">
        <v>166.81999999999991</v>
      </c>
    </row>
    <row r="8" spans="1:13" ht="14.4" customHeight="1" thickBot="1" x14ac:dyDescent="0.35">
      <c r="A8" s="637" t="s">
        <v>501</v>
      </c>
      <c r="B8" s="638" t="s">
        <v>647</v>
      </c>
      <c r="C8" s="638" t="s">
        <v>633</v>
      </c>
      <c r="D8" s="638" t="s">
        <v>634</v>
      </c>
      <c r="E8" s="638" t="s">
        <v>627</v>
      </c>
      <c r="F8" s="641"/>
      <c r="G8" s="641"/>
      <c r="H8" s="649">
        <v>0</v>
      </c>
      <c r="I8" s="641">
        <v>220</v>
      </c>
      <c r="J8" s="641">
        <v>480551.10330434906</v>
      </c>
      <c r="K8" s="649">
        <v>1</v>
      </c>
      <c r="L8" s="641">
        <v>220</v>
      </c>
      <c r="M8" s="642">
        <v>480551.10330434906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60" customWidth="1"/>
    <col min="2" max="2" width="34.21875" style="260" customWidth="1"/>
    <col min="3" max="3" width="11.109375" style="260" bestFit="1" customWidth="1"/>
    <col min="4" max="4" width="7.33203125" style="260" bestFit="1" customWidth="1"/>
    <col min="5" max="5" width="11.109375" style="260" bestFit="1" customWidth="1"/>
    <col min="6" max="6" width="5.33203125" style="260" customWidth="1"/>
    <col min="7" max="7" width="7.33203125" style="260" bestFit="1" customWidth="1"/>
    <col min="8" max="8" width="5.33203125" style="260" customWidth="1"/>
    <col min="9" max="9" width="11.109375" style="260" customWidth="1"/>
    <col min="10" max="10" width="5.33203125" style="260" customWidth="1"/>
    <col min="11" max="11" width="7.33203125" style="260" customWidth="1"/>
    <col min="12" max="12" width="5.33203125" style="260" customWidth="1"/>
    <col min="13" max="13" width="0" style="260" hidden="1" customWidth="1"/>
    <col min="14" max="16384" width="8.88671875" style="260"/>
  </cols>
  <sheetData>
    <row r="1" spans="1:14" ht="18.600000000000001" customHeight="1" thickBot="1" x14ac:dyDescent="0.4">
      <c r="A1" s="494" t="s">
        <v>181</v>
      </c>
      <c r="B1" s="494"/>
      <c r="C1" s="494"/>
      <c r="D1" s="494"/>
      <c r="E1" s="494"/>
      <c r="F1" s="494"/>
      <c r="G1" s="494"/>
      <c r="H1" s="494"/>
      <c r="I1" s="463"/>
      <c r="J1" s="463"/>
      <c r="K1" s="463"/>
      <c r="L1" s="463"/>
    </row>
    <row r="2" spans="1:14" ht="14.4" customHeight="1" thickBot="1" x14ac:dyDescent="0.35">
      <c r="A2" s="389" t="s">
        <v>298</v>
      </c>
      <c r="B2" s="342"/>
      <c r="C2" s="342"/>
      <c r="D2" s="342"/>
      <c r="E2" s="342"/>
      <c r="F2" s="342"/>
      <c r="G2" s="342"/>
      <c r="H2" s="342"/>
    </row>
    <row r="3" spans="1:14" ht="14.4" customHeight="1" thickBot="1" x14ac:dyDescent="0.35">
      <c r="A3" s="275"/>
      <c r="B3" s="275"/>
      <c r="C3" s="505" t="s">
        <v>18</v>
      </c>
      <c r="D3" s="504"/>
      <c r="E3" s="504" t="s">
        <v>19</v>
      </c>
      <c r="F3" s="504"/>
      <c r="G3" s="504"/>
      <c r="H3" s="504"/>
      <c r="I3" s="504" t="s">
        <v>195</v>
      </c>
      <c r="J3" s="504"/>
      <c r="K3" s="504"/>
      <c r="L3" s="506"/>
    </row>
    <row r="4" spans="1:14" ht="14.4" customHeight="1" thickBot="1" x14ac:dyDescent="0.35">
      <c r="A4" s="106" t="s">
        <v>20</v>
      </c>
      <c r="B4" s="107" t="s">
        <v>21</v>
      </c>
      <c r="C4" s="108" t="s">
        <v>22</v>
      </c>
      <c r="D4" s="108" t="s">
        <v>23</v>
      </c>
      <c r="E4" s="108" t="s">
        <v>22</v>
      </c>
      <c r="F4" s="108" t="s">
        <v>5</v>
      </c>
      <c r="G4" s="108" t="s">
        <v>23</v>
      </c>
      <c r="H4" s="108" t="s">
        <v>5</v>
      </c>
      <c r="I4" s="108" t="s">
        <v>22</v>
      </c>
      <c r="J4" s="108" t="s">
        <v>5</v>
      </c>
      <c r="K4" s="108" t="s">
        <v>23</v>
      </c>
      <c r="L4" s="109" t="s">
        <v>5</v>
      </c>
    </row>
    <row r="5" spans="1:14" ht="14.4" customHeight="1" x14ac:dyDescent="0.3">
      <c r="A5" s="616">
        <v>22</v>
      </c>
      <c r="B5" s="617" t="s">
        <v>485</v>
      </c>
      <c r="C5" s="618">
        <v>54258.64</v>
      </c>
      <c r="D5" s="618">
        <v>375</v>
      </c>
      <c r="E5" s="618">
        <v>17974.999999999996</v>
      </c>
      <c r="F5" s="619">
        <v>0.33128364441128633</v>
      </c>
      <c r="G5" s="618">
        <v>114</v>
      </c>
      <c r="H5" s="619">
        <v>0.30399999999999999</v>
      </c>
      <c r="I5" s="618">
        <v>36283.64</v>
      </c>
      <c r="J5" s="619">
        <v>0.66871635558871356</v>
      </c>
      <c r="K5" s="618">
        <v>261</v>
      </c>
      <c r="L5" s="619">
        <v>0.69599999999999995</v>
      </c>
      <c r="M5" s="618" t="s">
        <v>77</v>
      </c>
      <c r="N5" s="283"/>
    </row>
    <row r="6" spans="1:14" ht="14.4" customHeight="1" x14ac:dyDescent="0.3">
      <c r="A6" s="616">
        <v>22</v>
      </c>
      <c r="B6" s="617" t="s">
        <v>649</v>
      </c>
      <c r="C6" s="618">
        <v>54258.64</v>
      </c>
      <c r="D6" s="618">
        <v>375</v>
      </c>
      <c r="E6" s="618">
        <v>17974.999999999996</v>
      </c>
      <c r="F6" s="619">
        <v>0.33128364441128633</v>
      </c>
      <c r="G6" s="618">
        <v>114</v>
      </c>
      <c r="H6" s="619">
        <v>0.30399999999999999</v>
      </c>
      <c r="I6" s="618">
        <v>36283.64</v>
      </c>
      <c r="J6" s="619">
        <v>0.66871635558871356</v>
      </c>
      <c r="K6" s="618">
        <v>261</v>
      </c>
      <c r="L6" s="619">
        <v>0.69599999999999995</v>
      </c>
      <c r="M6" s="618" t="s">
        <v>2</v>
      </c>
      <c r="N6" s="283"/>
    </row>
    <row r="7" spans="1:14" ht="14.4" customHeight="1" x14ac:dyDescent="0.3">
      <c r="A7" s="616" t="s">
        <v>483</v>
      </c>
      <c r="B7" s="617" t="s">
        <v>6</v>
      </c>
      <c r="C7" s="618">
        <v>54258.64</v>
      </c>
      <c r="D7" s="618">
        <v>375</v>
      </c>
      <c r="E7" s="618">
        <v>17974.999999999996</v>
      </c>
      <c r="F7" s="619">
        <v>0.33128364441128633</v>
      </c>
      <c r="G7" s="618">
        <v>114</v>
      </c>
      <c r="H7" s="619">
        <v>0.30399999999999999</v>
      </c>
      <c r="I7" s="618">
        <v>36283.64</v>
      </c>
      <c r="J7" s="619">
        <v>0.66871635558871356</v>
      </c>
      <c r="K7" s="618">
        <v>261</v>
      </c>
      <c r="L7" s="619">
        <v>0.69599999999999995</v>
      </c>
      <c r="M7" s="618" t="s">
        <v>494</v>
      </c>
      <c r="N7" s="283"/>
    </row>
    <row r="9" spans="1:14" ht="14.4" customHeight="1" x14ac:dyDescent="0.3">
      <c r="A9" s="616">
        <v>22</v>
      </c>
      <c r="B9" s="617" t="s">
        <v>485</v>
      </c>
      <c r="C9" s="618" t="s">
        <v>484</v>
      </c>
      <c r="D9" s="618" t="s">
        <v>484</v>
      </c>
      <c r="E9" s="618" t="s">
        <v>484</v>
      </c>
      <c r="F9" s="619" t="s">
        <v>484</v>
      </c>
      <c r="G9" s="618" t="s">
        <v>484</v>
      </c>
      <c r="H9" s="619" t="s">
        <v>484</v>
      </c>
      <c r="I9" s="618" t="s">
        <v>484</v>
      </c>
      <c r="J9" s="619" t="s">
        <v>484</v>
      </c>
      <c r="K9" s="618" t="s">
        <v>484</v>
      </c>
      <c r="L9" s="619" t="s">
        <v>484</v>
      </c>
      <c r="M9" s="618" t="s">
        <v>77</v>
      </c>
      <c r="N9" s="283"/>
    </row>
    <row r="10" spans="1:14" ht="14.4" customHeight="1" x14ac:dyDescent="0.3">
      <c r="A10" s="616">
        <v>89301221</v>
      </c>
      <c r="B10" s="617" t="s">
        <v>649</v>
      </c>
      <c r="C10" s="618">
        <v>9146.4500000000007</v>
      </c>
      <c r="D10" s="618">
        <v>60</v>
      </c>
      <c r="E10" s="618">
        <v>1214.68</v>
      </c>
      <c r="F10" s="619">
        <v>0.13280343739920952</v>
      </c>
      <c r="G10" s="618">
        <v>7</v>
      </c>
      <c r="H10" s="619">
        <v>0.11666666666666667</v>
      </c>
      <c r="I10" s="618">
        <v>7931.7700000000013</v>
      </c>
      <c r="J10" s="619">
        <v>0.86719656260079059</v>
      </c>
      <c r="K10" s="618">
        <v>53</v>
      </c>
      <c r="L10" s="619">
        <v>0.8833333333333333</v>
      </c>
      <c r="M10" s="618" t="s">
        <v>2</v>
      </c>
      <c r="N10" s="283"/>
    </row>
    <row r="11" spans="1:14" ht="14.4" customHeight="1" x14ac:dyDescent="0.3">
      <c r="A11" s="616" t="s">
        <v>650</v>
      </c>
      <c r="B11" s="617" t="s">
        <v>651</v>
      </c>
      <c r="C11" s="618">
        <v>9146.4500000000007</v>
      </c>
      <c r="D11" s="618">
        <v>60</v>
      </c>
      <c r="E11" s="618">
        <v>1214.68</v>
      </c>
      <c r="F11" s="619">
        <v>0.13280343739920952</v>
      </c>
      <c r="G11" s="618">
        <v>7</v>
      </c>
      <c r="H11" s="619">
        <v>0.11666666666666667</v>
      </c>
      <c r="I11" s="618">
        <v>7931.7700000000013</v>
      </c>
      <c r="J11" s="619">
        <v>0.86719656260079059</v>
      </c>
      <c r="K11" s="618">
        <v>53</v>
      </c>
      <c r="L11" s="619">
        <v>0.8833333333333333</v>
      </c>
      <c r="M11" s="618" t="s">
        <v>497</v>
      </c>
      <c r="N11" s="283"/>
    </row>
    <row r="12" spans="1:14" ht="14.4" customHeight="1" x14ac:dyDescent="0.3">
      <c r="A12" s="616" t="s">
        <v>484</v>
      </c>
      <c r="B12" s="617" t="s">
        <v>484</v>
      </c>
      <c r="C12" s="618" t="s">
        <v>484</v>
      </c>
      <c r="D12" s="618" t="s">
        <v>484</v>
      </c>
      <c r="E12" s="618" t="s">
        <v>484</v>
      </c>
      <c r="F12" s="619" t="s">
        <v>484</v>
      </c>
      <c r="G12" s="618" t="s">
        <v>484</v>
      </c>
      <c r="H12" s="619" t="s">
        <v>484</v>
      </c>
      <c r="I12" s="618" t="s">
        <v>484</v>
      </c>
      <c r="J12" s="619" t="s">
        <v>484</v>
      </c>
      <c r="K12" s="618" t="s">
        <v>484</v>
      </c>
      <c r="L12" s="619" t="s">
        <v>484</v>
      </c>
      <c r="M12" s="618" t="s">
        <v>498</v>
      </c>
      <c r="N12" s="283"/>
    </row>
    <row r="13" spans="1:14" ht="14.4" customHeight="1" x14ac:dyDescent="0.3">
      <c r="A13" s="616">
        <v>89301222</v>
      </c>
      <c r="B13" s="617" t="s">
        <v>649</v>
      </c>
      <c r="C13" s="618">
        <v>45112.189999999995</v>
      </c>
      <c r="D13" s="618">
        <v>315</v>
      </c>
      <c r="E13" s="618">
        <v>16760.319999999996</v>
      </c>
      <c r="F13" s="619">
        <v>0.37152530169783371</v>
      </c>
      <c r="G13" s="618">
        <v>107</v>
      </c>
      <c r="H13" s="619">
        <v>0.3396825396825397</v>
      </c>
      <c r="I13" s="618">
        <v>28351.87</v>
      </c>
      <c r="J13" s="619">
        <v>0.62847469830216629</v>
      </c>
      <c r="K13" s="618">
        <v>208</v>
      </c>
      <c r="L13" s="619">
        <v>0.6603174603174603</v>
      </c>
      <c r="M13" s="618" t="s">
        <v>2</v>
      </c>
      <c r="N13" s="283"/>
    </row>
    <row r="14" spans="1:14" ht="14.4" customHeight="1" x14ac:dyDescent="0.3">
      <c r="A14" s="616" t="s">
        <v>652</v>
      </c>
      <c r="B14" s="617" t="s">
        <v>653</v>
      </c>
      <c r="C14" s="618">
        <v>45112.189999999995</v>
      </c>
      <c r="D14" s="618">
        <v>315</v>
      </c>
      <c r="E14" s="618">
        <v>16760.319999999996</v>
      </c>
      <c r="F14" s="619">
        <v>0.37152530169783371</v>
      </c>
      <c r="G14" s="618">
        <v>107</v>
      </c>
      <c r="H14" s="619">
        <v>0.3396825396825397</v>
      </c>
      <c r="I14" s="618">
        <v>28351.87</v>
      </c>
      <c r="J14" s="619">
        <v>0.62847469830216629</v>
      </c>
      <c r="K14" s="618">
        <v>208</v>
      </c>
      <c r="L14" s="619">
        <v>0.6603174603174603</v>
      </c>
      <c r="M14" s="618" t="s">
        <v>497</v>
      </c>
      <c r="N14" s="283"/>
    </row>
    <row r="15" spans="1:14" ht="14.4" customHeight="1" x14ac:dyDescent="0.3">
      <c r="A15" s="616" t="s">
        <v>484</v>
      </c>
      <c r="B15" s="617" t="s">
        <v>484</v>
      </c>
      <c r="C15" s="618" t="s">
        <v>484</v>
      </c>
      <c r="D15" s="618" t="s">
        <v>484</v>
      </c>
      <c r="E15" s="618" t="s">
        <v>484</v>
      </c>
      <c r="F15" s="619" t="s">
        <v>484</v>
      </c>
      <c r="G15" s="618" t="s">
        <v>484</v>
      </c>
      <c r="H15" s="619" t="s">
        <v>484</v>
      </c>
      <c r="I15" s="618" t="s">
        <v>484</v>
      </c>
      <c r="J15" s="619" t="s">
        <v>484</v>
      </c>
      <c r="K15" s="618" t="s">
        <v>484</v>
      </c>
      <c r="L15" s="619" t="s">
        <v>484</v>
      </c>
      <c r="M15" s="618" t="s">
        <v>498</v>
      </c>
      <c r="N15" s="283"/>
    </row>
    <row r="16" spans="1:14" ht="14.4" customHeight="1" x14ac:dyDescent="0.3">
      <c r="A16" s="616" t="s">
        <v>483</v>
      </c>
      <c r="B16" s="617" t="s">
        <v>654</v>
      </c>
      <c r="C16" s="618">
        <v>54258.64</v>
      </c>
      <c r="D16" s="618">
        <v>375</v>
      </c>
      <c r="E16" s="618">
        <v>17974.999999999996</v>
      </c>
      <c r="F16" s="619">
        <v>0.33128364441128633</v>
      </c>
      <c r="G16" s="618">
        <v>114</v>
      </c>
      <c r="H16" s="619">
        <v>0.30399999999999999</v>
      </c>
      <c r="I16" s="618">
        <v>36283.64</v>
      </c>
      <c r="J16" s="619">
        <v>0.66871635558871356</v>
      </c>
      <c r="K16" s="618">
        <v>261</v>
      </c>
      <c r="L16" s="619">
        <v>0.69599999999999995</v>
      </c>
      <c r="M16" s="618" t="s">
        <v>494</v>
      </c>
      <c r="N16" s="283"/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48" priority="15" stopIfTrue="1" operator="lessThan">
      <formula>0.6</formula>
    </cfRule>
  </conditionalFormatting>
  <conditionalFormatting sqref="B5:B7">
    <cfRule type="expression" dxfId="47" priority="10">
      <formula>AND(LEFT(M5,6)&lt;&gt;"mezera",M5&lt;&gt;"")</formula>
    </cfRule>
  </conditionalFormatting>
  <conditionalFormatting sqref="A5:A7">
    <cfRule type="expression" dxfId="46" priority="8">
      <formula>AND(M5&lt;&gt;"",M5&lt;&gt;"mezeraKL")</formula>
    </cfRule>
  </conditionalFormatting>
  <conditionalFormatting sqref="F5:F7">
    <cfRule type="cellIs" dxfId="45" priority="7" operator="lessThan">
      <formula>0.6</formula>
    </cfRule>
  </conditionalFormatting>
  <conditionalFormatting sqref="B5:L7">
    <cfRule type="expression" dxfId="44" priority="9">
      <formula>OR($M5="KL",$M5="SumaKL")</formula>
    </cfRule>
    <cfRule type="expression" dxfId="43" priority="11">
      <formula>$M5="SumaNS"</formula>
    </cfRule>
  </conditionalFormatting>
  <conditionalFormatting sqref="A5:L7">
    <cfRule type="expression" dxfId="42" priority="12">
      <formula>$M5&lt;&gt;""</formula>
    </cfRule>
  </conditionalFormatting>
  <conditionalFormatting sqref="B9:B16">
    <cfRule type="expression" dxfId="41" priority="4">
      <formula>AND(LEFT(M9,6)&lt;&gt;"mezera",M9&lt;&gt;"")</formula>
    </cfRule>
  </conditionalFormatting>
  <conditionalFormatting sqref="A9:A16">
    <cfRule type="expression" dxfId="40" priority="2">
      <formula>AND(M9&lt;&gt;"",M9&lt;&gt;"mezeraKL")</formula>
    </cfRule>
  </conditionalFormatting>
  <conditionalFormatting sqref="F9:F16">
    <cfRule type="cellIs" dxfId="39" priority="1" operator="lessThan">
      <formula>0.6</formula>
    </cfRule>
  </conditionalFormatting>
  <conditionalFormatting sqref="B9:L16">
    <cfRule type="expression" dxfId="38" priority="3">
      <formula>OR($M9="KL",$M9="SumaKL")</formula>
    </cfRule>
    <cfRule type="expression" dxfId="37" priority="5">
      <formula>$M9="SumaNS"</formula>
    </cfRule>
  </conditionalFormatting>
  <conditionalFormatting sqref="A9:L16">
    <cfRule type="expression" dxfId="36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60" customWidth="1"/>
    <col min="2" max="2" width="11.109375" style="343" bestFit="1" customWidth="1"/>
    <col min="3" max="3" width="11.109375" style="260" hidden="1" customWidth="1"/>
    <col min="4" max="4" width="7.33203125" style="343" bestFit="1" customWidth="1"/>
    <col min="5" max="5" width="7.33203125" style="260" hidden="1" customWidth="1"/>
    <col min="6" max="6" width="11.109375" style="343" bestFit="1" customWidth="1"/>
    <col min="7" max="7" width="5.33203125" style="346" customWidth="1"/>
    <col min="8" max="8" width="7.33203125" style="343" bestFit="1" customWidth="1"/>
    <col min="9" max="9" width="5.33203125" style="346" customWidth="1"/>
    <col min="10" max="10" width="11.109375" style="343" customWidth="1"/>
    <col min="11" max="11" width="5.33203125" style="346" customWidth="1"/>
    <col min="12" max="12" width="7.33203125" style="343" customWidth="1"/>
    <col min="13" max="13" width="5.33203125" style="346" customWidth="1"/>
    <col min="14" max="14" width="0" style="260" hidden="1" customWidth="1"/>
    <col min="15" max="16384" width="8.88671875" style="260"/>
  </cols>
  <sheetData>
    <row r="1" spans="1:13" ht="18.600000000000001" customHeight="1" thickBot="1" x14ac:dyDescent="0.4">
      <c r="A1" s="494" t="s">
        <v>196</v>
      </c>
      <c r="B1" s="494"/>
      <c r="C1" s="494"/>
      <c r="D1" s="494"/>
      <c r="E1" s="494"/>
      <c r="F1" s="494"/>
      <c r="G1" s="494"/>
      <c r="H1" s="494"/>
      <c r="I1" s="494"/>
      <c r="J1" s="463"/>
      <c r="K1" s="463"/>
      <c r="L1" s="463"/>
      <c r="M1" s="463"/>
    </row>
    <row r="2" spans="1:13" ht="14.4" customHeight="1" thickBot="1" x14ac:dyDescent="0.35">
      <c r="A2" s="389" t="s">
        <v>298</v>
      </c>
      <c r="B2" s="350"/>
      <c r="C2" s="342"/>
      <c r="D2" s="350"/>
      <c r="E2" s="342"/>
      <c r="F2" s="350"/>
      <c r="G2" s="351"/>
      <c r="H2" s="350"/>
      <c r="I2" s="351"/>
    </row>
    <row r="3" spans="1:13" ht="14.4" customHeight="1" thickBot="1" x14ac:dyDescent="0.35">
      <c r="A3" s="275"/>
      <c r="B3" s="505" t="s">
        <v>18</v>
      </c>
      <c r="C3" s="507"/>
      <c r="D3" s="504"/>
      <c r="E3" s="274"/>
      <c r="F3" s="504" t="s">
        <v>19</v>
      </c>
      <c r="G3" s="504"/>
      <c r="H3" s="504"/>
      <c r="I3" s="504"/>
      <c r="J3" s="504" t="s">
        <v>195</v>
      </c>
      <c r="K3" s="504"/>
      <c r="L3" s="504"/>
      <c r="M3" s="506"/>
    </row>
    <row r="4" spans="1:13" ht="14.4" customHeight="1" thickBot="1" x14ac:dyDescent="0.35">
      <c r="A4" s="665" t="s">
        <v>171</v>
      </c>
      <c r="B4" s="669" t="s">
        <v>22</v>
      </c>
      <c r="C4" s="670"/>
      <c r="D4" s="669" t="s">
        <v>23</v>
      </c>
      <c r="E4" s="670"/>
      <c r="F4" s="669" t="s">
        <v>22</v>
      </c>
      <c r="G4" s="679" t="s">
        <v>5</v>
      </c>
      <c r="H4" s="669" t="s">
        <v>23</v>
      </c>
      <c r="I4" s="679" t="s">
        <v>5</v>
      </c>
      <c r="J4" s="669" t="s">
        <v>22</v>
      </c>
      <c r="K4" s="679" t="s">
        <v>5</v>
      </c>
      <c r="L4" s="669" t="s">
        <v>23</v>
      </c>
      <c r="M4" s="680" t="s">
        <v>5</v>
      </c>
    </row>
    <row r="5" spans="1:13" ht="14.4" customHeight="1" x14ac:dyDescent="0.3">
      <c r="A5" s="666" t="s">
        <v>655</v>
      </c>
      <c r="B5" s="671">
        <v>7422.47</v>
      </c>
      <c r="C5" s="626">
        <v>1</v>
      </c>
      <c r="D5" s="676">
        <v>53</v>
      </c>
      <c r="E5" s="686" t="s">
        <v>655</v>
      </c>
      <c r="F5" s="671">
        <v>2082.38</v>
      </c>
      <c r="G5" s="647">
        <v>0.28055081394737869</v>
      </c>
      <c r="H5" s="629">
        <v>16</v>
      </c>
      <c r="I5" s="682">
        <v>0.30188679245283018</v>
      </c>
      <c r="J5" s="689">
        <v>5340.09</v>
      </c>
      <c r="K5" s="647">
        <v>0.71944918605262131</v>
      </c>
      <c r="L5" s="629">
        <v>37</v>
      </c>
      <c r="M5" s="682">
        <v>0.69811320754716977</v>
      </c>
    </row>
    <row r="6" spans="1:13" ht="14.4" customHeight="1" x14ac:dyDescent="0.3">
      <c r="A6" s="667" t="s">
        <v>656</v>
      </c>
      <c r="B6" s="237">
        <v>600.16000000000008</v>
      </c>
      <c r="C6" s="672">
        <v>1</v>
      </c>
      <c r="D6" s="677">
        <v>2</v>
      </c>
      <c r="E6" s="687" t="s">
        <v>656</v>
      </c>
      <c r="F6" s="237">
        <v>600.16000000000008</v>
      </c>
      <c r="G6" s="683">
        <v>1</v>
      </c>
      <c r="H6" s="238">
        <v>2</v>
      </c>
      <c r="I6" s="242">
        <v>1</v>
      </c>
      <c r="J6" s="690"/>
      <c r="K6" s="683">
        <v>0</v>
      </c>
      <c r="L6" s="238"/>
      <c r="M6" s="242">
        <v>0</v>
      </c>
    </row>
    <row r="7" spans="1:13" ht="14.4" customHeight="1" x14ac:dyDescent="0.3">
      <c r="A7" s="667" t="s">
        <v>657</v>
      </c>
      <c r="B7" s="237">
        <v>6584.08</v>
      </c>
      <c r="C7" s="672">
        <v>1</v>
      </c>
      <c r="D7" s="677">
        <v>45</v>
      </c>
      <c r="E7" s="687" t="s">
        <v>657</v>
      </c>
      <c r="F7" s="237">
        <v>2030.3300000000002</v>
      </c>
      <c r="G7" s="683">
        <v>0.30836958238660528</v>
      </c>
      <c r="H7" s="238">
        <v>13</v>
      </c>
      <c r="I7" s="242">
        <v>0.28888888888888886</v>
      </c>
      <c r="J7" s="690">
        <v>4553.75</v>
      </c>
      <c r="K7" s="683">
        <v>0.69163041761339472</v>
      </c>
      <c r="L7" s="238">
        <v>32</v>
      </c>
      <c r="M7" s="242">
        <v>0.71111111111111114</v>
      </c>
    </row>
    <row r="8" spans="1:13" ht="14.4" customHeight="1" x14ac:dyDescent="0.3">
      <c r="A8" s="667" t="s">
        <v>658</v>
      </c>
      <c r="B8" s="237">
        <v>20161.79</v>
      </c>
      <c r="C8" s="672">
        <v>1</v>
      </c>
      <c r="D8" s="677">
        <v>128</v>
      </c>
      <c r="E8" s="687" t="s">
        <v>658</v>
      </c>
      <c r="F8" s="237">
        <v>5516.4700000000012</v>
      </c>
      <c r="G8" s="683">
        <v>0.27361013084651714</v>
      </c>
      <c r="H8" s="238">
        <v>31</v>
      </c>
      <c r="I8" s="242">
        <v>0.2421875</v>
      </c>
      <c r="J8" s="690">
        <v>14645.32</v>
      </c>
      <c r="K8" s="683">
        <v>0.7263898691534828</v>
      </c>
      <c r="L8" s="238">
        <v>97</v>
      </c>
      <c r="M8" s="242">
        <v>0.7578125</v>
      </c>
    </row>
    <row r="9" spans="1:13" ht="14.4" customHeight="1" x14ac:dyDescent="0.3">
      <c r="A9" s="667" t="s">
        <v>659</v>
      </c>
      <c r="B9" s="237">
        <v>896.19</v>
      </c>
      <c r="C9" s="672">
        <v>1</v>
      </c>
      <c r="D9" s="677">
        <v>2</v>
      </c>
      <c r="E9" s="687" t="s">
        <v>659</v>
      </c>
      <c r="F9" s="237">
        <v>896.19</v>
      </c>
      <c r="G9" s="683">
        <v>1</v>
      </c>
      <c r="H9" s="238">
        <v>2</v>
      </c>
      <c r="I9" s="242">
        <v>1</v>
      </c>
      <c r="J9" s="690"/>
      <c r="K9" s="683">
        <v>0</v>
      </c>
      <c r="L9" s="238"/>
      <c r="M9" s="242">
        <v>0</v>
      </c>
    </row>
    <row r="10" spans="1:13" ht="14.4" customHeight="1" x14ac:dyDescent="0.3">
      <c r="A10" s="667" t="s">
        <v>660</v>
      </c>
      <c r="B10" s="237">
        <v>0</v>
      </c>
      <c r="C10" s="672"/>
      <c r="D10" s="677">
        <v>1</v>
      </c>
      <c r="E10" s="687" t="s">
        <v>660</v>
      </c>
      <c r="F10" s="237"/>
      <c r="G10" s="683"/>
      <c r="H10" s="238"/>
      <c r="I10" s="242">
        <v>0</v>
      </c>
      <c r="J10" s="690">
        <v>0</v>
      </c>
      <c r="K10" s="683"/>
      <c r="L10" s="238">
        <v>1</v>
      </c>
      <c r="M10" s="242">
        <v>1</v>
      </c>
    </row>
    <row r="11" spans="1:13" ht="14.4" customHeight="1" x14ac:dyDescent="0.3">
      <c r="A11" s="667" t="s">
        <v>661</v>
      </c>
      <c r="B11" s="237">
        <v>6199.1700000000019</v>
      </c>
      <c r="C11" s="672">
        <v>1</v>
      </c>
      <c r="D11" s="677">
        <v>57</v>
      </c>
      <c r="E11" s="687" t="s">
        <v>661</v>
      </c>
      <c r="F11" s="237">
        <v>2973.7100000000005</v>
      </c>
      <c r="G11" s="683">
        <v>0.47969486237673747</v>
      </c>
      <c r="H11" s="238">
        <v>23</v>
      </c>
      <c r="I11" s="242">
        <v>0.40350877192982454</v>
      </c>
      <c r="J11" s="690">
        <v>3225.4600000000009</v>
      </c>
      <c r="K11" s="683">
        <v>0.52030513762326247</v>
      </c>
      <c r="L11" s="238">
        <v>34</v>
      </c>
      <c r="M11" s="242">
        <v>0.59649122807017541</v>
      </c>
    </row>
    <row r="12" spans="1:13" ht="14.4" customHeight="1" x14ac:dyDescent="0.3">
      <c r="A12" s="667" t="s">
        <v>662</v>
      </c>
      <c r="B12" s="237">
        <v>1966.6100000000001</v>
      </c>
      <c r="C12" s="672">
        <v>1</v>
      </c>
      <c r="D12" s="677">
        <v>6</v>
      </c>
      <c r="E12" s="687" t="s">
        <v>662</v>
      </c>
      <c r="F12" s="237">
        <v>1120.97</v>
      </c>
      <c r="G12" s="683">
        <v>0.57000116952522362</v>
      </c>
      <c r="H12" s="238">
        <v>2</v>
      </c>
      <c r="I12" s="242">
        <v>0.33333333333333331</v>
      </c>
      <c r="J12" s="690">
        <v>845.64</v>
      </c>
      <c r="K12" s="683">
        <v>0.42999883047477638</v>
      </c>
      <c r="L12" s="238">
        <v>4</v>
      </c>
      <c r="M12" s="242">
        <v>0.66666666666666663</v>
      </c>
    </row>
    <row r="13" spans="1:13" ht="14.4" customHeight="1" thickBot="1" x14ac:dyDescent="0.35">
      <c r="A13" s="668" t="s">
        <v>663</v>
      </c>
      <c r="B13" s="673">
        <v>10428.170000000002</v>
      </c>
      <c r="C13" s="674">
        <v>1</v>
      </c>
      <c r="D13" s="678">
        <v>81</v>
      </c>
      <c r="E13" s="688" t="s">
        <v>663</v>
      </c>
      <c r="F13" s="673">
        <v>2754.7900000000009</v>
      </c>
      <c r="G13" s="684">
        <v>0.26416811386849276</v>
      </c>
      <c r="H13" s="675">
        <v>25</v>
      </c>
      <c r="I13" s="685">
        <v>0.30864197530864196</v>
      </c>
      <c r="J13" s="691">
        <v>7673.3800000000019</v>
      </c>
      <c r="K13" s="684">
        <v>0.7358318861315073</v>
      </c>
      <c r="L13" s="675">
        <v>56</v>
      </c>
      <c r="M13" s="685">
        <v>0.69135802469135799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4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60" hidden="1" customWidth="1" outlineLevel="1"/>
    <col min="2" max="2" width="28.33203125" style="260" hidden="1" customWidth="1" outlineLevel="1"/>
    <col min="3" max="3" width="9" style="260" customWidth="1" collapsed="1"/>
    <col min="4" max="4" width="18.77734375" style="354" customWidth="1"/>
    <col min="5" max="5" width="13.5546875" style="344" customWidth="1"/>
    <col min="6" max="6" width="6" style="260" bestFit="1" customWidth="1"/>
    <col min="7" max="7" width="8.77734375" style="260" customWidth="1"/>
    <col min="8" max="8" width="5" style="260" bestFit="1" customWidth="1"/>
    <col min="9" max="9" width="8.5546875" style="260" hidden="1" customWidth="1" outlineLevel="1"/>
    <col min="10" max="10" width="25.77734375" style="260" customWidth="1" collapsed="1"/>
    <col min="11" max="11" width="8.77734375" style="260" customWidth="1"/>
    <col min="12" max="12" width="7.77734375" style="345" customWidth="1"/>
    <col min="13" max="13" width="11.109375" style="345" customWidth="1"/>
    <col min="14" max="14" width="7.77734375" style="260" customWidth="1"/>
    <col min="15" max="15" width="7.77734375" style="355" customWidth="1"/>
    <col min="16" max="16" width="11.109375" style="345" customWidth="1"/>
    <col min="17" max="17" width="5.44140625" style="346" bestFit="1" customWidth="1"/>
    <col min="18" max="18" width="7.77734375" style="260" customWidth="1"/>
    <col min="19" max="19" width="5.44140625" style="346" bestFit="1" customWidth="1"/>
    <col min="20" max="20" width="7.77734375" style="355" customWidth="1"/>
    <col min="21" max="21" width="5.44140625" style="346" bestFit="1" customWidth="1"/>
    <col min="22" max="16384" width="8.88671875" style="260"/>
  </cols>
  <sheetData>
    <row r="1" spans="1:21" ht="18.600000000000001" customHeight="1" thickBot="1" x14ac:dyDescent="0.4">
      <c r="A1" s="486" t="s">
        <v>921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</row>
    <row r="2" spans="1:21" ht="14.4" customHeight="1" thickBot="1" x14ac:dyDescent="0.35">
      <c r="A2" s="389" t="s">
        <v>298</v>
      </c>
      <c r="B2" s="352"/>
      <c r="C2" s="342"/>
      <c r="D2" s="342"/>
      <c r="E2" s="353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ht="14.4" customHeight="1" thickBot="1" x14ac:dyDescent="0.35">
      <c r="A3" s="511"/>
      <c r="B3" s="512"/>
      <c r="C3" s="512"/>
      <c r="D3" s="512"/>
      <c r="E3" s="512"/>
      <c r="F3" s="512"/>
      <c r="G3" s="512"/>
      <c r="H3" s="512"/>
      <c r="I3" s="512"/>
      <c r="J3" s="512"/>
      <c r="K3" s="513" t="s">
        <v>163</v>
      </c>
      <c r="L3" s="514"/>
      <c r="M3" s="70">
        <f>SUBTOTAL(9,M7:M1048576)</f>
        <v>54258.639999999985</v>
      </c>
      <c r="N3" s="70">
        <f>SUBTOTAL(9,N7:N1048576)</f>
        <v>533</v>
      </c>
      <c r="O3" s="70">
        <f>SUBTOTAL(9,O7:O1048576)</f>
        <v>375</v>
      </c>
      <c r="P3" s="70">
        <f>SUBTOTAL(9,P7:P1048576)</f>
        <v>17975</v>
      </c>
      <c r="Q3" s="71">
        <f>IF(M3=0,0,P3/M3)</f>
        <v>0.33128364441128649</v>
      </c>
      <c r="R3" s="70">
        <f>SUBTOTAL(9,R7:R1048576)</f>
        <v>173</v>
      </c>
      <c r="S3" s="71">
        <f>IF(N3=0,0,R3/N3)</f>
        <v>0.32457786116322701</v>
      </c>
      <c r="T3" s="70">
        <f>SUBTOTAL(9,T7:T1048576)</f>
        <v>114</v>
      </c>
      <c r="U3" s="72">
        <f>IF(O3=0,0,T3/O3)</f>
        <v>0.30399999999999999</v>
      </c>
    </row>
    <row r="4" spans="1:21" ht="14.4" customHeight="1" x14ac:dyDescent="0.3">
      <c r="A4" s="73"/>
      <c r="B4" s="74"/>
      <c r="C4" s="74"/>
      <c r="D4" s="75"/>
      <c r="E4" s="275"/>
      <c r="F4" s="74"/>
      <c r="G4" s="74"/>
      <c r="H4" s="74"/>
      <c r="I4" s="74"/>
      <c r="J4" s="74"/>
      <c r="K4" s="74"/>
      <c r="L4" s="74"/>
      <c r="M4" s="515" t="s">
        <v>18</v>
      </c>
      <c r="N4" s="516"/>
      <c r="O4" s="516"/>
      <c r="P4" s="517" t="s">
        <v>24</v>
      </c>
      <c r="Q4" s="516"/>
      <c r="R4" s="516"/>
      <c r="S4" s="516"/>
      <c r="T4" s="516"/>
      <c r="U4" s="518"/>
    </row>
    <row r="5" spans="1:21" ht="14.4" customHeight="1" thickBot="1" x14ac:dyDescent="0.35">
      <c r="A5" s="76"/>
      <c r="B5" s="77"/>
      <c r="C5" s="74"/>
      <c r="D5" s="75"/>
      <c r="E5" s="275"/>
      <c r="F5" s="74"/>
      <c r="G5" s="74"/>
      <c r="H5" s="74"/>
      <c r="I5" s="74"/>
      <c r="J5" s="74"/>
      <c r="K5" s="74"/>
      <c r="L5" s="74"/>
      <c r="M5" s="110" t="s">
        <v>25</v>
      </c>
      <c r="N5" s="111" t="s">
        <v>16</v>
      </c>
      <c r="O5" s="111" t="s">
        <v>23</v>
      </c>
      <c r="P5" s="508" t="s">
        <v>25</v>
      </c>
      <c r="Q5" s="509"/>
      <c r="R5" s="508" t="s">
        <v>16</v>
      </c>
      <c r="S5" s="509"/>
      <c r="T5" s="508" t="s">
        <v>23</v>
      </c>
      <c r="U5" s="510"/>
    </row>
    <row r="6" spans="1:21" s="344" customFormat="1" ht="14.4" customHeight="1" thickBot="1" x14ac:dyDescent="0.35">
      <c r="A6" s="692" t="s">
        <v>26</v>
      </c>
      <c r="B6" s="693" t="s">
        <v>8</v>
      </c>
      <c r="C6" s="692" t="s">
        <v>27</v>
      </c>
      <c r="D6" s="693" t="s">
        <v>9</v>
      </c>
      <c r="E6" s="693" t="s">
        <v>198</v>
      </c>
      <c r="F6" s="693" t="s">
        <v>28</v>
      </c>
      <c r="G6" s="693" t="s">
        <v>29</v>
      </c>
      <c r="H6" s="693" t="s">
        <v>11</v>
      </c>
      <c r="I6" s="693" t="s">
        <v>13</v>
      </c>
      <c r="J6" s="693" t="s">
        <v>14</v>
      </c>
      <c r="K6" s="693" t="s">
        <v>15</v>
      </c>
      <c r="L6" s="693" t="s">
        <v>30</v>
      </c>
      <c r="M6" s="694" t="s">
        <v>17</v>
      </c>
      <c r="N6" s="695" t="s">
        <v>31</v>
      </c>
      <c r="O6" s="695" t="s">
        <v>31</v>
      </c>
      <c r="P6" s="695" t="s">
        <v>17</v>
      </c>
      <c r="Q6" s="695" t="s">
        <v>5</v>
      </c>
      <c r="R6" s="695" t="s">
        <v>31</v>
      </c>
      <c r="S6" s="695" t="s">
        <v>5</v>
      </c>
      <c r="T6" s="695" t="s">
        <v>31</v>
      </c>
      <c r="U6" s="696" t="s">
        <v>5</v>
      </c>
    </row>
    <row r="7" spans="1:21" ht="14.4" customHeight="1" x14ac:dyDescent="0.3">
      <c r="A7" s="697">
        <v>22</v>
      </c>
      <c r="B7" s="698" t="s">
        <v>485</v>
      </c>
      <c r="C7" s="698">
        <v>89301221</v>
      </c>
      <c r="D7" s="699" t="s">
        <v>919</v>
      </c>
      <c r="E7" s="700" t="s">
        <v>657</v>
      </c>
      <c r="F7" s="698" t="s">
        <v>649</v>
      </c>
      <c r="G7" s="698" t="s">
        <v>664</v>
      </c>
      <c r="H7" s="698" t="s">
        <v>484</v>
      </c>
      <c r="I7" s="698" t="s">
        <v>665</v>
      </c>
      <c r="J7" s="698" t="s">
        <v>666</v>
      </c>
      <c r="K7" s="698"/>
      <c r="L7" s="701">
        <v>0</v>
      </c>
      <c r="M7" s="701">
        <v>0</v>
      </c>
      <c r="N7" s="698">
        <v>1</v>
      </c>
      <c r="O7" s="702">
        <v>1</v>
      </c>
      <c r="P7" s="701"/>
      <c r="Q7" s="703"/>
      <c r="R7" s="698"/>
      <c r="S7" s="703">
        <v>0</v>
      </c>
      <c r="T7" s="702"/>
      <c r="U7" s="241">
        <v>0</v>
      </c>
    </row>
    <row r="8" spans="1:21" ht="14.4" customHeight="1" x14ac:dyDescent="0.3">
      <c r="A8" s="681">
        <v>22</v>
      </c>
      <c r="B8" s="672" t="s">
        <v>485</v>
      </c>
      <c r="C8" s="672">
        <v>89301221</v>
      </c>
      <c r="D8" s="704" t="s">
        <v>919</v>
      </c>
      <c r="E8" s="705" t="s">
        <v>657</v>
      </c>
      <c r="F8" s="672" t="s">
        <v>649</v>
      </c>
      <c r="G8" s="672" t="s">
        <v>667</v>
      </c>
      <c r="H8" s="672" t="s">
        <v>484</v>
      </c>
      <c r="I8" s="672" t="s">
        <v>668</v>
      </c>
      <c r="J8" s="672" t="s">
        <v>669</v>
      </c>
      <c r="K8" s="672" t="s">
        <v>670</v>
      </c>
      <c r="L8" s="706">
        <v>0</v>
      </c>
      <c r="M8" s="706">
        <v>0</v>
      </c>
      <c r="N8" s="672">
        <v>1</v>
      </c>
      <c r="O8" s="707">
        <v>0.5</v>
      </c>
      <c r="P8" s="706"/>
      <c r="Q8" s="683"/>
      <c r="R8" s="672"/>
      <c r="S8" s="683">
        <v>0</v>
      </c>
      <c r="T8" s="707"/>
      <c r="U8" s="242">
        <v>0</v>
      </c>
    </row>
    <row r="9" spans="1:21" ht="14.4" customHeight="1" x14ac:dyDescent="0.3">
      <c r="A9" s="681">
        <v>22</v>
      </c>
      <c r="B9" s="672" t="s">
        <v>485</v>
      </c>
      <c r="C9" s="672">
        <v>89301221</v>
      </c>
      <c r="D9" s="704" t="s">
        <v>919</v>
      </c>
      <c r="E9" s="705" t="s">
        <v>657</v>
      </c>
      <c r="F9" s="672" t="s">
        <v>649</v>
      </c>
      <c r="G9" s="672" t="s">
        <v>667</v>
      </c>
      <c r="H9" s="672" t="s">
        <v>559</v>
      </c>
      <c r="I9" s="672" t="s">
        <v>671</v>
      </c>
      <c r="J9" s="672" t="s">
        <v>672</v>
      </c>
      <c r="K9" s="672" t="s">
        <v>673</v>
      </c>
      <c r="L9" s="706">
        <v>108.46</v>
      </c>
      <c r="M9" s="706">
        <v>108.46</v>
      </c>
      <c r="N9" s="672">
        <v>1</v>
      </c>
      <c r="O9" s="707">
        <v>1</v>
      </c>
      <c r="P9" s="706"/>
      <c r="Q9" s="683">
        <v>0</v>
      </c>
      <c r="R9" s="672"/>
      <c r="S9" s="683">
        <v>0</v>
      </c>
      <c r="T9" s="707"/>
      <c r="U9" s="242">
        <v>0</v>
      </c>
    </row>
    <row r="10" spans="1:21" ht="14.4" customHeight="1" x14ac:dyDescent="0.3">
      <c r="A10" s="681">
        <v>22</v>
      </c>
      <c r="B10" s="672" t="s">
        <v>485</v>
      </c>
      <c r="C10" s="672">
        <v>89301221</v>
      </c>
      <c r="D10" s="704" t="s">
        <v>919</v>
      </c>
      <c r="E10" s="705" t="s">
        <v>657</v>
      </c>
      <c r="F10" s="672" t="s">
        <v>649</v>
      </c>
      <c r="G10" s="672" t="s">
        <v>667</v>
      </c>
      <c r="H10" s="672" t="s">
        <v>559</v>
      </c>
      <c r="I10" s="672" t="s">
        <v>674</v>
      </c>
      <c r="J10" s="672" t="s">
        <v>675</v>
      </c>
      <c r="K10" s="672" t="s">
        <v>676</v>
      </c>
      <c r="L10" s="706">
        <v>130.15</v>
      </c>
      <c r="M10" s="706">
        <v>390.45000000000005</v>
      </c>
      <c r="N10" s="672">
        <v>3</v>
      </c>
      <c r="O10" s="707">
        <v>3</v>
      </c>
      <c r="P10" s="706"/>
      <c r="Q10" s="683">
        <v>0</v>
      </c>
      <c r="R10" s="672"/>
      <c r="S10" s="683">
        <v>0</v>
      </c>
      <c r="T10" s="707"/>
      <c r="U10" s="242">
        <v>0</v>
      </c>
    </row>
    <row r="11" spans="1:21" ht="14.4" customHeight="1" x14ac:dyDescent="0.3">
      <c r="A11" s="681">
        <v>22</v>
      </c>
      <c r="B11" s="672" t="s">
        <v>485</v>
      </c>
      <c r="C11" s="672">
        <v>89301221</v>
      </c>
      <c r="D11" s="704" t="s">
        <v>919</v>
      </c>
      <c r="E11" s="705" t="s">
        <v>657</v>
      </c>
      <c r="F11" s="672" t="s">
        <v>649</v>
      </c>
      <c r="G11" s="672" t="s">
        <v>667</v>
      </c>
      <c r="H11" s="672" t="s">
        <v>484</v>
      </c>
      <c r="I11" s="672" t="s">
        <v>677</v>
      </c>
      <c r="J11" s="672" t="s">
        <v>678</v>
      </c>
      <c r="K11" s="672" t="s">
        <v>676</v>
      </c>
      <c r="L11" s="706">
        <v>130.15</v>
      </c>
      <c r="M11" s="706">
        <v>260.3</v>
      </c>
      <c r="N11" s="672">
        <v>2</v>
      </c>
      <c r="O11" s="707">
        <v>2</v>
      </c>
      <c r="P11" s="706"/>
      <c r="Q11" s="683">
        <v>0</v>
      </c>
      <c r="R11" s="672"/>
      <c r="S11" s="683">
        <v>0</v>
      </c>
      <c r="T11" s="707"/>
      <c r="U11" s="242">
        <v>0</v>
      </c>
    </row>
    <row r="12" spans="1:21" ht="14.4" customHeight="1" x14ac:dyDescent="0.3">
      <c r="A12" s="681">
        <v>22</v>
      </c>
      <c r="B12" s="672" t="s">
        <v>485</v>
      </c>
      <c r="C12" s="672">
        <v>89301221</v>
      </c>
      <c r="D12" s="704" t="s">
        <v>919</v>
      </c>
      <c r="E12" s="705" t="s">
        <v>657</v>
      </c>
      <c r="F12" s="672" t="s">
        <v>649</v>
      </c>
      <c r="G12" s="672" t="s">
        <v>667</v>
      </c>
      <c r="H12" s="672" t="s">
        <v>484</v>
      </c>
      <c r="I12" s="672" t="s">
        <v>679</v>
      </c>
      <c r="J12" s="672" t="s">
        <v>680</v>
      </c>
      <c r="K12" s="672" t="s">
        <v>681</v>
      </c>
      <c r="L12" s="706">
        <v>86.76</v>
      </c>
      <c r="M12" s="706">
        <v>86.76</v>
      </c>
      <c r="N12" s="672">
        <v>1</v>
      </c>
      <c r="O12" s="707">
        <v>0.5</v>
      </c>
      <c r="P12" s="706"/>
      <c r="Q12" s="683">
        <v>0</v>
      </c>
      <c r="R12" s="672"/>
      <c r="S12" s="683">
        <v>0</v>
      </c>
      <c r="T12" s="707"/>
      <c r="U12" s="242">
        <v>0</v>
      </c>
    </row>
    <row r="13" spans="1:21" ht="14.4" customHeight="1" x14ac:dyDescent="0.3">
      <c r="A13" s="681">
        <v>22</v>
      </c>
      <c r="B13" s="672" t="s">
        <v>485</v>
      </c>
      <c r="C13" s="672">
        <v>89301221</v>
      </c>
      <c r="D13" s="704" t="s">
        <v>919</v>
      </c>
      <c r="E13" s="705" t="s">
        <v>658</v>
      </c>
      <c r="F13" s="672" t="s">
        <v>649</v>
      </c>
      <c r="G13" s="672" t="s">
        <v>682</v>
      </c>
      <c r="H13" s="672" t="s">
        <v>484</v>
      </c>
      <c r="I13" s="672" t="s">
        <v>683</v>
      </c>
      <c r="J13" s="672" t="s">
        <v>684</v>
      </c>
      <c r="K13" s="672" t="s">
        <v>685</v>
      </c>
      <c r="L13" s="706">
        <v>201.75</v>
      </c>
      <c r="M13" s="706">
        <v>201.75</v>
      </c>
      <c r="N13" s="672">
        <v>1</v>
      </c>
      <c r="O13" s="707">
        <v>1</v>
      </c>
      <c r="P13" s="706"/>
      <c r="Q13" s="683">
        <v>0</v>
      </c>
      <c r="R13" s="672"/>
      <c r="S13" s="683">
        <v>0</v>
      </c>
      <c r="T13" s="707"/>
      <c r="U13" s="242">
        <v>0</v>
      </c>
    </row>
    <row r="14" spans="1:21" ht="14.4" customHeight="1" x14ac:dyDescent="0.3">
      <c r="A14" s="681">
        <v>22</v>
      </c>
      <c r="B14" s="672" t="s">
        <v>485</v>
      </c>
      <c r="C14" s="672">
        <v>89301221</v>
      </c>
      <c r="D14" s="704" t="s">
        <v>919</v>
      </c>
      <c r="E14" s="705" t="s">
        <v>658</v>
      </c>
      <c r="F14" s="672" t="s">
        <v>649</v>
      </c>
      <c r="G14" s="672" t="s">
        <v>686</v>
      </c>
      <c r="H14" s="672" t="s">
        <v>484</v>
      </c>
      <c r="I14" s="672" t="s">
        <v>687</v>
      </c>
      <c r="J14" s="672" t="s">
        <v>688</v>
      </c>
      <c r="K14" s="672" t="s">
        <v>689</v>
      </c>
      <c r="L14" s="706">
        <v>163.9</v>
      </c>
      <c r="M14" s="706">
        <v>163.9</v>
      </c>
      <c r="N14" s="672">
        <v>1</v>
      </c>
      <c r="O14" s="707">
        <v>1</v>
      </c>
      <c r="P14" s="706"/>
      <c r="Q14" s="683">
        <v>0</v>
      </c>
      <c r="R14" s="672"/>
      <c r="S14" s="683">
        <v>0</v>
      </c>
      <c r="T14" s="707"/>
      <c r="U14" s="242">
        <v>0</v>
      </c>
    </row>
    <row r="15" spans="1:21" ht="14.4" customHeight="1" x14ac:dyDescent="0.3">
      <c r="A15" s="681">
        <v>22</v>
      </c>
      <c r="B15" s="672" t="s">
        <v>485</v>
      </c>
      <c r="C15" s="672">
        <v>89301221</v>
      </c>
      <c r="D15" s="704" t="s">
        <v>919</v>
      </c>
      <c r="E15" s="705" t="s">
        <v>658</v>
      </c>
      <c r="F15" s="672" t="s">
        <v>649</v>
      </c>
      <c r="G15" s="672" t="s">
        <v>690</v>
      </c>
      <c r="H15" s="672" t="s">
        <v>484</v>
      </c>
      <c r="I15" s="672" t="s">
        <v>691</v>
      </c>
      <c r="J15" s="672" t="s">
        <v>692</v>
      </c>
      <c r="K15" s="672" t="s">
        <v>693</v>
      </c>
      <c r="L15" s="706">
        <v>0</v>
      </c>
      <c r="M15" s="706">
        <v>0</v>
      </c>
      <c r="N15" s="672">
        <v>2</v>
      </c>
      <c r="O15" s="707">
        <v>1.5</v>
      </c>
      <c r="P15" s="706"/>
      <c r="Q15" s="683"/>
      <c r="R15" s="672"/>
      <c r="S15" s="683">
        <v>0</v>
      </c>
      <c r="T15" s="707"/>
      <c r="U15" s="242">
        <v>0</v>
      </c>
    </row>
    <row r="16" spans="1:21" ht="14.4" customHeight="1" x14ac:dyDescent="0.3">
      <c r="A16" s="681">
        <v>22</v>
      </c>
      <c r="B16" s="672" t="s">
        <v>485</v>
      </c>
      <c r="C16" s="672">
        <v>89301221</v>
      </c>
      <c r="D16" s="704" t="s">
        <v>919</v>
      </c>
      <c r="E16" s="705" t="s">
        <v>658</v>
      </c>
      <c r="F16" s="672" t="s">
        <v>649</v>
      </c>
      <c r="G16" s="672" t="s">
        <v>667</v>
      </c>
      <c r="H16" s="672" t="s">
        <v>484</v>
      </c>
      <c r="I16" s="672" t="s">
        <v>694</v>
      </c>
      <c r="J16" s="672" t="s">
        <v>695</v>
      </c>
      <c r="K16" s="672" t="s">
        <v>696</v>
      </c>
      <c r="L16" s="706">
        <v>0</v>
      </c>
      <c r="M16" s="706">
        <v>0</v>
      </c>
      <c r="N16" s="672">
        <v>1</v>
      </c>
      <c r="O16" s="707">
        <v>1</v>
      </c>
      <c r="P16" s="706"/>
      <c r="Q16" s="683"/>
      <c r="R16" s="672"/>
      <c r="S16" s="683">
        <v>0</v>
      </c>
      <c r="T16" s="707"/>
      <c r="U16" s="242">
        <v>0</v>
      </c>
    </row>
    <row r="17" spans="1:21" ht="14.4" customHeight="1" x14ac:dyDescent="0.3">
      <c r="A17" s="681">
        <v>22</v>
      </c>
      <c r="B17" s="672" t="s">
        <v>485</v>
      </c>
      <c r="C17" s="672">
        <v>89301221</v>
      </c>
      <c r="D17" s="704" t="s">
        <v>919</v>
      </c>
      <c r="E17" s="705" t="s">
        <v>658</v>
      </c>
      <c r="F17" s="672" t="s">
        <v>649</v>
      </c>
      <c r="G17" s="672" t="s">
        <v>667</v>
      </c>
      <c r="H17" s="672" t="s">
        <v>559</v>
      </c>
      <c r="I17" s="672" t="s">
        <v>671</v>
      </c>
      <c r="J17" s="672" t="s">
        <v>672</v>
      </c>
      <c r="K17" s="672" t="s">
        <v>673</v>
      </c>
      <c r="L17" s="706">
        <v>108.46</v>
      </c>
      <c r="M17" s="706">
        <v>759.22</v>
      </c>
      <c r="N17" s="672">
        <v>7</v>
      </c>
      <c r="O17" s="707">
        <v>6.5</v>
      </c>
      <c r="P17" s="706"/>
      <c r="Q17" s="683">
        <v>0</v>
      </c>
      <c r="R17" s="672"/>
      <c r="S17" s="683">
        <v>0</v>
      </c>
      <c r="T17" s="707"/>
      <c r="U17" s="242">
        <v>0</v>
      </c>
    </row>
    <row r="18" spans="1:21" ht="14.4" customHeight="1" x14ac:dyDescent="0.3">
      <c r="A18" s="681">
        <v>22</v>
      </c>
      <c r="B18" s="672" t="s">
        <v>485</v>
      </c>
      <c r="C18" s="672">
        <v>89301221</v>
      </c>
      <c r="D18" s="704" t="s">
        <v>919</v>
      </c>
      <c r="E18" s="705" t="s">
        <v>658</v>
      </c>
      <c r="F18" s="672" t="s">
        <v>649</v>
      </c>
      <c r="G18" s="672" t="s">
        <v>667</v>
      </c>
      <c r="H18" s="672" t="s">
        <v>559</v>
      </c>
      <c r="I18" s="672" t="s">
        <v>674</v>
      </c>
      <c r="J18" s="672" t="s">
        <v>675</v>
      </c>
      <c r="K18" s="672" t="s">
        <v>676</v>
      </c>
      <c r="L18" s="706">
        <v>130.15</v>
      </c>
      <c r="M18" s="706">
        <v>2472.8500000000004</v>
      </c>
      <c r="N18" s="672">
        <v>19</v>
      </c>
      <c r="O18" s="707">
        <v>14</v>
      </c>
      <c r="P18" s="706">
        <v>520.6</v>
      </c>
      <c r="Q18" s="683">
        <v>0.21052631578947367</v>
      </c>
      <c r="R18" s="672">
        <v>4</v>
      </c>
      <c r="S18" s="683">
        <v>0.21052631578947367</v>
      </c>
      <c r="T18" s="707">
        <v>3</v>
      </c>
      <c r="U18" s="242">
        <v>0.21428571428571427</v>
      </c>
    </row>
    <row r="19" spans="1:21" ht="14.4" customHeight="1" x14ac:dyDescent="0.3">
      <c r="A19" s="681">
        <v>22</v>
      </c>
      <c r="B19" s="672" t="s">
        <v>485</v>
      </c>
      <c r="C19" s="672">
        <v>89301221</v>
      </c>
      <c r="D19" s="704" t="s">
        <v>919</v>
      </c>
      <c r="E19" s="705" t="s">
        <v>658</v>
      </c>
      <c r="F19" s="672" t="s">
        <v>649</v>
      </c>
      <c r="G19" s="672" t="s">
        <v>667</v>
      </c>
      <c r="H19" s="672" t="s">
        <v>559</v>
      </c>
      <c r="I19" s="672" t="s">
        <v>697</v>
      </c>
      <c r="J19" s="672" t="s">
        <v>698</v>
      </c>
      <c r="K19" s="672" t="s">
        <v>699</v>
      </c>
      <c r="L19" s="706">
        <v>86.76</v>
      </c>
      <c r="M19" s="706">
        <v>2602.8000000000002</v>
      </c>
      <c r="N19" s="672">
        <v>30</v>
      </c>
      <c r="O19" s="707">
        <v>17</v>
      </c>
      <c r="P19" s="706">
        <v>694.08</v>
      </c>
      <c r="Q19" s="683">
        <v>0.26666666666666666</v>
      </c>
      <c r="R19" s="672">
        <v>8</v>
      </c>
      <c r="S19" s="683">
        <v>0.26666666666666666</v>
      </c>
      <c r="T19" s="707">
        <v>4</v>
      </c>
      <c r="U19" s="242">
        <v>0.23529411764705882</v>
      </c>
    </row>
    <row r="20" spans="1:21" ht="14.4" customHeight="1" x14ac:dyDescent="0.3">
      <c r="A20" s="681">
        <v>22</v>
      </c>
      <c r="B20" s="672" t="s">
        <v>485</v>
      </c>
      <c r="C20" s="672">
        <v>89301221</v>
      </c>
      <c r="D20" s="704" t="s">
        <v>919</v>
      </c>
      <c r="E20" s="705" t="s">
        <v>658</v>
      </c>
      <c r="F20" s="672" t="s">
        <v>649</v>
      </c>
      <c r="G20" s="672" t="s">
        <v>667</v>
      </c>
      <c r="H20" s="672" t="s">
        <v>484</v>
      </c>
      <c r="I20" s="672" t="s">
        <v>677</v>
      </c>
      <c r="J20" s="672" t="s">
        <v>678</v>
      </c>
      <c r="K20" s="672" t="s">
        <v>676</v>
      </c>
      <c r="L20" s="706">
        <v>130.15</v>
      </c>
      <c r="M20" s="706">
        <v>650.75</v>
      </c>
      <c r="N20" s="672">
        <v>5</v>
      </c>
      <c r="O20" s="707">
        <v>4</v>
      </c>
      <c r="P20" s="706"/>
      <c r="Q20" s="683">
        <v>0</v>
      </c>
      <c r="R20" s="672"/>
      <c r="S20" s="683">
        <v>0</v>
      </c>
      <c r="T20" s="707"/>
      <c r="U20" s="242">
        <v>0</v>
      </c>
    </row>
    <row r="21" spans="1:21" ht="14.4" customHeight="1" x14ac:dyDescent="0.3">
      <c r="A21" s="681">
        <v>22</v>
      </c>
      <c r="B21" s="672" t="s">
        <v>485</v>
      </c>
      <c r="C21" s="672">
        <v>89301221</v>
      </c>
      <c r="D21" s="704" t="s">
        <v>919</v>
      </c>
      <c r="E21" s="705" t="s">
        <v>658</v>
      </c>
      <c r="F21" s="672" t="s">
        <v>649</v>
      </c>
      <c r="G21" s="672" t="s">
        <v>667</v>
      </c>
      <c r="H21" s="672" t="s">
        <v>484</v>
      </c>
      <c r="I21" s="672" t="s">
        <v>679</v>
      </c>
      <c r="J21" s="672" t="s">
        <v>680</v>
      </c>
      <c r="K21" s="672" t="s">
        <v>681</v>
      </c>
      <c r="L21" s="706">
        <v>86.76</v>
      </c>
      <c r="M21" s="706">
        <v>347.04</v>
      </c>
      <c r="N21" s="672">
        <v>4</v>
      </c>
      <c r="O21" s="707">
        <v>3</v>
      </c>
      <c r="P21" s="706"/>
      <c r="Q21" s="683">
        <v>0</v>
      </c>
      <c r="R21" s="672"/>
      <c r="S21" s="683">
        <v>0</v>
      </c>
      <c r="T21" s="707"/>
      <c r="U21" s="242">
        <v>0</v>
      </c>
    </row>
    <row r="22" spans="1:21" ht="14.4" customHeight="1" x14ac:dyDescent="0.3">
      <c r="A22" s="681">
        <v>22</v>
      </c>
      <c r="B22" s="672" t="s">
        <v>485</v>
      </c>
      <c r="C22" s="672">
        <v>89301221</v>
      </c>
      <c r="D22" s="704" t="s">
        <v>919</v>
      </c>
      <c r="E22" s="705" t="s">
        <v>658</v>
      </c>
      <c r="F22" s="672" t="s">
        <v>649</v>
      </c>
      <c r="G22" s="672" t="s">
        <v>700</v>
      </c>
      <c r="H22" s="672" t="s">
        <v>484</v>
      </c>
      <c r="I22" s="672" t="s">
        <v>701</v>
      </c>
      <c r="J22" s="672" t="s">
        <v>702</v>
      </c>
      <c r="K22" s="672" t="s">
        <v>703</v>
      </c>
      <c r="L22" s="706">
        <v>97.97</v>
      </c>
      <c r="M22" s="706">
        <v>391.88</v>
      </c>
      <c r="N22" s="672">
        <v>4</v>
      </c>
      <c r="O22" s="707">
        <v>1</v>
      </c>
      <c r="P22" s="706"/>
      <c r="Q22" s="683">
        <v>0</v>
      </c>
      <c r="R22" s="672"/>
      <c r="S22" s="683">
        <v>0</v>
      </c>
      <c r="T22" s="707"/>
      <c r="U22" s="242">
        <v>0</v>
      </c>
    </row>
    <row r="23" spans="1:21" ht="14.4" customHeight="1" x14ac:dyDescent="0.3">
      <c r="A23" s="681">
        <v>22</v>
      </c>
      <c r="B23" s="672" t="s">
        <v>485</v>
      </c>
      <c r="C23" s="672">
        <v>89301221</v>
      </c>
      <c r="D23" s="704" t="s">
        <v>919</v>
      </c>
      <c r="E23" s="705" t="s">
        <v>658</v>
      </c>
      <c r="F23" s="672" t="s">
        <v>649</v>
      </c>
      <c r="G23" s="672" t="s">
        <v>704</v>
      </c>
      <c r="H23" s="672" t="s">
        <v>484</v>
      </c>
      <c r="I23" s="672" t="s">
        <v>705</v>
      </c>
      <c r="J23" s="672" t="s">
        <v>706</v>
      </c>
      <c r="K23" s="672" t="s">
        <v>707</v>
      </c>
      <c r="L23" s="706">
        <v>91.52</v>
      </c>
      <c r="M23" s="706">
        <v>549.12</v>
      </c>
      <c r="N23" s="672">
        <v>6</v>
      </c>
      <c r="O23" s="707">
        <v>1</v>
      </c>
      <c r="P23" s="706"/>
      <c r="Q23" s="683">
        <v>0</v>
      </c>
      <c r="R23" s="672"/>
      <c r="S23" s="683">
        <v>0</v>
      </c>
      <c r="T23" s="707"/>
      <c r="U23" s="242">
        <v>0</v>
      </c>
    </row>
    <row r="24" spans="1:21" ht="14.4" customHeight="1" x14ac:dyDescent="0.3">
      <c r="A24" s="681">
        <v>22</v>
      </c>
      <c r="B24" s="672" t="s">
        <v>485</v>
      </c>
      <c r="C24" s="672">
        <v>89301221</v>
      </c>
      <c r="D24" s="704" t="s">
        <v>919</v>
      </c>
      <c r="E24" s="705" t="s">
        <v>658</v>
      </c>
      <c r="F24" s="672" t="s">
        <v>649</v>
      </c>
      <c r="G24" s="672" t="s">
        <v>708</v>
      </c>
      <c r="H24" s="672" t="s">
        <v>484</v>
      </c>
      <c r="I24" s="672" t="s">
        <v>709</v>
      </c>
      <c r="J24" s="672" t="s">
        <v>710</v>
      </c>
      <c r="K24" s="672" t="s">
        <v>711</v>
      </c>
      <c r="L24" s="706">
        <v>0</v>
      </c>
      <c r="M24" s="706">
        <v>0</v>
      </c>
      <c r="N24" s="672">
        <v>1</v>
      </c>
      <c r="O24" s="707">
        <v>0.5</v>
      </c>
      <c r="P24" s="706"/>
      <c r="Q24" s="683"/>
      <c r="R24" s="672"/>
      <c r="S24" s="683">
        <v>0</v>
      </c>
      <c r="T24" s="707"/>
      <c r="U24" s="242">
        <v>0</v>
      </c>
    </row>
    <row r="25" spans="1:21" ht="14.4" customHeight="1" x14ac:dyDescent="0.3">
      <c r="A25" s="681">
        <v>22</v>
      </c>
      <c r="B25" s="672" t="s">
        <v>485</v>
      </c>
      <c r="C25" s="672">
        <v>89301221</v>
      </c>
      <c r="D25" s="704" t="s">
        <v>919</v>
      </c>
      <c r="E25" s="705" t="s">
        <v>658</v>
      </c>
      <c r="F25" s="672" t="s">
        <v>649</v>
      </c>
      <c r="G25" s="672" t="s">
        <v>712</v>
      </c>
      <c r="H25" s="672" t="s">
        <v>484</v>
      </c>
      <c r="I25" s="672" t="s">
        <v>713</v>
      </c>
      <c r="J25" s="672" t="s">
        <v>714</v>
      </c>
      <c r="K25" s="672" t="s">
        <v>715</v>
      </c>
      <c r="L25" s="706">
        <v>161.16999999999999</v>
      </c>
      <c r="M25" s="706">
        <v>161.16999999999999</v>
      </c>
      <c r="N25" s="672">
        <v>1</v>
      </c>
      <c r="O25" s="707">
        <v>0.5</v>
      </c>
      <c r="P25" s="706"/>
      <c r="Q25" s="683">
        <v>0</v>
      </c>
      <c r="R25" s="672"/>
      <c r="S25" s="683">
        <v>0</v>
      </c>
      <c r="T25" s="707"/>
      <c r="U25" s="242">
        <v>0</v>
      </c>
    </row>
    <row r="26" spans="1:21" ht="14.4" customHeight="1" x14ac:dyDescent="0.3">
      <c r="A26" s="681">
        <v>22</v>
      </c>
      <c r="B26" s="672" t="s">
        <v>485</v>
      </c>
      <c r="C26" s="672">
        <v>89301222</v>
      </c>
      <c r="D26" s="704" t="s">
        <v>920</v>
      </c>
      <c r="E26" s="705" t="s">
        <v>655</v>
      </c>
      <c r="F26" s="672" t="s">
        <v>649</v>
      </c>
      <c r="G26" s="672" t="s">
        <v>716</v>
      </c>
      <c r="H26" s="672" t="s">
        <v>484</v>
      </c>
      <c r="I26" s="672" t="s">
        <v>717</v>
      </c>
      <c r="J26" s="672" t="s">
        <v>718</v>
      </c>
      <c r="K26" s="672" t="s">
        <v>719</v>
      </c>
      <c r="L26" s="706">
        <v>99.04</v>
      </c>
      <c r="M26" s="706">
        <v>99.04</v>
      </c>
      <c r="N26" s="672">
        <v>1</v>
      </c>
      <c r="O26" s="707">
        <v>0.5</v>
      </c>
      <c r="P26" s="706">
        <v>99.04</v>
      </c>
      <c r="Q26" s="683">
        <v>1</v>
      </c>
      <c r="R26" s="672">
        <v>1</v>
      </c>
      <c r="S26" s="683">
        <v>1</v>
      </c>
      <c r="T26" s="707">
        <v>0.5</v>
      </c>
      <c r="U26" s="242">
        <v>1</v>
      </c>
    </row>
    <row r="27" spans="1:21" ht="14.4" customHeight="1" x14ac:dyDescent="0.3">
      <c r="A27" s="681">
        <v>22</v>
      </c>
      <c r="B27" s="672" t="s">
        <v>485</v>
      </c>
      <c r="C27" s="672">
        <v>89301222</v>
      </c>
      <c r="D27" s="704" t="s">
        <v>920</v>
      </c>
      <c r="E27" s="705" t="s">
        <v>655</v>
      </c>
      <c r="F27" s="672" t="s">
        <v>649</v>
      </c>
      <c r="G27" s="672" t="s">
        <v>720</v>
      </c>
      <c r="H27" s="672" t="s">
        <v>484</v>
      </c>
      <c r="I27" s="672" t="s">
        <v>721</v>
      </c>
      <c r="J27" s="672" t="s">
        <v>722</v>
      </c>
      <c r="K27" s="672" t="s">
        <v>723</v>
      </c>
      <c r="L27" s="706">
        <v>0</v>
      </c>
      <c r="M27" s="706">
        <v>0</v>
      </c>
      <c r="N27" s="672">
        <v>1</v>
      </c>
      <c r="O27" s="707">
        <v>0.5</v>
      </c>
      <c r="P27" s="706"/>
      <c r="Q27" s="683"/>
      <c r="R27" s="672"/>
      <c r="S27" s="683">
        <v>0</v>
      </c>
      <c r="T27" s="707"/>
      <c r="U27" s="242">
        <v>0</v>
      </c>
    </row>
    <row r="28" spans="1:21" ht="14.4" customHeight="1" x14ac:dyDescent="0.3">
      <c r="A28" s="681">
        <v>22</v>
      </c>
      <c r="B28" s="672" t="s">
        <v>485</v>
      </c>
      <c r="C28" s="672">
        <v>89301222</v>
      </c>
      <c r="D28" s="704" t="s">
        <v>920</v>
      </c>
      <c r="E28" s="705" t="s">
        <v>655</v>
      </c>
      <c r="F28" s="672" t="s">
        <v>649</v>
      </c>
      <c r="G28" s="672" t="s">
        <v>724</v>
      </c>
      <c r="H28" s="672" t="s">
        <v>484</v>
      </c>
      <c r="I28" s="672" t="s">
        <v>725</v>
      </c>
      <c r="J28" s="672" t="s">
        <v>726</v>
      </c>
      <c r="K28" s="672" t="s">
        <v>727</v>
      </c>
      <c r="L28" s="706">
        <v>222.25</v>
      </c>
      <c r="M28" s="706">
        <v>222.25</v>
      </c>
      <c r="N28" s="672">
        <v>1</v>
      </c>
      <c r="O28" s="707">
        <v>1</v>
      </c>
      <c r="P28" s="706"/>
      <c r="Q28" s="683">
        <v>0</v>
      </c>
      <c r="R28" s="672"/>
      <c r="S28" s="683">
        <v>0</v>
      </c>
      <c r="T28" s="707"/>
      <c r="U28" s="242">
        <v>0</v>
      </c>
    </row>
    <row r="29" spans="1:21" ht="14.4" customHeight="1" x14ac:dyDescent="0.3">
      <c r="A29" s="681">
        <v>22</v>
      </c>
      <c r="B29" s="672" t="s">
        <v>485</v>
      </c>
      <c r="C29" s="672">
        <v>89301222</v>
      </c>
      <c r="D29" s="704" t="s">
        <v>920</v>
      </c>
      <c r="E29" s="705" t="s">
        <v>655</v>
      </c>
      <c r="F29" s="672" t="s">
        <v>649</v>
      </c>
      <c r="G29" s="672" t="s">
        <v>728</v>
      </c>
      <c r="H29" s="672" t="s">
        <v>484</v>
      </c>
      <c r="I29" s="672" t="s">
        <v>729</v>
      </c>
      <c r="J29" s="672" t="s">
        <v>730</v>
      </c>
      <c r="K29" s="672" t="s">
        <v>731</v>
      </c>
      <c r="L29" s="706">
        <v>0</v>
      </c>
      <c r="M29" s="706">
        <v>0</v>
      </c>
      <c r="N29" s="672">
        <v>1</v>
      </c>
      <c r="O29" s="707">
        <v>0.5</v>
      </c>
      <c r="P29" s="706"/>
      <c r="Q29" s="683"/>
      <c r="R29" s="672"/>
      <c r="S29" s="683">
        <v>0</v>
      </c>
      <c r="T29" s="707"/>
      <c r="U29" s="242">
        <v>0</v>
      </c>
    </row>
    <row r="30" spans="1:21" ht="14.4" customHeight="1" x14ac:dyDescent="0.3">
      <c r="A30" s="681">
        <v>22</v>
      </c>
      <c r="B30" s="672" t="s">
        <v>485</v>
      </c>
      <c r="C30" s="672">
        <v>89301222</v>
      </c>
      <c r="D30" s="704" t="s">
        <v>920</v>
      </c>
      <c r="E30" s="705" t="s">
        <v>655</v>
      </c>
      <c r="F30" s="672" t="s">
        <v>649</v>
      </c>
      <c r="G30" s="672" t="s">
        <v>732</v>
      </c>
      <c r="H30" s="672" t="s">
        <v>484</v>
      </c>
      <c r="I30" s="672" t="s">
        <v>733</v>
      </c>
      <c r="J30" s="672" t="s">
        <v>734</v>
      </c>
      <c r="K30" s="672" t="s">
        <v>735</v>
      </c>
      <c r="L30" s="706">
        <v>229.57</v>
      </c>
      <c r="M30" s="706">
        <v>229.57</v>
      </c>
      <c r="N30" s="672">
        <v>1</v>
      </c>
      <c r="O30" s="707">
        <v>1</v>
      </c>
      <c r="P30" s="706"/>
      <c r="Q30" s="683">
        <v>0</v>
      </c>
      <c r="R30" s="672"/>
      <c r="S30" s="683">
        <v>0</v>
      </c>
      <c r="T30" s="707"/>
      <c r="U30" s="242">
        <v>0</v>
      </c>
    </row>
    <row r="31" spans="1:21" ht="14.4" customHeight="1" x14ac:dyDescent="0.3">
      <c r="A31" s="681">
        <v>22</v>
      </c>
      <c r="B31" s="672" t="s">
        <v>485</v>
      </c>
      <c r="C31" s="672">
        <v>89301222</v>
      </c>
      <c r="D31" s="704" t="s">
        <v>920</v>
      </c>
      <c r="E31" s="705" t="s">
        <v>655</v>
      </c>
      <c r="F31" s="672" t="s">
        <v>649</v>
      </c>
      <c r="G31" s="672" t="s">
        <v>736</v>
      </c>
      <c r="H31" s="672" t="s">
        <v>484</v>
      </c>
      <c r="I31" s="672" t="s">
        <v>737</v>
      </c>
      <c r="J31" s="672" t="s">
        <v>738</v>
      </c>
      <c r="K31" s="672" t="s">
        <v>739</v>
      </c>
      <c r="L31" s="706">
        <v>39.39</v>
      </c>
      <c r="M31" s="706">
        <v>78.78</v>
      </c>
      <c r="N31" s="672">
        <v>2</v>
      </c>
      <c r="O31" s="707">
        <v>1</v>
      </c>
      <c r="P31" s="706"/>
      <c r="Q31" s="683">
        <v>0</v>
      </c>
      <c r="R31" s="672"/>
      <c r="S31" s="683">
        <v>0</v>
      </c>
      <c r="T31" s="707"/>
      <c r="U31" s="242">
        <v>0</v>
      </c>
    </row>
    <row r="32" spans="1:21" ht="14.4" customHeight="1" x14ac:dyDescent="0.3">
      <c r="A32" s="681">
        <v>22</v>
      </c>
      <c r="B32" s="672" t="s">
        <v>485</v>
      </c>
      <c r="C32" s="672">
        <v>89301222</v>
      </c>
      <c r="D32" s="704" t="s">
        <v>920</v>
      </c>
      <c r="E32" s="705" t="s">
        <v>655</v>
      </c>
      <c r="F32" s="672" t="s">
        <v>649</v>
      </c>
      <c r="G32" s="672" t="s">
        <v>740</v>
      </c>
      <c r="H32" s="672" t="s">
        <v>484</v>
      </c>
      <c r="I32" s="672" t="s">
        <v>741</v>
      </c>
      <c r="J32" s="672" t="s">
        <v>742</v>
      </c>
      <c r="K32" s="672" t="s">
        <v>743</v>
      </c>
      <c r="L32" s="706">
        <v>40.46</v>
      </c>
      <c r="M32" s="706">
        <v>40.46</v>
      </c>
      <c r="N32" s="672">
        <v>1</v>
      </c>
      <c r="O32" s="707">
        <v>1</v>
      </c>
      <c r="P32" s="706">
        <v>40.46</v>
      </c>
      <c r="Q32" s="683">
        <v>1</v>
      </c>
      <c r="R32" s="672">
        <v>1</v>
      </c>
      <c r="S32" s="683">
        <v>1</v>
      </c>
      <c r="T32" s="707">
        <v>1</v>
      </c>
      <c r="U32" s="242">
        <v>1</v>
      </c>
    </row>
    <row r="33" spans="1:21" ht="14.4" customHeight="1" x14ac:dyDescent="0.3">
      <c r="A33" s="681">
        <v>22</v>
      </c>
      <c r="B33" s="672" t="s">
        <v>485</v>
      </c>
      <c r="C33" s="672">
        <v>89301222</v>
      </c>
      <c r="D33" s="704" t="s">
        <v>920</v>
      </c>
      <c r="E33" s="705" t="s">
        <v>655</v>
      </c>
      <c r="F33" s="672" t="s">
        <v>649</v>
      </c>
      <c r="G33" s="672" t="s">
        <v>744</v>
      </c>
      <c r="H33" s="672" t="s">
        <v>484</v>
      </c>
      <c r="I33" s="672" t="s">
        <v>745</v>
      </c>
      <c r="J33" s="672" t="s">
        <v>746</v>
      </c>
      <c r="K33" s="672" t="s">
        <v>747</v>
      </c>
      <c r="L33" s="706">
        <v>96.8</v>
      </c>
      <c r="M33" s="706">
        <v>96.8</v>
      </c>
      <c r="N33" s="672">
        <v>1</v>
      </c>
      <c r="O33" s="707">
        <v>0.5</v>
      </c>
      <c r="P33" s="706">
        <v>96.8</v>
      </c>
      <c r="Q33" s="683">
        <v>1</v>
      </c>
      <c r="R33" s="672">
        <v>1</v>
      </c>
      <c r="S33" s="683">
        <v>1</v>
      </c>
      <c r="T33" s="707">
        <v>0.5</v>
      </c>
      <c r="U33" s="242">
        <v>1</v>
      </c>
    </row>
    <row r="34" spans="1:21" ht="14.4" customHeight="1" x14ac:dyDescent="0.3">
      <c r="A34" s="681">
        <v>22</v>
      </c>
      <c r="B34" s="672" t="s">
        <v>485</v>
      </c>
      <c r="C34" s="672">
        <v>89301222</v>
      </c>
      <c r="D34" s="704" t="s">
        <v>920</v>
      </c>
      <c r="E34" s="705" t="s">
        <v>655</v>
      </c>
      <c r="F34" s="672" t="s">
        <v>649</v>
      </c>
      <c r="G34" s="672" t="s">
        <v>664</v>
      </c>
      <c r="H34" s="672" t="s">
        <v>484</v>
      </c>
      <c r="I34" s="672" t="s">
        <v>665</v>
      </c>
      <c r="J34" s="672" t="s">
        <v>666</v>
      </c>
      <c r="K34" s="672"/>
      <c r="L34" s="706">
        <v>0</v>
      </c>
      <c r="M34" s="706">
        <v>0</v>
      </c>
      <c r="N34" s="672">
        <v>1</v>
      </c>
      <c r="O34" s="707">
        <v>1</v>
      </c>
      <c r="P34" s="706">
        <v>0</v>
      </c>
      <c r="Q34" s="683"/>
      <c r="R34" s="672">
        <v>1</v>
      </c>
      <c r="S34" s="683">
        <v>1</v>
      </c>
      <c r="T34" s="707">
        <v>1</v>
      </c>
      <c r="U34" s="242">
        <v>1</v>
      </c>
    </row>
    <row r="35" spans="1:21" ht="14.4" customHeight="1" x14ac:dyDescent="0.3">
      <c r="A35" s="681">
        <v>22</v>
      </c>
      <c r="B35" s="672" t="s">
        <v>485</v>
      </c>
      <c r="C35" s="672">
        <v>89301222</v>
      </c>
      <c r="D35" s="704" t="s">
        <v>920</v>
      </c>
      <c r="E35" s="705" t="s">
        <v>655</v>
      </c>
      <c r="F35" s="672" t="s">
        <v>649</v>
      </c>
      <c r="G35" s="672" t="s">
        <v>748</v>
      </c>
      <c r="H35" s="672" t="s">
        <v>484</v>
      </c>
      <c r="I35" s="672" t="s">
        <v>749</v>
      </c>
      <c r="J35" s="672" t="s">
        <v>750</v>
      </c>
      <c r="K35" s="672" t="s">
        <v>751</v>
      </c>
      <c r="L35" s="706">
        <v>0</v>
      </c>
      <c r="M35" s="706">
        <v>0</v>
      </c>
      <c r="N35" s="672">
        <v>1</v>
      </c>
      <c r="O35" s="707">
        <v>1</v>
      </c>
      <c r="P35" s="706">
        <v>0</v>
      </c>
      <c r="Q35" s="683"/>
      <c r="R35" s="672">
        <v>1</v>
      </c>
      <c r="S35" s="683">
        <v>1</v>
      </c>
      <c r="T35" s="707">
        <v>1</v>
      </c>
      <c r="U35" s="242">
        <v>1</v>
      </c>
    </row>
    <row r="36" spans="1:21" ht="14.4" customHeight="1" x14ac:dyDescent="0.3">
      <c r="A36" s="681">
        <v>22</v>
      </c>
      <c r="B36" s="672" t="s">
        <v>485</v>
      </c>
      <c r="C36" s="672">
        <v>89301222</v>
      </c>
      <c r="D36" s="704" t="s">
        <v>920</v>
      </c>
      <c r="E36" s="705" t="s">
        <v>655</v>
      </c>
      <c r="F36" s="672" t="s">
        <v>649</v>
      </c>
      <c r="G36" s="672" t="s">
        <v>667</v>
      </c>
      <c r="H36" s="672" t="s">
        <v>484</v>
      </c>
      <c r="I36" s="672" t="s">
        <v>752</v>
      </c>
      <c r="J36" s="672" t="s">
        <v>753</v>
      </c>
      <c r="K36" s="672" t="s">
        <v>754</v>
      </c>
      <c r="L36" s="706">
        <v>86.76</v>
      </c>
      <c r="M36" s="706">
        <v>173.52</v>
      </c>
      <c r="N36" s="672">
        <v>2</v>
      </c>
      <c r="O36" s="707">
        <v>1</v>
      </c>
      <c r="P36" s="706"/>
      <c r="Q36" s="683">
        <v>0</v>
      </c>
      <c r="R36" s="672"/>
      <c r="S36" s="683">
        <v>0</v>
      </c>
      <c r="T36" s="707"/>
      <c r="U36" s="242">
        <v>0</v>
      </c>
    </row>
    <row r="37" spans="1:21" ht="14.4" customHeight="1" x14ac:dyDescent="0.3">
      <c r="A37" s="681">
        <v>22</v>
      </c>
      <c r="B37" s="672" t="s">
        <v>485</v>
      </c>
      <c r="C37" s="672">
        <v>89301222</v>
      </c>
      <c r="D37" s="704" t="s">
        <v>920</v>
      </c>
      <c r="E37" s="705" t="s">
        <v>655</v>
      </c>
      <c r="F37" s="672" t="s">
        <v>649</v>
      </c>
      <c r="G37" s="672" t="s">
        <v>667</v>
      </c>
      <c r="H37" s="672" t="s">
        <v>559</v>
      </c>
      <c r="I37" s="672" t="s">
        <v>755</v>
      </c>
      <c r="J37" s="672" t="s">
        <v>756</v>
      </c>
      <c r="K37" s="672" t="s">
        <v>757</v>
      </c>
      <c r="L37" s="706">
        <v>65.069999999999993</v>
      </c>
      <c r="M37" s="706">
        <v>65.069999999999993</v>
      </c>
      <c r="N37" s="672">
        <v>1</v>
      </c>
      <c r="O37" s="707">
        <v>1</v>
      </c>
      <c r="P37" s="706"/>
      <c r="Q37" s="683">
        <v>0</v>
      </c>
      <c r="R37" s="672"/>
      <c r="S37" s="683">
        <v>0</v>
      </c>
      <c r="T37" s="707"/>
      <c r="U37" s="242">
        <v>0</v>
      </c>
    </row>
    <row r="38" spans="1:21" ht="14.4" customHeight="1" x14ac:dyDescent="0.3">
      <c r="A38" s="681">
        <v>22</v>
      </c>
      <c r="B38" s="672" t="s">
        <v>485</v>
      </c>
      <c r="C38" s="672">
        <v>89301222</v>
      </c>
      <c r="D38" s="704" t="s">
        <v>920</v>
      </c>
      <c r="E38" s="705" t="s">
        <v>655</v>
      </c>
      <c r="F38" s="672" t="s">
        <v>649</v>
      </c>
      <c r="G38" s="672" t="s">
        <v>667</v>
      </c>
      <c r="H38" s="672" t="s">
        <v>559</v>
      </c>
      <c r="I38" s="672" t="s">
        <v>671</v>
      </c>
      <c r="J38" s="672" t="s">
        <v>672</v>
      </c>
      <c r="K38" s="672" t="s">
        <v>673</v>
      </c>
      <c r="L38" s="706">
        <v>108.46</v>
      </c>
      <c r="M38" s="706">
        <v>108.46</v>
      </c>
      <c r="N38" s="672">
        <v>1</v>
      </c>
      <c r="O38" s="707">
        <v>0.5</v>
      </c>
      <c r="P38" s="706"/>
      <c r="Q38" s="683">
        <v>0</v>
      </c>
      <c r="R38" s="672"/>
      <c r="S38" s="683">
        <v>0</v>
      </c>
      <c r="T38" s="707"/>
      <c r="U38" s="242">
        <v>0</v>
      </c>
    </row>
    <row r="39" spans="1:21" ht="14.4" customHeight="1" x14ac:dyDescent="0.3">
      <c r="A39" s="681">
        <v>22</v>
      </c>
      <c r="B39" s="672" t="s">
        <v>485</v>
      </c>
      <c r="C39" s="672">
        <v>89301222</v>
      </c>
      <c r="D39" s="704" t="s">
        <v>920</v>
      </c>
      <c r="E39" s="705" t="s">
        <v>655</v>
      </c>
      <c r="F39" s="672" t="s">
        <v>649</v>
      </c>
      <c r="G39" s="672" t="s">
        <v>667</v>
      </c>
      <c r="H39" s="672" t="s">
        <v>484</v>
      </c>
      <c r="I39" s="672" t="s">
        <v>758</v>
      </c>
      <c r="J39" s="672" t="s">
        <v>759</v>
      </c>
      <c r="K39" s="672" t="s">
        <v>760</v>
      </c>
      <c r="L39" s="706">
        <v>65.069999999999993</v>
      </c>
      <c r="M39" s="706">
        <v>195.20999999999998</v>
      </c>
      <c r="N39" s="672">
        <v>3</v>
      </c>
      <c r="O39" s="707">
        <v>1.5</v>
      </c>
      <c r="P39" s="706"/>
      <c r="Q39" s="683">
        <v>0</v>
      </c>
      <c r="R39" s="672"/>
      <c r="S39" s="683">
        <v>0</v>
      </c>
      <c r="T39" s="707"/>
      <c r="U39" s="242">
        <v>0</v>
      </c>
    </row>
    <row r="40" spans="1:21" ht="14.4" customHeight="1" x14ac:dyDescent="0.3">
      <c r="A40" s="681">
        <v>22</v>
      </c>
      <c r="B40" s="672" t="s">
        <v>485</v>
      </c>
      <c r="C40" s="672">
        <v>89301222</v>
      </c>
      <c r="D40" s="704" t="s">
        <v>920</v>
      </c>
      <c r="E40" s="705" t="s">
        <v>655</v>
      </c>
      <c r="F40" s="672" t="s">
        <v>649</v>
      </c>
      <c r="G40" s="672" t="s">
        <v>667</v>
      </c>
      <c r="H40" s="672" t="s">
        <v>484</v>
      </c>
      <c r="I40" s="672" t="s">
        <v>761</v>
      </c>
      <c r="J40" s="672" t="s">
        <v>762</v>
      </c>
      <c r="K40" s="672" t="s">
        <v>763</v>
      </c>
      <c r="L40" s="706">
        <v>108.46</v>
      </c>
      <c r="M40" s="706">
        <v>216.92</v>
      </c>
      <c r="N40" s="672">
        <v>2</v>
      </c>
      <c r="O40" s="707">
        <v>1.5</v>
      </c>
      <c r="P40" s="706">
        <v>216.92</v>
      </c>
      <c r="Q40" s="683">
        <v>1</v>
      </c>
      <c r="R40" s="672">
        <v>2</v>
      </c>
      <c r="S40" s="683">
        <v>1</v>
      </c>
      <c r="T40" s="707">
        <v>1.5</v>
      </c>
      <c r="U40" s="242">
        <v>1</v>
      </c>
    </row>
    <row r="41" spans="1:21" ht="14.4" customHeight="1" x14ac:dyDescent="0.3">
      <c r="A41" s="681">
        <v>22</v>
      </c>
      <c r="B41" s="672" t="s">
        <v>485</v>
      </c>
      <c r="C41" s="672">
        <v>89301222</v>
      </c>
      <c r="D41" s="704" t="s">
        <v>920</v>
      </c>
      <c r="E41" s="705" t="s">
        <v>655</v>
      </c>
      <c r="F41" s="672" t="s">
        <v>649</v>
      </c>
      <c r="G41" s="672" t="s">
        <v>667</v>
      </c>
      <c r="H41" s="672" t="s">
        <v>559</v>
      </c>
      <c r="I41" s="672" t="s">
        <v>674</v>
      </c>
      <c r="J41" s="672" t="s">
        <v>675</v>
      </c>
      <c r="K41" s="672" t="s">
        <v>676</v>
      </c>
      <c r="L41" s="706">
        <v>130.15</v>
      </c>
      <c r="M41" s="706">
        <v>2342.6999999999998</v>
      </c>
      <c r="N41" s="672">
        <v>18</v>
      </c>
      <c r="O41" s="707">
        <v>11</v>
      </c>
      <c r="P41" s="706">
        <v>780.9</v>
      </c>
      <c r="Q41" s="683">
        <v>0.33333333333333337</v>
      </c>
      <c r="R41" s="672">
        <v>6</v>
      </c>
      <c r="S41" s="683">
        <v>0.33333333333333331</v>
      </c>
      <c r="T41" s="707">
        <v>3</v>
      </c>
      <c r="U41" s="242">
        <v>0.27272727272727271</v>
      </c>
    </row>
    <row r="42" spans="1:21" ht="14.4" customHeight="1" x14ac:dyDescent="0.3">
      <c r="A42" s="681">
        <v>22</v>
      </c>
      <c r="B42" s="672" t="s">
        <v>485</v>
      </c>
      <c r="C42" s="672">
        <v>89301222</v>
      </c>
      <c r="D42" s="704" t="s">
        <v>920</v>
      </c>
      <c r="E42" s="705" t="s">
        <v>655</v>
      </c>
      <c r="F42" s="672" t="s">
        <v>649</v>
      </c>
      <c r="G42" s="672" t="s">
        <v>667</v>
      </c>
      <c r="H42" s="672" t="s">
        <v>559</v>
      </c>
      <c r="I42" s="672" t="s">
        <v>697</v>
      </c>
      <c r="J42" s="672" t="s">
        <v>698</v>
      </c>
      <c r="K42" s="672" t="s">
        <v>699</v>
      </c>
      <c r="L42" s="706">
        <v>86.76</v>
      </c>
      <c r="M42" s="706">
        <v>1648.44</v>
      </c>
      <c r="N42" s="672">
        <v>19</v>
      </c>
      <c r="O42" s="707">
        <v>10.5</v>
      </c>
      <c r="P42" s="706">
        <v>607.32000000000005</v>
      </c>
      <c r="Q42" s="683">
        <v>0.36842105263157898</v>
      </c>
      <c r="R42" s="672">
        <v>7</v>
      </c>
      <c r="S42" s="683">
        <v>0.36842105263157893</v>
      </c>
      <c r="T42" s="707">
        <v>4</v>
      </c>
      <c r="U42" s="242">
        <v>0.38095238095238093</v>
      </c>
    </row>
    <row r="43" spans="1:21" ht="14.4" customHeight="1" x14ac:dyDescent="0.3">
      <c r="A43" s="681">
        <v>22</v>
      </c>
      <c r="B43" s="672" t="s">
        <v>485</v>
      </c>
      <c r="C43" s="672">
        <v>89301222</v>
      </c>
      <c r="D43" s="704" t="s">
        <v>920</v>
      </c>
      <c r="E43" s="705" t="s">
        <v>655</v>
      </c>
      <c r="F43" s="672" t="s">
        <v>649</v>
      </c>
      <c r="G43" s="672" t="s">
        <v>667</v>
      </c>
      <c r="H43" s="672" t="s">
        <v>484</v>
      </c>
      <c r="I43" s="672" t="s">
        <v>677</v>
      </c>
      <c r="J43" s="672" t="s">
        <v>678</v>
      </c>
      <c r="K43" s="672" t="s">
        <v>676</v>
      </c>
      <c r="L43" s="706">
        <v>130.15</v>
      </c>
      <c r="M43" s="706">
        <v>650.75</v>
      </c>
      <c r="N43" s="672">
        <v>5</v>
      </c>
      <c r="O43" s="707">
        <v>4</v>
      </c>
      <c r="P43" s="706"/>
      <c r="Q43" s="683">
        <v>0</v>
      </c>
      <c r="R43" s="672"/>
      <c r="S43" s="683">
        <v>0</v>
      </c>
      <c r="T43" s="707"/>
      <c r="U43" s="242">
        <v>0</v>
      </c>
    </row>
    <row r="44" spans="1:21" ht="14.4" customHeight="1" x14ac:dyDescent="0.3">
      <c r="A44" s="681">
        <v>22</v>
      </c>
      <c r="B44" s="672" t="s">
        <v>485</v>
      </c>
      <c r="C44" s="672">
        <v>89301222</v>
      </c>
      <c r="D44" s="704" t="s">
        <v>920</v>
      </c>
      <c r="E44" s="705" t="s">
        <v>655</v>
      </c>
      <c r="F44" s="672" t="s">
        <v>649</v>
      </c>
      <c r="G44" s="672" t="s">
        <v>667</v>
      </c>
      <c r="H44" s="672" t="s">
        <v>484</v>
      </c>
      <c r="I44" s="672" t="s">
        <v>679</v>
      </c>
      <c r="J44" s="672" t="s">
        <v>680</v>
      </c>
      <c r="K44" s="672" t="s">
        <v>681</v>
      </c>
      <c r="L44" s="706">
        <v>86.76</v>
      </c>
      <c r="M44" s="706">
        <v>607.32000000000005</v>
      </c>
      <c r="N44" s="672">
        <v>7</v>
      </c>
      <c r="O44" s="707">
        <v>5</v>
      </c>
      <c r="P44" s="706">
        <v>173.52</v>
      </c>
      <c r="Q44" s="683">
        <v>0.2857142857142857</v>
      </c>
      <c r="R44" s="672">
        <v>2</v>
      </c>
      <c r="S44" s="683">
        <v>0.2857142857142857</v>
      </c>
      <c r="T44" s="707">
        <v>1.5</v>
      </c>
      <c r="U44" s="242">
        <v>0.3</v>
      </c>
    </row>
    <row r="45" spans="1:21" ht="14.4" customHeight="1" x14ac:dyDescent="0.3">
      <c r="A45" s="681">
        <v>22</v>
      </c>
      <c r="B45" s="672" t="s">
        <v>485</v>
      </c>
      <c r="C45" s="672">
        <v>89301222</v>
      </c>
      <c r="D45" s="704" t="s">
        <v>920</v>
      </c>
      <c r="E45" s="705" t="s">
        <v>655</v>
      </c>
      <c r="F45" s="672" t="s">
        <v>649</v>
      </c>
      <c r="G45" s="672" t="s">
        <v>764</v>
      </c>
      <c r="H45" s="672" t="s">
        <v>484</v>
      </c>
      <c r="I45" s="672" t="s">
        <v>765</v>
      </c>
      <c r="J45" s="672" t="s">
        <v>766</v>
      </c>
      <c r="K45" s="672" t="s">
        <v>767</v>
      </c>
      <c r="L45" s="706">
        <v>60.02</v>
      </c>
      <c r="M45" s="706">
        <v>60.02</v>
      </c>
      <c r="N45" s="672">
        <v>1</v>
      </c>
      <c r="O45" s="707">
        <v>0.5</v>
      </c>
      <c r="P45" s="706"/>
      <c r="Q45" s="683">
        <v>0</v>
      </c>
      <c r="R45" s="672"/>
      <c r="S45" s="683">
        <v>0</v>
      </c>
      <c r="T45" s="707"/>
      <c r="U45" s="242">
        <v>0</v>
      </c>
    </row>
    <row r="46" spans="1:21" ht="14.4" customHeight="1" x14ac:dyDescent="0.3">
      <c r="A46" s="681">
        <v>22</v>
      </c>
      <c r="B46" s="672" t="s">
        <v>485</v>
      </c>
      <c r="C46" s="672">
        <v>89301222</v>
      </c>
      <c r="D46" s="704" t="s">
        <v>920</v>
      </c>
      <c r="E46" s="705" t="s">
        <v>655</v>
      </c>
      <c r="F46" s="672" t="s">
        <v>649</v>
      </c>
      <c r="G46" s="672" t="s">
        <v>764</v>
      </c>
      <c r="H46" s="672" t="s">
        <v>484</v>
      </c>
      <c r="I46" s="672" t="s">
        <v>768</v>
      </c>
      <c r="J46" s="672" t="s">
        <v>769</v>
      </c>
      <c r="K46" s="672" t="s">
        <v>770</v>
      </c>
      <c r="L46" s="706">
        <v>149.62</v>
      </c>
      <c r="M46" s="706">
        <v>299.24</v>
      </c>
      <c r="N46" s="672">
        <v>2</v>
      </c>
      <c r="O46" s="707">
        <v>1.5</v>
      </c>
      <c r="P46" s="706"/>
      <c r="Q46" s="683">
        <v>0</v>
      </c>
      <c r="R46" s="672"/>
      <c r="S46" s="683">
        <v>0</v>
      </c>
      <c r="T46" s="707"/>
      <c r="U46" s="242">
        <v>0</v>
      </c>
    </row>
    <row r="47" spans="1:21" ht="14.4" customHeight="1" x14ac:dyDescent="0.3">
      <c r="A47" s="681">
        <v>22</v>
      </c>
      <c r="B47" s="672" t="s">
        <v>485</v>
      </c>
      <c r="C47" s="672">
        <v>89301222</v>
      </c>
      <c r="D47" s="704" t="s">
        <v>920</v>
      </c>
      <c r="E47" s="705" t="s">
        <v>655</v>
      </c>
      <c r="F47" s="672" t="s">
        <v>649</v>
      </c>
      <c r="G47" s="672" t="s">
        <v>771</v>
      </c>
      <c r="H47" s="672" t="s">
        <v>484</v>
      </c>
      <c r="I47" s="672" t="s">
        <v>772</v>
      </c>
      <c r="J47" s="672" t="s">
        <v>773</v>
      </c>
      <c r="K47" s="672" t="s">
        <v>774</v>
      </c>
      <c r="L47" s="706">
        <v>0</v>
      </c>
      <c r="M47" s="706">
        <v>0</v>
      </c>
      <c r="N47" s="672">
        <v>1</v>
      </c>
      <c r="O47" s="707">
        <v>1</v>
      </c>
      <c r="P47" s="706">
        <v>0</v>
      </c>
      <c r="Q47" s="683"/>
      <c r="R47" s="672">
        <v>1</v>
      </c>
      <c r="S47" s="683">
        <v>1</v>
      </c>
      <c r="T47" s="707">
        <v>1</v>
      </c>
      <c r="U47" s="242">
        <v>1</v>
      </c>
    </row>
    <row r="48" spans="1:21" ht="14.4" customHeight="1" x14ac:dyDescent="0.3">
      <c r="A48" s="681">
        <v>22</v>
      </c>
      <c r="B48" s="672" t="s">
        <v>485</v>
      </c>
      <c r="C48" s="672">
        <v>89301222</v>
      </c>
      <c r="D48" s="704" t="s">
        <v>920</v>
      </c>
      <c r="E48" s="705" t="s">
        <v>655</v>
      </c>
      <c r="F48" s="672" t="s">
        <v>649</v>
      </c>
      <c r="G48" s="672" t="s">
        <v>775</v>
      </c>
      <c r="H48" s="672" t="s">
        <v>559</v>
      </c>
      <c r="I48" s="672" t="s">
        <v>776</v>
      </c>
      <c r="J48" s="672" t="s">
        <v>777</v>
      </c>
      <c r="K48" s="672" t="s">
        <v>778</v>
      </c>
      <c r="L48" s="706">
        <v>67.42</v>
      </c>
      <c r="M48" s="706">
        <v>67.42</v>
      </c>
      <c r="N48" s="672">
        <v>1</v>
      </c>
      <c r="O48" s="707">
        <v>0.5</v>
      </c>
      <c r="P48" s="706">
        <v>67.42</v>
      </c>
      <c r="Q48" s="683">
        <v>1</v>
      </c>
      <c r="R48" s="672">
        <v>1</v>
      </c>
      <c r="S48" s="683">
        <v>1</v>
      </c>
      <c r="T48" s="707">
        <v>0.5</v>
      </c>
      <c r="U48" s="242">
        <v>1</v>
      </c>
    </row>
    <row r="49" spans="1:21" ht="14.4" customHeight="1" x14ac:dyDescent="0.3">
      <c r="A49" s="681">
        <v>22</v>
      </c>
      <c r="B49" s="672" t="s">
        <v>485</v>
      </c>
      <c r="C49" s="672">
        <v>89301222</v>
      </c>
      <c r="D49" s="704" t="s">
        <v>920</v>
      </c>
      <c r="E49" s="705" t="s">
        <v>655</v>
      </c>
      <c r="F49" s="672" t="s">
        <v>649</v>
      </c>
      <c r="G49" s="672" t="s">
        <v>779</v>
      </c>
      <c r="H49" s="672" t="s">
        <v>484</v>
      </c>
      <c r="I49" s="672" t="s">
        <v>780</v>
      </c>
      <c r="J49" s="672" t="s">
        <v>781</v>
      </c>
      <c r="K49" s="672" t="s">
        <v>782</v>
      </c>
      <c r="L49" s="706">
        <v>110.25</v>
      </c>
      <c r="M49" s="706">
        <v>220.5</v>
      </c>
      <c r="N49" s="672">
        <v>2</v>
      </c>
      <c r="O49" s="707">
        <v>1</v>
      </c>
      <c r="P49" s="706"/>
      <c r="Q49" s="683">
        <v>0</v>
      </c>
      <c r="R49" s="672"/>
      <c r="S49" s="683">
        <v>0</v>
      </c>
      <c r="T49" s="707"/>
      <c r="U49" s="242">
        <v>0</v>
      </c>
    </row>
    <row r="50" spans="1:21" ht="14.4" customHeight="1" x14ac:dyDescent="0.3">
      <c r="A50" s="681">
        <v>22</v>
      </c>
      <c r="B50" s="672" t="s">
        <v>485</v>
      </c>
      <c r="C50" s="672">
        <v>89301222</v>
      </c>
      <c r="D50" s="704" t="s">
        <v>920</v>
      </c>
      <c r="E50" s="705" t="s">
        <v>655</v>
      </c>
      <c r="F50" s="672" t="s">
        <v>649</v>
      </c>
      <c r="G50" s="672" t="s">
        <v>783</v>
      </c>
      <c r="H50" s="672" t="s">
        <v>484</v>
      </c>
      <c r="I50" s="672" t="s">
        <v>784</v>
      </c>
      <c r="J50" s="672" t="s">
        <v>785</v>
      </c>
      <c r="K50" s="672" t="s">
        <v>786</v>
      </c>
      <c r="L50" s="706">
        <v>0</v>
      </c>
      <c r="M50" s="706">
        <v>0</v>
      </c>
      <c r="N50" s="672">
        <v>1</v>
      </c>
      <c r="O50" s="707">
        <v>1</v>
      </c>
      <c r="P50" s="706"/>
      <c r="Q50" s="683"/>
      <c r="R50" s="672"/>
      <c r="S50" s="683">
        <v>0</v>
      </c>
      <c r="T50" s="707"/>
      <c r="U50" s="242">
        <v>0</v>
      </c>
    </row>
    <row r="51" spans="1:21" ht="14.4" customHeight="1" x14ac:dyDescent="0.3">
      <c r="A51" s="681">
        <v>22</v>
      </c>
      <c r="B51" s="672" t="s">
        <v>485</v>
      </c>
      <c r="C51" s="672">
        <v>89301222</v>
      </c>
      <c r="D51" s="704" t="s">
        <v>920</v>
      </c>
      <c r="E51" s="705" t="s">
        <v>655</v>
      </c>
      <c r="F51" s="672" t="s">
        <v>649</v>
      </c>
      <c r="G51" s="672" t="s">
        <v>787</v>
      </c>
      <c r="H51" s="672" t="s">
        <v>484</v>
      </c>
      <c r="I51" s="672" t="s">
        <v>788</v>
      </c>
      <c r="J51" s="672" t="s">
        <v>789</v>
      </c>
      <c r="K51" s="672" t="s">
        <v>532</v>
      </c>
      <c r="L51" s="706">
        <v>0</v>
      </c>
      <c r="M51" s="706">
        <v>0</v>
      </c>
      <c r="N51" s="672">
        <v>2</v>
      </c>
      <c r="O51" s="707">
        <v>1.5</v>
      </c>
      <c r="P51" s="706">
        <v>0</v>
      </c>
      <c r="Q51" s="683"/>
      <c r="R51" s="672">
        <v>1</v>
      </c>
      <c r="S51" s="683">
        <v>0.5</v>
      </c>
      <c r="T51" s="707">
        <v>0.5</v>
      </c>
      <c r="U51" s="242">
        <v>0.33333333333333331</v>
      </c>
    </row>
    <row r="52" spans="1:21" ht="14.4" customHeight="1" x14ac:dyDescent="0.3">
      <c r="A52" s="681">
        <v>22</v>
      </c>
      <c r="B52" s="672" t="s">
        <v>485</v>
      </c>
      <c r="C52" s="672">
        <v>89301222</v>
      </c>
      <c r="D52" s="704" t="s">
        <v>920</v>
      </c>
      <c r="E52" s="705" t="s">
        <v>655</v>
      </c>
      <c r="F52" s="672" t="s">
        <v>649</v>
      </c>
      <c r="G52" s="672" t="s">
        <v>787</v>
      </c>
      <c r="H52" s="672" t="s">
        <v>484</v>
      </c>
      <c r="I52" s="672" t="s">
        <v>790</v>
      </c>
      <c r="J52" s="672" t="s">
        <v>789</v>
      </c>
      <c r="K52" s="672" t="s">
        <v>711</v>
      </c>
      <c r="L52" s="706">
        <v>0</v>
      </c>
      <c r="M52" s="706">
        <v>0</v>
      </c>
      <c r="N52" s="672">
        <v>3</v>
      </c>
      <c r="O52" s="707">
        <v>2</v>
      </c>
      <c r="P52" s="706"/>
      <c r="Q52" s="683"/>
      <c r="R52" s="672"/>
      <c r="S52" s="683">
        <v>0</v>
      </c>
      <c r="T52" s="707"/>
      <c r="U52" s="242">
        <v>0</v>
      </c>
    </row>
    <row r="53" spans="1:21" ht="14.4" customHeight="1" x14ac:dyDescent="0.3">
      <c r="A53" s="681">
        <v>22</v>
      </c>
      <c r="B53" s="672" t="s">
        <v>485</v>
      </c>
      <c r="C53" s="672">
        <v>89301222</v>
      </c>
      <c r="D53" s="704" t="s">
        <v>920</v>
      </c>
      <c r="E53" s="705" t="s">
        <v>656</v>
      </c>
      <c r="F53" s="672" t="s">
        <v>649</v>
      </c>
      <c r="G53" s="672" t="s">
        <v>686</v>
      </c>
      <c r="H53" s="672" t="s">
        <v>484</v>
      </c>
      <c r="I53" s="672" t="s">
        <v>687</v>
      </c>
      <c r="J53" s="672" t="s">
        <v>688</v>
      </c>
      <c r="K53" s="672" t="s">
        <v>689</v>
      </c>
      <c r="L53" s="706">
        <v>163.9</v>
      </c>
      <c r="M53" s="706">
        <v>491.70000000000005</v>
      </c>
      <c r="N53" s="672">
        <v>3</v>
      </c>
      <c r="O53" s="707">
        <v>0.5</v>
      </c>
      <c r="P53" s="706">
        <v>491.70000000000005</v>
      </c>
      <c r="Q53" s="683">
        <v>1</v>
      </c>
      <c r="R53" s="672">
        <v>3</v>
      </c>
      <c r="S53" s="683">
        <v>1</v>
      </c>
      <c r="T53" s="707">
        <v>0.5</v>
      </c>
      <c r="U53" s="242">
        <v>1</v>
      </c>
    </row>
    <row r="54" spans="1:21" ht="14.4" customHeight="1" x14ac:dyDescent="0.3">
      <c r="A54" s="681">
        <v>22</v>
      </c>
      <c r="B54" s="672" t="s">
        <v>485</v>
      </c>
      <c r="C54" s="672">
        <v>89301222</v>
      </c>
      <c r="D54" s="704" t="s">
        <v>920</v>
      </c>
      <c r="E54" s="705" t="s">
        <v>656</v>
      </c>
      <c r="F54" s="672" t="s">
        <v>649</v>
      </c>
      <c r="G54" s="672" t="s">
        <v>667</v>
      </c>
      <c r="H54" s="672" t="s">
        <v>484</v>
      </c>
      <c r="I54" s="672" t="s">
        <v>791</v>
      </c>
      <c r="J54" s="672" t="s">
        <v>672</v>
      </c>
      <c r="K54" s="672" t="s">
        <v>673</v>
      </c>
      <c r="L54" s="706">
        <v>108.46</v>
      </c>
      <c r="M54" s="706">
        <v>108.46</v>
      </c>
      <c r="N54" s="672">
        <v>1</v>
      </c>
      <c r="O54" s="707">
        <v>0.5</v>
      </c>
      <c r="P54" s="706">
        <v>108.46</v>
      </c>
      <c r="Q54" s="683">
        <v>1</v>
      </c>
      <c r="R54" s="672">
        <v>1</v>
      </c>
      <c r="S54" s="683">
        <v>1</v>
      </c>
      <c r="T54" s="707">
        <v>0.5</v>
      </c>
      <c r="U54" s="242">
        <v>1</v>
      </c>
    </row>
    <row r="55" spans="1:21" ht="14.4" customHeight="1" x14ac:dyDescent="0.3">
      <c r="A55" s="681">
        <v>22</v>
      </c>
      <c r="B55" s="672" t="s">
        <v>485</v>
      </c>
      <c r="C55" s="672">
        <v>89301222</v>
      </c>
      <c r="D55" s="704" t="s">
        <v>920</v>
      </c>
      <c r="E55" s="705" t="s">
        <v>656</v>
      </c>
      <c r="F55" s="672" t="s">
        <v>649</v>
      </c>
      <c r="G55" s="672" t="s">
        <v>667</v>
      </c>
      <c r="H55" s="672" t="s">
        <v>484</v>
      </c>
      <c r="I55" s="672" t="s">
        <v>792</v>
      </c>
      <c r="J55" s="672" t="s">
        <v>698</v>
      </c>
      <c r="K55" s="672" t="s">
        <v>793</v>
      </c>
      <c r="L55" s="706">
        <v>0</v>
      </c>
      <c r="M55" s="706">
        <v>0</v>
      </c>
      <c r="N55" s="672">
        <v>1</v>
      </c>
      <c r="O55" s="707">
        <v>1</v>
      </c>
      <c r="P55" s="706">
        <v>0</v>
      </c>
      <c r="Q55" s="683"/>
      <c r="R55" s="672">
        <v>1</v>
      </c>
      <c r="S55" s="683">
        <v>1</v>
      </c>
      <c r="T55" s="707">
        <v>1</v>
      </c>
      <c r="U55" s="242">
        <v>1</v>
      </c>
    </row>
    <row r="56" spans="1:21" ht="14.4" customHeight="1" x14ac:dyDescent="0.3">
      <c r="A56" s="681">
        <v>22</v>
      </c>
      <c r="B56" s="672" t="s">
        <v>485</v>
      </c>
      <c r="C56" s="672">
        <v>89301222</v>
      </c>
      <c r="D56" s="704" t="s">
        <v>920</v>
      </c>
      <c r="E56" s="705" t="s">
        <v>657</v>
      </c>
      <c r="F56" s="672" t="s">
        <v>649</v>
      </c>
      <c r="G56" s="672" t="s">
        <v>794</v>
      </c>
      <c r="H56" s="672" t="s">
        <v>484</v>
      </c>
      <c r="I56" s="672" t="s">
        <v>795</v>
      </c>
      <c r="J56" s="672" t="s">
        <v>796</v>
      </c>
      <c r="K56" s="672" t="s">
        <v>797</v>
      </c>
      <c r="L56" s="706">
        <v>418.67</v>
      </c>
      <c r="M56" s="706">
        <v>837.34</v>
      </c>
      <c r="N56" s="672">
        <v>2</v>
      </c>
      <c r="O56" s="707">
        <v>1</v>
      </c>
      <c r="P56" s="706">
        <v>837.34</v>
      </c>
      <c r="Q56" s="683">
        <v>1</v>
      </c>
      <c r="R56" s="672">
        <v>2</v>
      </c>
      <c r="S56" s="683">
        <v>1</v>
      </c>
      <c r="T56" s="707">
        <v>1</v>
      </c>
      <c r="U56" s="242">
        <v>1</v>
      </c>
    </row>
    <row r="57" spans="1:21" ht="14.4" customHeight="1" x14ac:dyDescent="0.3">
      <c r="A57" s="681">
        <v>22</v>
      </c>
      <c r="B57" s="672" t="s">
        <v>485</v>
      </c>
      <c r="C57" s="672">
        <v>89301222</v>
      </c>
      <c r="D57" s="704" t="s">
        <v>920</v>
      </c>
      <c r="E57" s="705" t="s">
        <v>657</v>
      </c>
      <c r="F57" s="672" t="s">
        <v>649</v>
      </c>
      <c r="G57" s="672" t="s">
        <v>798</v>
      </c>
      <c r="H57" s="672" t="s">
        <v>484</v>
      </c>
      <c r="I57" s="672" t="s">
        <v>616</v>
      </c>
      <c r="J57" s="672" t="s">
        <v>539</v>
      </c>
      <c r="K57" s="672" t="s">
        <v>617</v>
      </c>
      <c r="L57" s="706">
        <v>0</v>
      </c>
      <c r="M57" s="706">
        <v>0</v>
      </c>
      <c r="N57" s="672">
        <v>1</v>
      </c>
      <c r="O57" s="707">
        <v>0.5</v>
      </c>
      <c r="P57" s="706">
        <v>0</v>
      </c>
      <c r="Q57" s="683"/>
      <c r="R57" s="672">
        <v>1</v>
      </c>
      <c r="S57" s="683">
        <v>1</v>
      </c>
      <c r="T57" s="707">
        <v>0.5</v>
      </c>
      <c r="U57" s="242">
        <v>1</v>
      </c>
    </row>
    <row r="58" spans="1:21" ht="14.4" customHeight="1" x14ac:dyDescent="0.3">
      <c r="A58" s="681">
        <v>22</v>
      </c>
      <c r="B58" s="672" t="s">
        <v>485</v>
      </c>
      <c r="C58" s="672">
        <v>89301222</v>
      </c>
      <c r="D58" s="704" t="s">
        <v>920</v>
      </c>
      <c r="E58" s="705" t="s">
        <v>657</v>
      </c>
      <c r="F58" s="672" t="s">
        <v>649</v>
      </c>
      <c r="G58" s="672" t="s">
        <v>664</v>
      </c>
      <c r="H58" s="672" t="s">
        <v>484</v>
      </c>
      <c r="I58" s="672" t="s">
        <v>665</v>
      </c>
      <c r="J58" s="672" t="s">
        <v>666</v>
      </c>
      <c r="K58" s="672"/>
      <c r="L58" s="706">
        <v>0</v>
      </c>
      <c r="M58" s="706">
        <v>0</v>
      </c>
      <c r="N58" s="672">
        <v>4</v>
      </c>
      <c r="O58" s="707">
        <v>4</v>
      </c>
      <c r="P58" s="706">
        <v>0</v>
      </c>
      <c r="Q58" s="683"/>
      <c r="R58" s="672">
        <v>4</v>
      </c>
      <c r="S58" s="683">
        <v>1</v>
      </c>
      <c r="T58" s="707">
        <v>4</v>
      </c>
      <c r="U58" s="242">
        <v>1</v>
      </c>
    </row>
    <row r="59" spans="1:21" ht="14.4" customHeight="1" x14ac:dyDescent="0.3">
      <c r="A59" s="681">
        <v>22</v>
      </c>
      <c r="B59" s="672" t="s">
        <v>485</v>
      </c>
      <c r="C59" s="672">
        <v>89301222</v>
      </c>
      <c r="D59" s="704" t="s">
        <v>920</v>
      </c>
      <c r="E59" s="705" t="s">
        <v>657</v>
      </c>
      <c r="F59" s="672" t="s">
        <v>649</v>
      </c>
      <c r="G59" s="672" t="s">
        <v>799</v>
      </c>
      <c r="H59" s="672" t="s">
        <v>484</v>
      </c>
      <c r="I59" s="672" t="s">
        <v>800</v>
      </c>
      <c r="J59" s="672" t="s">
        <v>801</v>
      </c>
      <c r="K59" s="672" t="s">
        <v>802</v>
      </c>
      <c r="L59" s="706">
        <v>0</v>
      </c>
      <c r="M59" s="706">
        <v>0</v>
      </c>
      <c r="N59" s="672">
        <v>1</v>
      </c>
      <c r="O59" s="707">
        <v>0.5</v>
      </c>
      <c r="P59" s="706"/>
      <c r="Q59" s="683"/>
      <c r="R59" s="672"/>
      <c r="S59" s="683">
        <v>0</v>
      </c>
      <c r="T59" s="707"/>
      <c r="U59" s="242">
        <v>0</v>
      </c>
    </row>
    <row r="60" spans="1:21" ht="14.4" customHeight="1" x14ac:dyDescent="0.3">
      <c r="A60" s="681">
        <v>22</v>
      </c>
      <c r="B60" s="672" t="s">
        <v>485</v>
      </c>
      <c r="C60" s="672">
        <v>89301222</v>
      </c>
      <c r="D60" s="704" t="s">
        <v>920</v>
      </c>
      <c r="E60" s="705" t="s">
        <v>657</v>
      </c>
      <c r="F60" s="672" t="s">
        <v>649</v>
      </c>
      <c r="G60" s="672" t="s">
        <v>803</v>
      </c>
      <c r="H60" s="672" t="s">
        <v>484</v>
      </c>
      <c r="I60" s="672" t="s">
        <v>804</v>
      </c>
      <c r="J60" s="672" t="s">
        <v>805</v>
      </c>
      <c r="K60" s="672" t="s">
        <v>806</v>
      </c>
      <c r="L60" s="706">
        <v>91.14</v>
      </c>
      <c r="M60" s="706">
        <v>273.42</v>
      </c>
      <c r="N60" s="672">
        <v>3</v>
      </c>
      <c r="O60" s="707">
        <v>0.5</v>
      </c>
      <c r="P60" s="706"/>
      <c r="Q60" s="683">
        <v>0</v>
      </c>
      <c r="R60" s="672"/>
      <c r="S60" s="683">
        <v>0</v>
      </c>
      <c r="T60" s="707"/>
      <c r="U60" s="242">
        <v>0</v>
      </c>
    </row>
    <row r="61" spans="1:21" ht="14.4" customHeight="1" x14ac:dyDescent="0.3">
      <c r="A61" s="681">
        <v>22</v>
      </c>
      <c r="B61" s="672" t="s">
        <v>485</v>
      </c>
      <c r="C61" s="672">
        <v>89301222</v>
      </c>
      <c r="D61" s="704" t="s">
        <v>920</v>
      </c>
      <c r="E61" s="705" t="s">
        <v>657</v>
      </c>
      <c r="F61" s="672" t="s">
        <v>649</v>
      </c>
      <c r="G61" s="672" t="s">
        <v>667</v>
      </c>
      <c r="H61" s="672" t="s">
        <v>484</v>
      </c>
      <c r="I61" s="672" t="s">
        <v>668</v>
      </c>
      <c r="J61" s="672" t="s">
        <v>669</v>
      </c>
      <c r="K61" s="672" t="s">
        <v>670</v>
      </c>
      <c r="L61" s="706">
        <v>0</v>
      </c>
      <c r="M61" s="706">
        <v>0</v>
      </c>
      <c r="N61" s="672">
        <v>2</v>
      </c>
      <c r="O61" s="707">
        <v>1.5</v>
      </c>
      <c r="P61" s="706">
        <v>0</v>
      </c>
      <c r="Q61" s="683"/>
      <c r="R61" s="672">
        <v>1</v>
      </c>
      <c r="S61" s="683">
        <v>0.5</v>
      </c>
      <c r="T61" s="707">
        <v>0.5</v>
      </c>
      <c r="U61" s="242">
        <v>0.33333333333333331</v>
      </c>
    </row>
    <row r="62" spans="1:21" ht="14.4" customHeight="1" x14ac:dyDescent="0.3">
      <c r="A62" s="681">
        <v>22</v>
      </c>
      <c r="B62" s="672" t="s">
        <v>485</v>
      </c>
      <c r="C62" s="672">
        <v>89301222</v>
      </c>
      <c r="D62" s="704" t="s">
        <v>920</v>
      </c>
      <c r="E62" s="705" t="s">
        <v>657</v>
      </c>
      <c r="F62" s="672" t="s">
        <v>649</v>
      </c>
      <c r="G62" s="672" t="s">
        <v>667</v>
      </c>
      <c r="H62" s="672" t="s">
        <v>484</v>
      </c>
      <c r="I62" s="672" t="s">
        <v>807</v>
      </c>
      <c r="J62" s="672" t="s">
        <v>808</v>
      </c>
      <c r="K62" s="672" t="s">
        <v>809</v>
      </c>
      <c r="L62" s="706">
        <v>0</v>
      </c>
      <c r="M62" s="706">
        <v>0</v>
      </c>
      <c r="N62" s="672">
        <v>1</v>
      </c>
      <c r="O62" s="707">
        <v>0.5</v>
      </c>
      <c r="P62" s="706"/>
      <c r="Q62" s="683"/>
      <c r="R62" s="672"/>
      <c r="S62" s="683">
        <v>0</v>
      </c>
      <c r="T62" s="707"/>
      <c r="U62" s="242">
        <v>0</v>
      </c>
    </row>
    <row r="63" spans="1:21" ht="14.4" customHeight="1" x14ac:dyDescent="0.3">
      <c r="A63" s="681">
        <v>22</v>
      </c>
      <c r="B63" s="672" t="s">
        <v>485</v>
      </c>
      <c r="C63" s="672">
        <v>89301222</v>
      </c>
      <c r="D63" s="704" t="s">
        <v>920</v>
      </c>
      <c r="E63" s="705" t="s">
        <v>657</v>
      </c>
      <c r="F63" s="672" t="s">
        <v>649</v>
      </c>
      <c r="G63" s="672" t="s">
        <v>667</v>
      </c>
      <c r="H63" s="672" t="s">
        <v>484</v>
      </c>
      <c r="I63" s="672" t="s">
        <v>810</v>
      </c>
      <c r="J63" s="672" t="s">
        <v>808</v>
      </c>
      <c r="K63" s="672" t="s">
        <v>811</v>
      </c>
      <c r="L63" s="706">
        <v>173.54</v>
      </c>
      <c r="M63" s="706">
        <v>173.54</v>
      </c>
      <c r="N63" s="672">
        <v>1</v>
      </c>
      <c r="O63" s="707">
        <v>1</v>
      </c>
      <c r="P63" s="706"/>
      <c r="Q63" s="683">
        <v>0</v>
      </c>
      <c r="R63" s="672"/>
      <c r="S63" s="683">
        <v>0</v>
      </c>
      <c r="T63" s="707"/>
      <c r="U63" s="242">
        <v>0</v>
      </c>
    </row>
    <row r="64" spans="1:21" ht="14.4" customHeight="1" x14ac:dyDescent="0.3">
      <c r="A64" s="681">
        <v>22</v>
      </c>
      <c r="B64" s="672" t="s">
        <v>485</v>
      </c>
      <c r="C64" s="672">
        <v>89301222</v>
      </c>
      <c r="D64" s="704" t="s">
        <v>920</v>
      </c>
      <c r="E64" s="705" t="s">
        <v>657</v>
      </c>
      <c r="F64" s="672" t="s">
        <v>649</v>
      </c>
      <c r="G64" s="672" t="s">
        <v>667</v>
      </c>
      <c r="H64" s="672" t="s">
        <v>484</v>
      </c>
      <c r="I64" s="672" t="s">
        <v>752</v>
      </c>
      <c r="J64" s="672" t="s">
        <v>753</v>
      </c>
      <c r="K64" s="672" t="s">
        <v>754</v>
      </c>
      <c r="L64" s="706">
        <v>86.76</v>
      </c>
      <c r="M64" s="706">
        <v>867.60000000000014</v>
      </c>
      <c r="N64" s="672">
        <v>10</v>
      </c>
      <c r="O64" s="707">
        <v>5</v>
      </c>
      <c r="P64" s="706">
        <v>520.56000000000006</v>
      </c>
      <c r="Q64" s="683">
        <v>0.6</v>
      </c>
      <c r="R64" s="672">
        <v>6</v>
      </c>
      <c r="S64" s="683">
        <v>0.6</v>
      </c>
      <c r="T64" s="707">
        <v>3</v>
      </c>
      <c r="U64" s="242">
        <v>0.6</v>
      </c>
    </row>
    <row r="65" spans="1:21" ht="14.4" customHeight="1" x14ac:dyDescent="0.3">
      <c r="A65" s="681">
        <v>22</v>
      </c>
      <c r="B65" s="672" t="s">
        <v>485</v>
      </c>
      <c r="C65" s="672">
        <v>89301222</v>
      </c>
      <c r="D65" s="704" t="s">
        <v>920</v>
      </c>
      <c r="E65" s="705" t="s">
        <v>657</v>
      </c>
      <c r="F65" s="672" t="s">
        <v>649</v>
      </c>
      <c r="G65" s="672" t="s">
        <v>667</v>
      </c>
      <c r="H65" s="672" t="s">
        <v>559</v>
      </c>
      <c r="I65" s="672" t="s">
        <v>755</v>
      </c>
      <c r="J65" s="672" t="s">
        <v>756</v>
      </c>
      <c r="K65" s="672" t="s">
        <v>757</v>
      </c>
      <c r="L65" s="706">
        <v>65.069999999999993</v>
      </c>
      <c r="M65" s="706">
        <v>65.069999999999993</v>
      </c>
      <c r="N65" s="672">
        <v>1</v>
      </c>
      <c r="O65" s="707">
        <v>0.5</v>
      </c>
      <c r="P65" s="706"/>
      <c r="Q65" s="683">
        <v>0</v>
      </c>
      <c r="R65" s="672"/>
      <c r="S65" s="683">
        <v>0</v>
      </c>
      <c r="T65" s="707"/>
      <c r="U65" s="242">
        <v>0</v>
      </c>
    </row>
    <row r="66" spans="1:21" ht="14.4" customHeight="1" x14ac:dyDescent="0.3">
      <c r="A66" s="681">
        <v>22</v>
      </c>
      <c r="B66" s="672" t="s">
        <v>485</v>
      </c>
      <c r="C66" s="672">
        <v>89301222</v>
      </c>
      <c r="D66" s="704" t="s">
        <v>920</v>
      </c>
      <c r="E66" s="705" t="s">
        <v>657</v>
      </c>
      <c r="F66" s="672" t="s">
        <v>649</v>
      </c>
      <c r="G66" s="672" t="s">
        <v>667</v>
      </c>
      <c r="H66" s="672" t="s">
        <v>559</v>
      </c>
      <c r="I66" s="672" t="s">
        <v>671</v>
      </c>
      <c r="J66" s="672" t="s">
        <v>672</v>
      </c>
      <c r="K66" s="672" t="s">
        <v>673</v>
      </c>
      <c r="L66" s="706">
        <v>108.46</v>
      </c>
      <c r="M66" s="706">
        <v>108.46</v>
      </c>
      <c r="N66" s="672">
        <v>1</v>
      </c>
      <c r="O66" s="707">
        <v>0.5</v>
      </c>
      <c r="P66" s="706">
        <v>108.46</v>
      </c>
      <c r="Q66" s="683">
        <v>1</v>
      </c>
      <c r="R66" s="672">
        <v>1</v>
      </c>
      <c r="S66" s="683">
        <v>1</v>
      </c>
      <c r="T66" s="707">
        <v>0.5</v>
      </c>
      <c r="U66" s="242">
        <v>1</v>
      </c>
    </row>
    <row r="67" spans="1:21" ht="14.4" customHeight="1" x14ac:dyDescent="0.3">
      <c r="A67" s="681">
        <v>22</v>
      </c>
      <c r="B67" s="672" t="s">
        <v>485</v>
      </c>
      <c r="C67" s="672">
        <v>89301222</v>
      </c>
      <c r="D67" s="704" t="s">
        <v>920</v>
      </c>
      <c r="E67" s="705" t="s">
        <v>657</v>
      </c>
      <c r="F67" s="672" t="s">
        <v>649</v>
      </c>
      <c r="G67" s="672" t="s">
        <v>667</v>
      </c>
      <c r="H67" s="672" t="s">
        <v>484</v>
      </c>
      <c r="I67" s="672" t="s">
        <v>758</v>
      </c>
      <c r="J67" s="672" t="s">
        <v>759</v>
      </c>
      <c r="K67" s="672" t="s">
        <v>760</v>
      </c>
      <c r="L67" s="706">
        <v>65.069999999999993</v>
      </c>
      <c r="M67" s="706">
        <v>65.069999999999993</v>
      </c>
      <c r="N67" s="672">
        <v>1</v>
      </c>
      <c r="O67" s="707">
        <v>0.5</v>
      </c>
      <c r="P67" s="706"/>
      <c r="Q67" s="683">
        <v>0</v>
      </c>
      <c r="R67" s="672"/>
      <c r="S67" s="683">
        <v>0</v>
      </c>
      <c r="T67" s="707"/>
      <c r="U67" s="242">
        <v>0</v>
      </c>
    </row>
    <row r="68" spans="1:21" ht="14.4" customHeight="1" x14ac:dyDescent="0.3">
      <c r="A68" s="681">
        <v>22</v>
      </c>
      <c r="B68" s="672" t="s">
        <v>485</v>
      </c>
      <c r="C68" s="672">
        <v>89301222</v>
      </c>
      <c r="D68" s="704" t="s">
        <v>920</v>
      </c>
      <c r="E68" s="705" t="s">
        <v>657</v>
      </c>
      <c r="F68" s="672" t="s">
        <v>649</v>
      </c>
      <c r="G68" s="672" t="s">
        <v>667</v>
      </c>
      <c r="H68" s="672" t="s">
        <v>559</v>
      </c>
      <c r="I68" s="672" t="s">
        <v>674</v>
      </c>
      <c r="J68" s="672" t="s">
        <v>675</v>
      </c>
      <c r="K68" s="672" t="s">
        <v>676</v>
      </c>
      <c r="L68" s="706">
        <v>130.15</v>
      </c>
      <c r="M68" s="706">
        <v>1822.1000000000001</v>
      </c>
      <c r="N68" s="672">
        <v>14</v>
      </c>
      <c r="O68" s="707">
        <v>9.5</v>
      </c>
      <c r="P68" s="706">
        <v>390.45000000000005</v>
      </c>
      <c r="Q68" s="683">
        <v>0.2142857142857143</v>
      </c>
      <c r="R68" s="672">
        <v>3</v>
      </c>
      <c r="S68" s="683">
        <v>0.21428571428571427</v>
      </c>
      <c r="T68" s="707">
        <v>2</v>
      </c>
      <c r="U68" s="242">
        <v>0.21052631578947367</v>
      </c>
    </row>
    <row r="69" spans="1:21" ht="14.4" customHeight="1" x14ac:dyDescent="0.3">
      <c r="A69" s="681">
        <v>22</v>
      </c>
      <c r="B69" s="672" t="s">
        <v>485</v>
      </c>
      <c r="C69" s="672">
        <v>89301222</v>
      </c>
      <c r="D69" s="704" t="s">
        <v>920</v>
      </c>
      <c r="E69" s="705" t="s">
        <v>657</v>
      </c>
      <c r="F69" s="672" t="s">
        <v>649</v>
      </c>
      <c r="G69" s="672" t="s">
        <v>667</v>
      </c>
      <c r="H69" s="672" t="s">
        <v>559</v>
      </c>
      <c r="I69" s="672" t="s">
        <v>697</v>
      </c>
      <c r="J69" s="672" t="s">
        <v>698</v>
      </c>
      <c r="K69" s="672" t="s">
        <v>699</v>
      </c>
      <c r="L69" s="706">
        <v>86.76</v>
      </c>
      <c r="M69" s="706">
        <v>954.36</v>
      </c>
      <c r="N69" s="672">
        <v>11</v>
      </c>
      <c r="O69" s="707">
        <v>6</v>
      </c>
      <c r="P69" s="706">
        <v>173.52</v>
      </c>
      <c r="Q69" s="683">
        <v>0.18181818181818182</v>
      </c>
      <c r="R69" s="672">
        <v>2</v>
      </c>
      <c r="S69" s="683">
        <v>0.18181818181818182</v>
      </c>
      <c r="T69" s="707">
        <v>1.5</v>
      </c>
      <c r="U69" s="242">
        <v>0.25</v>
      </c>
    </row>
    <row r="70" spans="1:21" ht="14.4" customHeight="1" x14ac:dyDescent="0.3">
      <c r="A70" s="681">
        <v>22</v>
      </c>
      <c r="B70" s="672" t="s">
        <v>485</v>
      </c>
      <c r="C70" s="672">
        <v>89301222</v>
      </c>
      <c r="D70" s="704" t="s">
        <v>920</v>
      </c>
      <c r="E70" s="705" t="s">
        <v>657</v>
      </c>
      <c r="F70" s="672" t="s">
        <v>649</v>
      </c>
      <c r="G70" s="672" t="s">
        <v>667</v>
      </c>
      <c r="H70" s="672" t="s">
        <v>484</v>
      </c>
      <c r="I70" s="672" t="s">
        <v>812</v>
      </c>
      <c r="J70" s="672" t="s">
        <v>813</v>
      </c>
      <c r="K70" s="672" t="s">
        <v>814</v>
      </c>
      <c r="L70" s="706">
        <v>50.57</v>
      </c>
      <c r="M70" s="706">
        <v>50.57</v>
      </c>
      <c r="N70" s="672">
        <v>1</v>
      </c>
      <c r="O70" s="707">
        <v>0.5</v>
      </c>
      <c r="P70" s="706"/>
      <c r="Q70" s="683">
        <v>0</v>
      </c>
      <c r="R70" s="672"/>
      <c r="S70" s="683">
        <v>0</v>
      </c>
      <c r="T70" s="707"/>
      <c r="U70" s="242">
        <v>0</v>
      </c>
    </row>
    <row r="71" spans="1:21" ht="14.4" customHeight="1" x14ac:dyDescent="0.3">
      <c r="A71" s="681">
        <v>22</v>
      </c>
      <c r="B71" s="672" t="s">
        <v>485</v>
      </c>
      <c r="C71" s="672">
        <v>89301222</v>
      </c>
      <c r="D71" s="704" t="s">
        <v>920</v>
      </c>
      <c r="E71" s="705" t="s">
        <v>657</v>
      </c>
      <c r="F71" s="672" t="s">
        <v>649</v>
      </c>
      <c r="G71" s="672" t="s">
        <v>667</v>
      </c>
      <c r="H71" s="672" t="s">
        <v>484</v>
      </c>
      <c r="I71" s="672" t="s">
        <v>677</v>
      </c>
      <c r="J71" s="672" t="s">
        <v>678</v>
      </c>
      <c r="K71" s="672" t="s">
        <v>676</v>
      </c>
      <c r="L71" s="706">
        <v>130.15</v>
      </c>
      <c r="M71" s="706">
        <v>260.3</v>
      </c>
      <c r="N71" s="672">
        <v>2</v>
      </c>
      <c r="O71" s="707">
        <v>1.5</v>
      </c>
      <c r="P71" s="706"/>
      <c r="Q71" s="683">
        <v>0</v>
      </c>
      <c r="R71" s="672"/>
      <c r="S71" s="683">
        <v>0</v>
      </c>
      <c r="T71" s="707"/>
      <c r="U71" s="242">
        <v>0</v>
      </c>
    </row>
    <row r="72" spans="1:21" ht="14.4" customHeight="1" x14ac:dyDescent="0.3">
      <c r="A72" s="681">
        <v>22</v>
      </c>
      <c r="B72" s="672" t="s">
        <v>485</v>
      </c>
      <c r="C72" s="672">
        <v>89301222</v>
      </c>
      <c r="D72" s="704" t="s">
        <v>920</v>
      </c>
      <c r="E72" s="705" t="s">
        <v>657</v>
      </c>
      <c r="F72" s="672" t="s">
        <v>649</v>
      </c>
      <c r="G72" s="672" t="s">
        <v>667</v>
      </c>
      <c r="H72" s="672" t="s">
        <v>484</v>
      </c>
      <c r="I72" s="672" t="s">
        <v>679</v>
      </c>
      <c r="J72" s="672" t="s">
        <v>680</v>
      </c>
      <c r="K72" s="672" t="s">
        <v>681</v>
      </c>
      <c r="L72" s="706">
        <v>86.76</v>
      </c>
      <c r="M72" s="706">
        <v>260.28000000000003</v>
      </c>
      <c r="N72" s="672">
        <v>3</v>
      </c>
      <c r="O72" s="707">
        <v>3</v>
      </c>
      <c r="P72" s="706"/>
      <c r="Q72" s="683">
        <v>0</v>
      </c>
      <c r="R72" s="672"/>
      <c r="S72" s="683">
        <v>0</v>
      </c>
      <c r="T72" s="707"/>
      <c r="U72" s="242">
        <v>0</v>
      </c>
    </row>
    <row r="73" spans="1:21" ht="14.4" customHeight="1" x14ac:dyDescent="0.3">
      <c r="A73" s="681">
        <v>22</v>
      </c>
      <c r="B73" s="672" t="s">
        <v>485</v>
      </c>
      <c r="C73" s="672">
        <v>89301222</v>
      </c>
      <c r="D73" s="704" t="s">
        <v>920</v>
      </c>
      <c r="E73" s="705" t="s">
        <v>657</v>
      </c>
      <c r="F73" s="672" t="s">
        <v>649</v>
      </c>
      <c r="G73" s="672" t="s">
        <v>815</v>
      </c>
      <c r="H73" s="672" t="s">
        <v>559</v>
      </c>
      <c r="I73" s="672" t="s">
        <v>816</v>
      </c>
      <c r="J73" s="672" t="s">
        <v>817</v>
      </c>
      <c r="K73" s="672" t="s">
        <v>818</v>
      </c>
      <c r="L73" s="706">
        <v>0</v>
      </c>
      <c r="M73" s="706">
        <v>0</v>
      </c>
      <c r="N73" s="672">
        <v>2</v>
      </c>
      <c r="O73" s="707">
        <v>0.5</v>
      </c>
      <c r="P73" s="706"/>
      <c r="Q73" s="683"/>
      <c r="R73" s="672"/>
      <c r="S73" s="683">
        <v>0</v>
      </c>
      <c r="T73" s="707"/>
      <c r="U73" s="242">
        <v>0</v>
      </c>
    </row>
    <row r="74" spans="1:21" ht="14.4" customHeight="1" x14ac:dyDescent="0.3">
      <c r="A74" s="681">
        <v>22</v>
      </c>
      <c r="B74" s="672" t="s">
        <v>485</v>
      </c>
      <c r="C74" s="672">
        <v>89301222</v>
      </c>
      <c r="D74" s="704" t="s">
        <v>920</v>
      </c>
      <c r="E74" s="705" t="s">
        <v>658</v>
      </c>
      <c r="F74" s="672" t="s">
        <v>649</v>
      </c>
      <c r="G74" s="672" t="s">
        <v>794</v>
      </c>
      <c r="H74" s="672" t="s">
        <v>484</v>
      </c>
      <c r="I74" s="672" t="s">
        <v>795</v>
      </c>
      <c r="J74" s="672" t="s">
        <v>796</v>
      </c>
      <c r="K74" s="672" t="s">
        <v>797</v>
      </c>
      <c r="L74" s="706">
        <v>418.67</v>
      </c>
      <c r="M74" s="706">
        <v>1674.68</v>
      </c>
      <c r="N74" s="672">
        <v>4</v>
      </c>
      <c r="O74" s="707">
        <v>1.5</v>
      </c>
      <c r="P74" s="706">
        <v>837.34</v>
      </c>
      <c r="Q74" s="683">
        <v>0.5</v>
      </c>
      <c r="R74" s="672">
        <v>2</v>
      </c>
      <c r="S74" s="683">
        <v>0.5</v>
      </c>
      <c r="T74" s="707">
        <v>0.5</v>
      </c>
      <c r="U74" s="242">
        <v>0.33333333333333331</v>
      </c>
    </row>
    <row r="75" spans="1:21" ht="14.4" customHeight="1" x14ac:dyDescent="0.3">
      <c r="A75" s="681">
        <v>22</v>
      </c>
      <c r="B75" s="672" t="s">
        <v>485</v>
      </c>
      <c r="C75" s="672">
        <v>89301222</v>
      </c>
      <c r="D75" s="704" t="s">
        <v>920</v>
      </c>
      <c r="E75" s="705" t="s">
        <v>658</v>
      </c>
      <c r="F75" s="672" t="s">
        <v>649</v>
      </c>
      <c r="G75" s="672" t="s">
        <v>794</v>
      </c>
      <c r="H75" s="672" t="s">
        <v>484</v>
      </c>
      <c r="I75" s="672" t="s">
        <v>819</v>
      </c>
      <c r="J75" s="672" t="s">
        <v>796</v>
      </c>
      <c r="K75" s="672" t="s">
        <v>820</v>
      </c>
      <c r="L75" s="706">
        <v>0</v>
      </c>
      <c r="M75" s="706">
        <v>0</v>
      </c>
      <c r="N75" s="672">
        <v>2</v>
      </c>
      <c r="O75" s="707">
        <v>2</v>
      </c>
      <c r="P75" s="706">
        <v>0</v>
      </c>
      <c r="Q75" s="683"/>
      <c r="R75" s="672">
        <v>2</v>
      </c>
      <c r="S75" s="683">
        <v>1</v>
      </c>
      <c r="T75" s="707">
        <v>2</v>
      </c>
      <c r="U75" s="242">
        <v>1</v>
      </c>
    </row>
    <row r="76" spans="1:21" ht="14.4" customHeight="1" x14ac:dyDescent="0.3">
      <c r="A76" s="681">
        <v>22</v>
      </c>
      <c r="B76" s="672" t="s">
        <v>485</v>
      </c>
      <c r="C76" s="672">
        <v>89301222</v>
      </c>
      <c r="D76" s="704" t="s">
        <v>920</v>
      </c>
      <c r="E76" s="705" t="s">
        <v>658</v>
      </c>
      <c r="F76" s="672" t="s">
        <v>649</v>
      </c>
      <c r="G76" s="672" t="s">
        <v>821</v>
      </c>
      <c r="H76" s="672" t="s">
        <v>559</v>
      </c>
      <c r="I76" s="672" t="s">
        <v>822</v>
      </c>
      <c r="J76" s="672" t="s">
        <v>823</v>
      </c>
      <c r="K76" s="672" t="s">
        <v>824</v>
      </c>
      <c r="L76" s="706">
        <v>435.3</v>
      </c>
      <c r="M76" s="706">
        <v>435.3</v>
      </c>
      <c r="N76" s="672">
        <v>1</v>
      </c>
      <c r="O76" s="707">
        <v>1</v>
      </c>
      <c r="P76" s="706">
        <v>435.3</v>
      </c>
      <c r="Q76" s="683">
        <v>1</v>
      </c>
      <c r="R76" s="672">
        <v>1</v>
      </c>
      <c r="S76" s="683">
        <v>1</v>
      </c>
      <c r="T76" s="707">
        <v>1</v>
      </c>
      <c r="U76" s="242">
        <v>1</v>
      </c>
    </row>
    <row r="77" spans="1:21" ht="14.4" customHeight="1" x14ac:dyDescent="0.3">
      <c r="A77" s="681">
        <v>22</v>
      </c>
      <c r="B77" s="672" t="s">
        <v>485</v>
      </c>
      <c r="C77" s="672">
        <v>89301222</v>
      </c>
      <c r="D77" s="704" t="s">
        <v>920</v>
      </c>
      <c r="E77" s="705" t="s">
        <v>658</v>
      </c>
      <c r="F77" s="672" t="s">
        <v>649</v>
      </c>
      <c r="G77" s="672" t="s">
        <v>724</v>
      </c>
      <c r="H77" s="672" t="s">
        <v>559</v>
      </c>
      <c r="I77" s="672" t="s">
        <v>825</v>
      </c>
      <c r="J77" s="672" t="s">
        <v>826</v>
      </c>
      <c r="K77" s="672" t="s">
        <v>827</v>
      </c>
      <c r="L77" s="706">
        <v>125.14</v>
      </c>
      <c r="M77" s="706">
        <v>125.14</v>
      </c>
      <c r="N77" s="672">
        <v>1</v>
      </c>
      <c r="O77" s="707">
        <v>1</v>
      </c>
      <c r="P77" s="706"/>
      <c r="Q77" s="683">
        <v>0</v>
      </c>
      <c r="R77" s="672"/>
      <c r="S77" s="683">
        <v>0</v>
      </c>
      <c r="T77" s="707"/>
      <c r="U77" s="242">
        <v>0</v>
      </c>
    </row>
    <row r="78" spans="1:21" ht="14.4" customHeight="1" x14ac:dyDescent="0.3">
      <c r="A78" s="681">
        <v>22</v>
      </c>
      <c r="B78" s="672" t="s">
        <v>485</v>
      </c>
      <c r="C78" s="672">
        <v>89301222</v>
      </c>
      <c r="D78" s="704" t="s">
        <v>920</v>
      </c>
      <c r="E78" s="705" t="s">
        <v>658</v>
      </c>
      <c r="F78" s="672" t="s">
        <v>649</v>
      </c>
      <c r="G78" s="672" t="s">
        <v>828</v>
      </c>
      <c r="H78" s="672" t="s">
        <v>484</v>
      </c>
      <c r="I78" s="672" t="s">
        <v>829</v>
      </c>
      <c r="J78" s="672" t="s">
        <v>830</v>
      </c>
      <c r="K78" s="672" t="s">
        <v>831</v>
      </c>
      <c r="L78" s="706">
        <v>224.71</v>
      </c>
      <c r="M78" s="706">
        <v>224.71</v>
      </c>
      <c r="N78" s="672">
        <v>1</v>
      </c>
      <c r="O78" s="707">
        <v>1</v>
      </c>
      <c r="P78" s="706">
        <v>224.71</v>
      </c>
      <c r="Q78" s="683">
        <v>1</v>
      </c>
      <c r="R78" s="672">
        <v>1</v>
      </c>
      <c r="S78" s="683">
        <v>1</v>
      </c>
      <c r="T78" s="707">
        <v>1</v>
      </c>
      <c r="U78" s="242">
        <v>1</v>
      </c>
    </row>
    <row r="79" spans="1:21" ht="14.4" customHeight="1" x14ac:dyDescent="0.3">
      <c r="A79" s="681">
        <v>22</v>
      </c>
      <c r="B79" s="672" t="s">
        <v>485</v>
      </c>
      <c r="C79" s="672">
        <v>89301222</v>
      </c>
      <c r="D79" s="704" t="s">
        <v>920</v>
      </c>
      <c r="E79" s="705" t="s">
        <v>658</v>
      </c>
      <c r="F79" s="672" t="s">
        <v>649</v>
      </c>
      <c r="G79" s="672" t="s">
        <v>832</v>
      </c>
      <c r="H79" s="672" t="s">
        <v>484</v>
      </c>
      <c r="I79" s="672" t="s">
        <v>833</v>
      </c>
      <c r="J79" s="672" t="s">
        <v>834</v>
      </c>
      <c r="K79" s="672" t="s">
        <v>835</v>
      </c>
      <c r="L79" s="706">
        <v>0</v>
      </c>
      <c r="M79" s="706">
        <v>0</v>
      </c>
      <c r="N79" s="672">
        <v>1</v>
      </c>
      <c r="O79" s="707">
        <v>1</v>
      </c>
      <c r="P79" s="706">
        <v>0</v>
      </c>
      <c r="Q79" s="683"/>
      <c r="R79" s="672">
        <v>1</v>
      </c>
      <c r="S79" s="683">
        <v>1</v>
      </c>
      <c r="T79" s="707">
        <v>1</v>
      </c>
      <c r="U79" s="242">
        <v>1</v>
      </c>
    </row>
    <row r="80" spans="1:21" ht="14.4" customHeight="1" x14ac:dyDescent="0.3">
      <c r="A80" s="681">
        <v>22</v>
      </c>
      <c r="B80" s="672" t="s">
        <v>485</v>
      </c>
      <c r="C80" s="672">
        <v>89301222</v>
      </c>
      <c r="D80" s="704" t="s">
        <v>920</v>
      </c>
      <c r="E80" s="705" t="s">
        <v>658</v>
      </c>
      <c r="F80" s="672" t="s">
        <v>649</v>
      </c>
      <c r="G80" s="672" t="s">
        <v>664</v>
      </c>
      <c r="H80" s="672" t="s">
        <v>484</v>
      </c>
      <c r="I80" s="672" t="s">
        <v>665</v>
      </c>
      <c r="J80" s="672" t="s">
        <v>666</v>
      </c>
      <c r="K80" s="672"/>
      <c r="L80" s="706">
        <v>0</v>
      </c>
      <c r="M80" s="706">
        <v>0</v>
      </c>
      <c r="N80" s="672">
        <v>4</v>
      </c>
      <c r="O80" s="707">
        <v>4</v>
      </c>
      <c r="P80" s="706">
        <v>0</v>
      </c>
      <c r="Q80" s="683"/>
      <c r="R80" s="672">
        <v>3</v>
      </c>
      <c r="S80" s="683">
        <v>0.75</v>
      </c>
      <c r="T80" s="707">
        <v>3</v>
      </c>
      <c r="U80" s="242">
        <v>0.75</v>
      </c>
    </row>
    <row r="81" spans="1:21" ht="14.4" customHeight="1" x14ac:dyDescent="0.3">
      <c r="A81" s="681">
        <v>22</v>
      </c>
      <c r="B81" s="672" t="s">
        <v>485</v>
      </c>
      <c r="C81" s="672">
        <v>89301222</v>
      </c>
      <c r="D81" s="704" t="s">
        <v>920</v>
      </c>
      <c r="E81" s="705" t="s">
        <v>658</v>
      </c>
      <c r="F81" s="672" t="s">
        <v>649</v>
      </c>
      <c r="G81" s="672" t="s">
        <v>748</v>
      </c>
      <c r="H81" s="672" t="s">
        <v>484</v>
      </c>
      <c r="I81" s="672" t="s">
        <v>836</v>
      </c>
      <c r="J81" s="672" t="s">
        <v>837</v>
      </c>
      <c r="K81" s="672" t="s">
        <v>751</v>
      </c>
      <c r="L81" s="706">
        <v>313.98</v>
      </c>
      <c r="M81" s="706">
        <v>313.98</v>
      </c>
      <c r="N81" s="672">
        <v>1</v>
      </c>
      <c r="O81" s="707">
        <v>1</v>
      </c>
      <c r="P81" s="706"/>
      <c r="Q81" s="683">
        <v>0</v>
      </c>
      <c r="R81" s="672"/>
      <c r="S81" s="683">
        <v>0</v>
      </c>
      <c r="T81" s="707"/>
      <c r="U81" s="242">
        <v>0</v>
      </c>
    </row>
    <row r="82" spans="1:21" ht="14.4" customHeight="1" x14ac:dyDescent="0.3">
      <c r="A82" s="681">
        <v>22</v>
      </c>
      <c r="B82" s="672" t="s">
        <v>485</v>
      </c>
      <c r="C82" s="672">
        <v>89301222</v>
      </c>
      <c r="D82" s="704" t="s">
        <v>920</v>
      </c>
      <c r="E82" s="705" t="s">
        <v>658</v>
      </c>
      <c r="F82" s="672" t="s">
        <v>649</v>
      </c>
      <c r="G82" s="672" t="s">
        <v>667</v>
      </c>
      <c r="H82" s="672" t="s">
        <v>484</v>
      </c>
      <c r="I82" s="672" t="s">
        <v>807</v>
      </c>
      <c r="J82" s="672" t="s">
        <v>808</v>
      </c>
      <c r="K82" s="672" t="s">
        <v>809</v>
      </c>
      <c r="L82" s="706">
        <v>0</v>
      </c>
      <c r="M82" s="706">
        <v>0</v>
      </c>
      <c r="N82" s="672">
        <v>1</v>
      </c>
      <c r="O82" s="707">
        <v>0.5</v>
      </c>
      <c r="P82" s="706"/>
      <c r="Q82" s="683"/>
      <c r="R82" s="672"/>
      <c r="S82" s="683">
        <v>0</v>
      </c>
      <c r="T82" s="707"/>
      <c r="U82" s="242">
        <v>0</v>
      </c>
    </row>
    <row r="83" spans="1:21" ht="14.4" customHeight="1" x14ac:dyDescent="0.3">
      <c r="A83" s="681">
        <v>22</v>
      </c>
      <c r="B83" s="672" t="s">
        <v>485</v>
      </c>
      <c r="C83" s="672">
        <v>89301222</v>
      </c>
      <c r="D83" s="704" t="s">
        <v>920</v>
      </c>
      <c r="E83" s="705" t="s">
        <v>658</v>
      </c>
      <c r="F83" s="672" t="s">
        <v>649</v>
      </c>
      <c r="G83" s="672" t="s">
        <v>667</v>
      </c>
      <c r="H83" s="672" t="s">
        <v>484</v>
      </c>
      <c r="I83" s="672" t="s">
        <v>752</v>
      </c>
      <c r="J83" s="672" t="s">
        <v>753</v>
      </c>
      <c r="K83" s="672" t="s">
        <v>754</v>
      </c>
      <c r="L83" s="706">
        <v>86.76</v>
      </c>
      <c r="M83" s="706">
        <v>347.04</v>
      </c>
      <c r="N83" s="672">
        <v>4</v>
      </c>
      <c r="O83" s="707">
        <v>3</v>
      </c>
      <c r="P83" s="706">
        <v>260.28000000000003</v>
      </c>
      <c r="Q83" s="683">
        <v>0.75</v>
      </c>
      <c r="R83" s="672">
        <v>3</v>
      </c>
      <c r="S83" s="683">
        <v>0.75</v>
      </c>
      <c r="T83" s="707">
        <v>2</v>
      </c>
      <c r="U83" s="242">
        <v>0.66666666666666663</v>
      </c>
    </row>
    <row r="84" spans="1:21" ht="14.4" customHeight="1" x14ac:dyDescent="0.3">
      <c r="A84" s="681">
        <v>22</v>
      </c>
      <c r="B84" s="672" t="s">
        <v>485</v>
      </c>
      <c r="C84" s="672">
        <v>89301222</v>
      </c>
      <c r="D84" s="704" t="s">
        <v>920</v>
      </c>
      <c r="E84" s="705" t="s">
        <v>658</v>
      </c>
      <c r="F84" s="672" t="s">
        <v>649</v>
      </c>
      <c r="G84" s="672" t="s">
        <v>667</v>
      </c>
      <c r="H84" s="672" t="s">
        <v>559</v>
      </c>
      <c r="I84" s="672" t="s">
        <v>755</v>
      </c>
      <c r="J84" s="672" t="s">
        <v>756</v>
      </c>
      <c r="K84" s="672" t="s">
        <v>757</v>
      </c>
      <c r="L84" s="706">
        <v>65.069999999999993</v>
      </c>
      <c r="M84" s="706">
        <v>195.20999999999998</v>
      </c>
      <c r="N84" s="672">
        <v>3</v>
      </c>
      <c r="O84" s="707">
        <v>2</v>
      </c>
      <c r="P84" s="706">
        <v>65.069999999999993</v>
      </c>
      <c r="Q84" s="683">
        <v>0.33333333333333331</v>
      </c>
      <c r="R84" s="672">
        <v>1</v>
      </c>
      <c r="S84" s="683">
        <v>0.33333333333333331</v>
      </c>
      <c r="T84" s="707">
        <v>0.5</v>
      </c>
      <c r="U84" s="242">
        <v>0.25</v>
      </c>
    </row>
    <row r="85" spans="1:21" ht="14.4" customHeight="1" x14ac:dyDescent="0.3">
      <c r="A85" s="681">
        <v>22</v>
      </c>
      <c r="B85" s="672" t="s">
        <v>485</v>
      </c>
      <c r="C85" s="672">
        <v>89301222</v>
      </c>
      <c r="D85" s="704" t="s">
        <v>920</v>
      </c>
      <c r="E85" s="705" t="s">
        <v>658</v>
      </c>
      <c r="F85" s="672" t="s">
        <v>649</v>
      </c>
      <c r="G85" s="672" t="s">
        <v>667</v>
      </c>
      <c r="H85" s="672" t="s">
        <v>559</v>
      </c>
      <c r="I85" s="672" t="s">
        <v>671</v>
      </c>
      <c r="J85" s="672" t="s">
        <v>672</v>
      </c>
      <c r="K85" s="672" t="s">
        <v>673</v>
      </c>
      <c r="L85" s="706">
        <v>108.46</v>
      </c>
      <c r="M85" s="706">
        <v>325.38</v>
      </c>
      <c r="N85" s="672">
        <v>3</v>
      </c>
      <c r="O85" s="707">
        <v>2.5</v>
      </c>
      <c r="P85" s="706"/>
      <c r="Q85" s="683">
        <v>0</v>
      </c>
      <c r="R85" s="672"/>
      <c r="S85" s="683">
        <v>0</v>
      </c>
      <c r="T85" s="707"/>
      <c r="U85" s="242">
        <v>0</v>
      </c>
    </row>
    <row r="86" spans="1:21" ht="14.4" customHeight="1" x14ac:dyDescent="0.3">
      <c r="A86" s="681">
        <v>22</v>
      </c>
      <c r="B86" s="672" t="s">
        <v>485</v>
      </c>
      <c r="C86" s="672">
        <v>89301222</v>
      </c>
      <c r="D86" s="704" t="s">
        <v>920</v>
      </c>
      <c r="E86" s="705" t="s">
        <v>658</v>
      </c>
      <c r="F86" s="672" t="s">
        <v>649</v>
      </c>
      <c r="G86" s="672" t="s">
        <v>667</v>
      </c>
      <c r="H86" s="672" t="s">
        <v>559</v>
      </c>
      <c r="I86" s="672" t="s">
        <v>674</v>
      </c>
      <c r="J86" s="672" t="s">
        <v>675</v>
      </c>
      <c r="K86" s="672" t="s">
        <v>676</v>
      </c>
      <c r="L86" s="706">
        <v>130.15</v>
      </c>
      <c r="M86" s="706">
        <v>3514.0500000000011</v>
      </c>
      <c r="N86" s="672">
        <v>27</v>
      </c>
      <c r="O86" s="707">
        <v>22</v>
      </c>
      <c r="P86" s="706">
        <v>1041.2</v>
      </c>
      <c r="Q86" s="683">
        <v>0.29629629629629622</v>
      </c>
      <c r="R86" s="672">
        <v>8</v>
      </c>
      <c r="S86" s="683">
        <v>0.29629629629629628</v>
      </c>
      <c r="T86" s="707">
        <v>6.5</v>
      </c>
      <c r="U86" s="242">
        <v>0.29545454545454547</v>
      </c>
    </row>
    <row r="87" spans="1:21" ht="14.4" customHeight="1" x14ac:dyDescent="0.3">
      <c r="A87" s="681">
        <v>22</v>
      </c>
      <c r="B87" s="672" t="s">
        <v>485</v>
      </c>
      <c r="C87" s="672">
        <v>89301222</v>
      </c>
      <c r="D87" s="704" t="s">
        <v>920</v>
      </c>
      <c r="E87" s="705" t="s">
        <v>658</v>
      </c>
      <c r="F87" s="672" t="s">
        <v>649</v>
      </c>
      <c r="G87" s="672" t="s">
        <v>667</v>
      </c>
      <c r="H87" s="672" t="s">
        <v>559</v>
      </c>
      <c r="I87" s="672" t="s">
        <v>838</v>
      </c>
      <c r="J87" s="672" t="s">
        <v>839</v>
      </c>
      <c r="K87" s="672" t="s">
        <v>840</v>
      </c>
      <c r="L87" s="706">
        <v>50.57</v>
      </c>
      <c r="M87" s="706">
        <v>101.14</v>
      </c>
      <c r="N87" s="672">
        <v>2</v>
      </c>
      <c r="O87" s="707">
        <v>1.5</v>
      </c>
      <c r="P87" s="706"/>
      <c r="Q87" s="683">
        <v>0</v>
      </c>
      <c r="R87" s="672"/>
      <c r="S87" s="683">
        <v>0</v>
      </c>
      <c r="T87" s="707"/>
      <c r="U87" s="242">
        <v>0</v>
      </c>
    </row>
    <row r="88" spans="1:21" ht="14.4" customHeight="1" x14ac:dyDescent="0.3">
      <c r="A88" s="681">
        <v>22</v>
      </c>
      <c r="B88" s="672" t="s">
        <v>485</v>
      </c>
      <c r="C88" s="672">
        <v>89301222</v>
      </c>
      <c r="D88" s="704" t="s">
        <v>920</v>
      </c>
      <c r="E88" s="705" t="s">
        <v>658</v>
      </c>
      <c r="F88" s="672" t="s">
        <v>649</v>
      </c>
      <c r="G88" s="672" t="s">
        <v>667</v>
      </c>
      <c r="H88" s="672" t="s">
        <v>559</v>
      </c>
      <c r="I88" s="672" t="s">
        <v>697</v>
      </c>
      <c r="J88" s="672" t="s">
        <v>698</v>
      </c>
      <c r="K88" s="672" t="s">
        <v>699</v>
      </c>
      <c r="L88" s="706">
        <v>86.76</v>
      </c>
      <c r="M88" s="706">
        <v>2255.7600000000002</v>
      </c>
      <c r="N88" s="672">
        <v>26</v>
      </c>
      <c r="O88" s="707">
        <v>18.5</v>
      </c>
      <c r="P88" s="706">
        <v>607.32000000000005</v>
      </c>
      <c r="Q88" s="683">
        <v>0.26923076923076922</v>
      </c>
      <c r="R88" s="672">
        <v>7</v>
      </c>
      <c r="S88" s="683">
        <v>0.26923076923076922</v>
      </c>
      <c r="T88" s="707">
        <v>4.5</v>
      </c>
      <c r="U88" s="242">
        <v>0.24324324324324326</v>
      </c>
    </row>
    <row r="89" spans="1:21" ht="14.4" customHeight="1" x14ac:dyDescent="0.3">
      <c r="A89" s="681">
        <v>22</v>
      </c>
      <c r="B89" s="672" t="s">
        <v>485</v>
      </c>
      <c r="C89" s="672">
        <v>89301222</v>
      </c>
      <c r="D89" s="704" t="s">
        <v>920</v>
      </c>
      <c r="E89" s="705" t="s">
        <v>658</v>
      </c>
      <c r="F89" s="672" t="s">
        <v>649</v>
      </c>
      <c r="G89" s="672" t="s">
        <v>667</v>
      </c>
      <c r="H89" s="672" t="s">
        <v>484</v>
      </c>
      <c r="I89" s="672" t="s">
        <v>677</v>
      </c>
      <c r="J89" s="672" t="s">
        <v>678</v>
      </c>
      <c r="K89" s="672" t="s">
        <v>676</v>
      </c>
      <c r="L89" s="706">
        <v>130.15</v>
      </c>
      <c r="M89" s="706">
        <v>911.05</v>
      </c>
      <c r="N89" s="672">
        <v>7</v>
      </c>
      <c r="O89" s="707">
        <v>4.5</v>
      </c>
      <c r="P89" s="706">
        <v>260.3</v>
      </c>
      <c r="Q89" s="683">
        <v>0.28571428571428575</v>
      </c>
      <c r="R89" s="672">
        <v>2</v>
      </c>
      <c r="S89" s="683">
        <v>0.2857142857142857</v>
      </c>
      <c r="T89" s="707">
        <v>1</v>
      </c>
      <c r="U89" s="242">
        <v>0.22222222222222221</v>
      </c>
    </row>
    <row r="90" spans="1:21" ht="14.4" customHeight="1" x14ac:dyDescent="0.3">
      <c r="A90" s="681">
        <v>22</v>
      </c>
      <c r="B90" s="672" t="s">
        <v>485</v>
      </c>
      <c r="C90" s="672">
        <v>89301222</v>
      </c>
      <c r="D90" s="704" t="s">
        <v>920</v>
      </c>
      <c r="E90" s="705" t="s">
        <v>658</v>
      </c>
      <c r="F90" s="672" t="s">
        <v>649</v>
      </c>
      <c r="G90" s="672" t="s">
        <v>667</v>
      </c>
      <c r="H90" s="672" t="s">
        <v>484</v>
      </c>
      <c r="I90" s="672" t="s">
        <v>679</v>
      </c>
      <c r="J90" s="672" t="s">
        <v>680</v>
      </c>
      <c r="K90" s="672" t="s">
        <v>681</v>
      </c>
      <c r="L90" s="706">
        <v>86.76</v>
      </c>
      <c r="M90" s="706">
        <v>954.36</v>
      </c>
      <c r="N90" s="672">
        <v>11</v>
      </c>
      <c r="O90" s="707">
        <v>7.5</v>
      </c>
      <c r="P90" s="706">
        <v>86.76</v>
      </c>
      <c r="Q90" s="683">
        <v>9.0909090909090912E-2</v>
      </c>
      <c r="R90" s="672">
        <v>1</v>
      </c>
      <c r="S90" s="683">
        <v>9.0909090909090912E-2</v>
      </c>
      <c r="T90" s="707">
        <v>0.5</v>
      </c>
      <c r="U90" s="242">
        <v>6.6666666666666666E-2</v>
      </c>
    </row>
    <row r="91" spans="1:21" ht="14.4" customHeight="1" x14ac:dyDescent="0.3">
      <c r="A91" s="681">
        <v>22</v>
      </c>
      <c r="B91" s="672" t="s">
        <v>485</v>
      </c>
      <c r="C91" s="672">
        <v>89301222</v>
      </c>
      <c r="D91" s="704" t="s">
        <v>920</v>
      </c>
      <c r="E91" s="705" t="s">
        <v>658</v>
      </c>
      <c r="F91" s="672" t="s">
        <v>649</v>
      </c>
      <c r="G91" s="672" t="s">
        <v>712</v>
      </c>
      <c r="H91" s="672" t="s">
        <v>484</v>
      </c>
      <c r="I91" s="672" t="s">
        <v>713</v>
      </c>
      <c r="J91" s="672" t="s">
        <v>714</v>
      </c>
      <c r="K91" s="672" t="s">
        <v>715</v>
      </c>
      <c r="L91" s="706">
        <v>161.16999999999999</v>
      </c>
      <c r="M91" s="706">
        <v>483.51</v>
      </c>
      <c r="N91" s="672">
        <v>3</v>
      </c>
      <c r="O91" s="707">
        <v>0.5</v>
      </c>
      <c r="P91" s="706">
        <v>483.51</v>
      </c>
      <c r="Q91" s="683">
        <v>1</v>
      </c>
      <c r="R91" s="672">
        <v>3</v>
      </c>
      <c r="S91" s="683">
        <v>1</v>
      </c>
      <c r="T91" s="707">
        <v>0.5</v>
      </c>
      <c r="U91" s="242">
        <v>1</v>
      </c>
    </row>
    <row r="92" spans="1:21" ht="14.4" customHeight="1" x14ac:dyDescent="0.3">
      <c r="A92" s="681">
        <v>22</v>
      </c>
      <c r="B92" s="672" t="s">
        <v>485</v>
      </c>
      <c r="C92" s="672">
        <v>89301222</v>
      </c>
      <c r="D92" s="704" t="s">
        <v>920</v>
      </c>
      <c r="E92" s="705" t="s">
        <v>658</v>
      </c>
      <c r="F92" s="672" t="s">
        <v>649</v>
      </c>
      <c r="G92" s="672" t="s">
        <v>787</v>
      </c>
      <c r="H92" s="672" t="s">
        <v>484</v>
      </c>
      <c r="I92" s="672" t="s">
        <v>790</v>
      </c>
      <c r="J92" s="672" t="s">
        <v>789</v>
      </c>
      <c r="K92" s="672" t="s">
        <v>711</v>
      </c>
      <c r="L92" s="706">
        <v>0</v>
      </c>
      <c r="M92" s="706">
        <v>0</v>
      </c>
      <c r="N92" s="672">
        <v>1</v>
      </c>
      <c r="O92" s="707">
        <v>1</v>
      </c>
      <c r="P92" s="706"/>
      <c r="Q92" s="683"/>
      <c r="R92" s="672"/>
      <c r="S92" s="683">
        <v>0</v>
      </c>
      <c r="T92" s="707"/>
      <c r="U92" s="242">
        <v>0</v>
      </c>
    </row>
    <row r="93" spans="1:21" ht="14.4" customHeight="1" x14ac:dyDescent="0.3">
      <c r="A93" s="681">
        <v>22</v>
      </c>
      <c r="B93" s="672" t="s">
        <v>485</v>
      </c>
      <c r="C93" s="672">
        <v>89301222</v>
      </c>
      <c r="D93" s="704" t="s">
        <v>920</v>
      </c>
      <c r="E93" s="705" t="s">
        <v>659</v>
      </c>
      <c r="F93" s="672" t="s">
        <v>649</v>
      </c>
      <c r="G93" s="672" t="s">
        <v>841</v>
      </c>
      <c r="H93" s="672" t="s">
        <v>559</v>
      </c>
      <c r="I93" s="672" t="s">
        <v>577</v>
      </c>
      <c r="J93" s="672" t="s">
        <v>645</v>
      </c>
      <c r="K93" s="672" t="s">
        <v>646</v>
      </c>
      <c r="L93" s="706">
        <v>333.31</v>
      </c>
      <c r="M93" s="706">
        <v>666.62</v>
      </c>
      <c r="N93" s="672">
        <v>2</v>
      </c>
      <c r="O93" s="707">
        <v>1.5</v>
      </c>
      <c r="P93" s="706">
        <v>666.62</v>
      </c>
      <c r="Q93" s="683">
        <v>1</v>
      </c>
      <c r="R93" s="672">
        <v>2</v>
      </c>
      <c r="S93" s="683">
        <v>1</v>
      </c>
      <c r="T93" s="707">
        <v>1.5</v>
      </c>
      <c r="U93" s="242">
        <v>1</v>
      </c>
    </row>
    <row r="94" spans="1:21" ht="14.4" customHeight="1" x14ac:dyDescent="0.3">
      <c r="A94" s="681">
        <v>22</v>
      </c>
      <c r="B94" s="672" t="s">
        <v>485</v>
      </c>
      <c r="C94" s="672">
        <v>89301222</v>
      </c>
      <c r="D94" s="704" t="s">
        <v>920</v>
      </c>
      <c r="E94" s="705" t="s">
        <v>659</v>
      </c>
      <c r="F94" s="672" t="s">
        <v>649</v>
      </c>
      <c r="G94" s="672" t="s">
        <v>732</v>
      </c>
      <c r="H94" s="672" t="s">
        <v>484</v>
      </c>
      <c r="I94" s="672" t="s">
        <v>733</v>
      </c>
      <c r="J94" s="672" t="s">
        <v>734</v>
      </c>
      <c r="K94" s="672" t="s">
        <v>735</v>
      </c>
      <c r="L94" s="706">
        <v>229.57</v>
      </c>
      <c r="M94" s="706">
        <v>229.57</v>
      </c>
      <c r="N94" s="672">
        <v>1</v>
      </c>
      <c r="O94" s="707">
        <v>0.5</v>
      </c>
      <c r="P94" s="706">
        <v>229.57</v>
      </c>
      <c r="Q94" s="683">
        <v>1</v>
      </c>
      <c r="R94" s="672">
        <v>1</v>
      </c>
      <c r="S94" s="683">
        <v>1</v>
      </c>
      <c r="T94" s="707">
        <v>0.5</v>
      </c>
      <c r="U94" s="242">
        <v>1</v>
      </c>
    </row>
    <row r="95" spans="1:21" ht="14.4" customHeight="1" x14ac:dyDescent="0.3">
      <c r="A95" s="681">
        <v>22</v>
      </c>
      <c r="B95" s="672" t="s">
        <v>485</v>
      </c>
      <c r="C95" s="672">
        <v>89301222</v>
      </c>
      <c r="D95" s="704" t="s">
        <v>920</v>
      </c>
      <c r="E95" s="705" t="s">
        <v>660</v>
      </c>
      <c r="F95" s="672" t="s">
        <v>649</v>
      </c>
      <c r="G95" s="672" t="s">
        <v>667</v>
      </c>
      <c r="H95" s="672" t="s">
        <v>484</v>
      </c>
      <c r="I95" s="672" t="s">
        <v>694</v>
      </c>
      <c r="J95" s="672" t="s">
        <v>695</v>
      </c>
      <c r="K95" s="672" t="s">
        <v>696</v>
      </c>
      <c r="L95" s="706">
        <v>0</v>
      </c>
      <c r="M95" s="706">
        <v>0</v>
      </c>
      <c r="N95" s="672">
        <v>1</v>
      </c>
      <c r="O95" s="707">
        <v>1</v>
      </c>
      <c r="P95" s="706"/>
      <c r="Q95" s="683"/>
      <c r="R95" s="672"/>
      <c r="S95" s="683">
        <v>0</v>
      </c>
      <c r="T95" s="707"/>
      <c r="U95" s="242">
        <v>0</v>
      </c>
    </row>
    <row r="96" spans="1:21" ht="14.4" customHeight="1" x14ac:dyDescent="0.3">
      <c r="A96" s="681">
        <v>22</v>
      </c>
      <c r="B96" s="672" t="s">
        <v>485</v>
      </c>
      <c r="C96" s="672">
        <v>89301222</v>
      </c>
      <c r="D96" s="704" t="s">
        <v>920</v>
      </c>
      <c r="E96" s="705" t="s">
        <v>661</v>
      </c>
      <c r="F96" s="672" t="s">
        <v>649</v>
      </c>
      <c r="G96" s="672" t="s">
        <v>794</v>
      </c>
      <c r="H96" s="672" t="s">
        <v>484</v>
      </c>
      <c r="I96" s="672" t="s">
        <v>819</v>
      </c>
      <c r="J96" s="672" t="s">
        <v>796</v>
      </c>
      <c r="K96" s="672" t="s">
        <v>820</v>
      </c>
      <c r="L96" s="706">
        <v>0</v>
      </c>
      <c r="M96" s="706">
        <v>0</v>
      </c>
      <c r="N96" s="672">
        <v>3</v>
      </c>
      <c r="O96" s="707">
        <v>0.5</v>
      </c>
      <c r="P96" s="706">
        <v>0</v>
      </c>
      <c r="Q96" s="683"/>
      <c r="R96" s="672">
        <v>3</v>
      </c>
      <c r="S96" s="683">
        <v>1</v>
      </c>
      <c r="T96" s="707">
        <v>0.5</v>
      </c>
      <c r="U96" s="242">
        <v>1</v>
      </c>
    </row>
    <row r="97" spans="1:21" ht="14.4" customHeight="1" x14ac:dyDescent="0.3">
      <c r="A97" s="681">
        <v>22</v>
      </c>
      <c r="B97" s="672" t="s">
        <v>485</v>
      </c>
      <c r="C97" s="672">
        <v>89301222</v>
      </c>
      <c r="D97" s="704" t="s">
        <v>920</v>
      </c>
      <c r="E97" s="705" t="s">
        <v>661</v>
      </c>
      <c r="F97" s="672" t="s">
        <v>649</v>
      </c>
      <c r="G97" s="672" t="s">
        <v>842</v>
      </c>
      <c r="H97" s="672" t="s">
        <v>484</v>
      </c>
      <c r="I97" s="672" t="s">
        <v>843</v>
      </c>
      <c r="J97" s="672" t="s">
        <v>844</v>
      </c>
      <c r="K97" s="672" t="s">
        <v>845</v>
      </c>
      <c r="L97" s="706">
        <v>47.63</v>
      </c>
      <c r="M97" s="706">
        <v>47.63</v>
      </c>
      <c r="N97" s="672">
        <v>1</v>
      </c>
      <c r="O97" s="707">
        <v>0.5</v>
      </c>
      <c r="P97" s="706">
        <v>47.63</v>
      </c>
      <c r="Q97" s="683">
        <v>1</v>
      </c>
      <c r="R97" s="672">
        <v>1</v>
      </c>
      <c r="S97" s="683">
        <v>1</v>
      </c>
      <c r="T97" s="707">
        <v>0.5</v>
      </c>
      <c r="U97" s="242">
        <v>1</v>
      </c>
    </row>
    <row r="98" spans="1:21" ht="14.4" customHeight="1" x14ac:dyDescent="0.3">
      <c r="A98" s="681">
        <v>22</v>
      </c>
      <c r="B98" s="672" t="s">
        <v>485</v>
      </c>
      <c r="C98" s="672">
        <v>89301222</v>
      </c>
      <c r="D98" s="704" t="s">
        <v>920</v>
      </c>
      <c r="E98" s="705" t="s">
        <v>661</v>
      </c>
      <c r="F98" s="672" t="s">
        <v>649</v>
      </c>
      <c r="G98" s="672" t="s">
        <v>846</v>
      </c>
      <c r="H98" s="672" t="s">
        <v>484</v>
      </c>
      <c r="I98" s="672" t="s">
        <v>847</v>
      </c>
      <c r="J98" s="672" t="s">
        <v>848</v>
      </c>
      <c r="K98" s="672" t="s">
        <v>849</v>
      </c>
      <c r="L98" s="706">
        <v>91.76</v>
      </c>
      <c r="M98" s="706">
        <v>91.76</v>
      </c>
      <c r="N98" s="672">
        <v>1</v>
      </c>
      <c r="O98" s="707">
        <v>0.5</v>
      </c>
      <c r="P98" s="706">
        <v>91.76</v>
      </c>
      <c r="Q98" s="683">
        <v>1</v>
      </c>
      <c r="R98" s="672">
        <v>1</v>
      </c>
      <c r="S98" s="683">
        <v>1</v>
      </c>
      <c r="T98" s="707">
        <v>0.5</v>
      </c>
      <c r="U98" s="242">
        <v>1</v>
      </c>
    </row>
    <row r="99" spans="1:21" ht="14.4" customHeight="1" x14ac:dyDescent="0.3">
      <c r="A99" s="681">
        <v>22</v>
      </c>
      <c r="B99" s="672" t="s">
        <v>485</v>
      </c>
      <c r="C99" s="672">
        <v>89301222</v>
      </c>
      <c r="D99" s="704" t="s">
        <v>920</v>
      </c>
      <c r="E99" s="705" t="s">
        <v>661</v>
      </c>
      <c r="F99" s="672" t="s">
        <v>649</v>
      </c>
      <c r="G99" s="672" t="s">
        <v>850</v>
      </c>
      <c r="H99" s="672" t="s">
        <v>559</v>
      </c>
      <c r="I99" s="672" t="s">
        <v>851</v>
      </c>
      <c r="J99" s="672" t="s">
        <v>852</v>
      </c>
      <c r="K99" s="672" t="s">
        <v>853</v>
      </c>
      <c r="L99" s="706">
        <v>41.89</v>
      </c>
      <c r="M99" s="706">
        <v>41.89</v>
      </c>
      <c r="N99" s="672">
        <v>1</v>
      </c>
      <c r="O99" s="707">
        <v>0.5</v>
      </c>
      <c r="P99" s="706">
        <v>41.89</v>
      </c>
      <c r="Q99" s="683">
        <v>1</v>
      </c>
      <c r="R99" s="672">
        <v>1</v>
      </c>
      <c r="S99" s="683">
        <v>1</v>
      </c>
      <c r="T99" s="707">
        <v>0.5</v>
      </c>
      <c r="U99" s="242">
        <v>1</v>
      </c>
    </row>
    <row r="100" spans="1:21" ht="14.4" customHeight="1" x14ac:dyDescent="0.3">
      <c r="A100" s="681">
        <v>22</v>
      </c>
      <c r="B100" s="672" t="s">
        <v>485</v>
      </c>
      <c r="C100" s="672">
        <v>89301222</v>
      </c>
      <c r="D100" s="704" t="s">
        <v>920</v>
      </c>
      <c r="E100" s="705" t="s">
        <v>661</v>
      </c>
      <c r="F100" s="672" t="s">
        <v>649</v>
      </c>
      <c r="G100" s="672" t="s">
        <v>854</v>
      </c>
      <c r="H100" s="672" t="s">
        <v>484</v>
      </c>
      <c r="I100" s="672" t="s">
        <v>855</v>
      </c>
      <c r="J100" s="672" t="s">
        <v>856</v>
      </c>
      <c r="K100" s="672" t="s">
        <v>857</v>
      </c>
      <c r="L100" s="706">
        <v>31.43</v>
      </c>
      <c r="M100" s="706">
        <v>94.289999999999992</v>
      </c>
      <c r="N100" s="672">
        <v>3</v>
      </c>
      <c r="O100" s="707">
        <v>0.5</v>
      </c>
      <c r="P100" s="706"/>
      <c r="Q100" s="683">
        <v>0</v>
      </c>
      <c r="R100" s="672"/>
      <c r="S100" s="683">
        <v>0</v>
      </c>
      <c r="T100" s="707"/>
      <c r="U100" s="242">
        <v>0</v>
      </c>
    </row>
    <row r="101" spans="1:21" ht="14.4" customHeight="1" x14ac:dyDescent="0.3">
      <c r="A101" s="681">
        <v>22</v>
      </c>
      <c r="B101" s="672" t="s">
        <v>485</v>
      </c>
      <c r="C101" s="672">
        <v>89301222</v>
      </c>
      <c r="D101" s="704" t="s">
        <v>920</v>
      </c>
      <c r="E101" s="705" t="s">
        <v>661</v>
      </c>
      <c r="F101" s="672" t="s">
        <v>649</v>
      </c>
      <c r="G101" s="672" t="s">
        <v>858</v>
      </c>
      <c r="H101" s="672" t="s">
        <v>484</v>
      </c>
      <c r="I101" s="672" t="s">
        <v>859</v>
      </c>
      <c r="J101" s="672" t="s">
        <v>860</v>
      </c>
      <c r="K101" s="672" t="s">
        <v>861</v>
      </c>
      <c r="L101" s="706">
        <v>0</v>
      </c>
      <c r="M101" s="706">
        <v>0</v>
      </c>
      <c r="N101" s="672">
        <v>1</v>
      </c>
      <c r="O101" s="707">
        <v>1</v>
      </c>
      <c r="P101" s="706">
        <v>0</v>
      </c>
      <c r="Q101" s="683"/>
      <c r="R101" s="672">
        <v>1</v>
      </c>
      <c r="S101" s="683">
        <v>1</v>
      </c>
      <c r="T101" s="707">
        <v>1</v>
      </c>
      <c r="U101" s="242">
        <v>1</v>
      </c>
    </row>
    <row r="102" spans="1:21" ht="14.4" customHeight="1" x14ac:dyDescent="0.3">
      <c r="A102" s="681">
        <v>22</v>
      </c>
      <c r="B102" s="672" t="s">
        <v>485</v>
      </c>
      <c r="C102" s="672">
        <v>89301222</v>
      </c>
      <c r="D102" s="704" t="s">
        <v>920</v>
      </c>
      <c r="E102" s="705" t="s">
        <v>661</v>
      </c>
      <c r="F102" s="672" t="s">
        <v>649</v>
      </c>
      <c r="G102" s="672" t="s">
        <v>686</v>
      </c>
      <c r="H102" s="672" t="s">
        <v>484</v>
      </c>
      <c r="I102" s="672" t="s">
        <v>687</v>
      </c>
      <c r="J102" s="672" t="s">
        <v>688</v>
      </c>
      <c r="K102" s="672" t="s">
        <v>689</v>
      </c>
      <c r="L102" s="706">
        <v>163.9</v>
      </c>
      <c r="M102" s="706">
        <v>163.9</v>
      </c>
      <c r="N102" s="672">
        <v>1</v>
      </c>
      <c r="O102" s="707">
        <v>0.5</v>
      </c>
      <c r="P102" s="706"/>
      <c r="Q102" s="683">
        <v>0</v>
      </c>
      <c r="R102" s="672"/>
      <c r="S102" s="683">
        <v>0</v>
      </c>
      <c r="T102" s="707"/>
      <c r="U102" s="242">
        <v>0</v>
      </c>
    </row>
    <row r="103" spans="1:21" ht="14.4" customHeight="1" x14ac:dyDescent="0.3">
      <c r="A103" s="681">
        <v>22</v>
      </c>
      <c r="B103" s="672" t="s">
        <v>485</v>
      </c>
      <c r="C103" s="672">
        <v>89301222</v>
      </c>
      <c r="D103" s="704" t="s">
        <v>920</v>
      </c>
      <c r="E103" s="705" t="s">
        <v>661</v>
      </c>
      <c r="F103" s="672" t="s">
        <v>649</v>
      </c>
      <c r="G103" s="672" t="s">
        <v>736</v>
      </c>
      <c r="H103" s="672" t="s">
        <v>484</v>
      </c>
      <c r="I103" s="672" t="s">
        <v>862</v>
      </c>
      <c r="J103" s="672" t="s">
        <v>863</v>
      </c>
      <c r="K103" s="672" t="s">
        <v>864</v>
      </c>
      <c r="L103" s="706">
        <v>0</v>
      </c>
      <c r="M103" s="706">
        <v>0</v>
      </c>
      <c r="N103" s="672">
        <v>1</v>
      </c>
      <c r="O103" s="707">
        <v>0.5</v>
      </c>
      <c r="P103" s="706">
        <v>0</v>
      </c>
      <c r="Q103" s="683"/>
      <c r="R103" s="672">
        <v>1</v>
      </c>
      <c r="S103" s="683">
        <v>1</v>
      </c>
      <c r="T103" s="707">
        <v>0.5</v>
      </c>
      <c r="U103" s="242">
        <v>1</v>
      </c>
    </row>
    <row r="104" spans="1:21" ht="14.4" customHeight="1" x14ac:dyDescent="0.3">
      <c r="A104" s="681">
        <v>22</v>
      </c>
      <c r="B104" s="672" t="s">
        <v>485</v>
      </c>
      <c r="C104" s="672">
        <v>89301222</v>
      </c>
      <c r="D104" s="704" t="s">
        <v>920</v>
      </c>
      <c r="E104" s="705" t="s">
        <v>661</v>
      </c>
      <c r="F104" s="672" t="s">
        <v>649</v>
      </c>
      <c r="G104" s="672" t="s">
        <v>664</v>
      </c>
      <c r="H104" s="672" t="s">
        <v>484</v>
      </c>
      <c r="I104" s="672" t="s">
        <v>665</v>
      </c>
      <c r="J104" s="672" t="s">
        <v>666</v>
      </c>
      <c r="K104" s="672"/>
      <c r="L104" s="706">
        <v>0</v>
      </c>
      <c r="M104" s="706">
        <v>0</v>
      </c>
      <c r="N104" s="672">
        <v>6</v>
      </c>
      <c r="O104" s="707">
        <v>4.5</v>
      </c>
      <c r="P104" s="706">
        <v>0</v>
      </c>
      <c r="Q104" s="683"/>
      <c r="R104" s="672">
        <v>5</v>
      </c>
      <c r="S104" s="683">
        <v>0.83333333333333337</v>
      </c>
      <c r="T104" s="707">
        <v>3.5</v>
      </c>
      <c r="U104" s="242">
        <v>0.77777777777777779</v>
      </c>
    </row>
    <row r="105" spans="1:21" ht="14.4" customHeight="1" x14ac:dyDescent="0.3">
      <c r="A105" s="681">
        <v>22</v>
      </c>
      <c r="B105" s="672" t="s">
        <v>485</v>
      </c>
      <c r="C105" s="672">
        <v>89301222</v>
      </c>
      <c r="D105" s="704" t="s">
        <v>920</v>
      </c>
      <c r="E105" s="705" t="s">
        <v>661</v>
      </c>
      <c r="F105" s="672" t="s">
        <v>649</v>
      </c>
      <c r="G105" s="672" t="s">
        <v>667</v>
      </c>
      <c r="H105" s="672" t="s">
        <v>484</v>
      </c>
      <c r="I105" s="672" t="s">
        <v>668</v>
      </c>
      <c r="J105" s="672" t="s">
        <v>669</v>
      </c>
      <c r="K105" s="672" t="s">
        <v>670</v>
      </c>
      <c r="L105" s="706">
        <v>0</v>
      </c>
      <c r="M105" s="706">
        <v>0</v>
      </c>
      <c r="N105" s="672">
        <v>3</v>
      </c>
      <c r="O105" s="707">
        <v>2.5</v>
      </c>
      <c r="P105" s="706"/>
      <c r="Q105" s="683"/>
      <c r="R105" s="672"/>
      <c r="S105" s="683">
        <v>0</v>
      </c>
      <c r="T105" s="707"/>
      <c r="U105" s="242">
        <v>0</v>
      </c>
    </row>
    <row r="106" spans="1:21" ht="14.4" customHeight="1" x14ac:dyDescent="0.3">
      <c r="A106" s="681">
        <v>22</v>
      </c>
      <c r="B106" s="672" t="s">
        <v>485</v>
      </c>
      <c r="C106" s="672">
        <v>89301222</v>
      </c>
      <c r="D106" s="704" t="s">
        <v>920</v>
      </c>
      <c r="E106" s="705" t="s">
        <v>661</v>
      </c>
      <c r="F106" s="672" t="s">
        <v>649</v>
      </c>
      <c r="G106" s="672" t="s">
        <v>667</v>
      </c>
      <c r="H106" s="672" t="s">
        <v>484</v>
      </c>
      <c r="I106" s="672" t="s">
        <v>865</v>
      </c>
      <c r="J106" s="672" t="s">
        <v>669</v>
      </c>
      <c r="K106" s="672" t="s">
        <v>866</v>
      </c>
      <c r="L106" s="706">
        <v>76.349999999999994</v>
      </c>
      <c r="M106" s="706">
        <v>76.349999999999994</v>
      </c>
      <c r="N106" s="672">
        <v>1</v>
      </c>
      <c r="O106" s="707">
        <v>1</v>
      </c>
      <c r="P106" s="706"/>
      <c r="Q106" s="683">
        <v>0</v>
      </c>
      <c r="R106" s="672"/>
      <c r="S106" s="683">
        <v>0</v>
      </c>
      <c r="T106" s="707"/>
      <c r="U106" s="242">
        <v>0</v>
      </c>
    </row>
    <row r="107" spans="1:21" ht="14.4" customHeight="1" x14ac:dyDescent="0.3">
      <c r="A107" s="681">
        <v>22</v>
      </c>
      <c r="B107" s="672" t="s">
        <v>485</v>
      </c>
      <c r="C107" s="672">
        <v>89301222</v>
      </c>
      <c r="D107" s="704" t="s">
        <v>920</v>
      </c>
      <c r="E107" s="705" t="s">
        <v>661</v>
      </c>
      <c r="F107" s="672" t="s">
        <v>649</v>
      </c>
      <c r="G107" s="672" t="s">
        <v>667</v>
      </c>
      <c r="H107" s="672" t="s">
        <v>484</v>
      </c>
      <c r="I107" s="672" t="s">
        <v>694</v>
      </c>
      <c r="J107" s="672" t="s">
        <v>695</v>
      </c>
      <c r="K107" s="672" t="s">
        <v>696</v>
      </c>
      <c r="L107" s="706">
        <v>0</v>
      </c>
      <c r="M107" s="706">
        <v>0</v>
      </c>
      <c r="N107" s="672">
        <v>3</v>
      </c>
      <c r="O107" s="707">
        <v>3</v>
      </c>
      <c r="P107" s="706"/>
      <c r="Q107" s="683"/>
      <c r="R107" s="672"/>
      <c r="S107" s="683">
        <v>0</v>
      </c>
      <c r="T107" s="707"/>
      <c r="U107" s="242">
        <v>0</v>
      </c>
    </row>
    <row r="108" spans="1:21" ht="14.4" customHeight="1" x14ac:dyDescent="0.3">
      <c r="A108" s="681">
        <v>22</v>
      </c>
      <c r="B108" s="672" t="s">
        <v>485</v>
      </c>
      <c r="C108" s="672">
        <v>89301222</v>
      </c>
      <c r="D108" s="704" t="s">
        <v>920</v>
      </c>
      <c r="E108" s="705" t="s">
        <v>661</v>
      </c>
      <c r="F108" s="672" t="s">
        <v>649</v>
      </c>
      <c r="G108" s="672" t="s">
        <v>667</v>
      </c>
      <c r="H108" s="672" t="s">
        <v>484</v>
      </c>
      <c r="I108" s="672" t="s">
        <v>867</v>
      </c>
      <c r="J108" s="672" t="s">
        <v>868</v>
      </c>
      <c r="K108" s="672" t="s">
        <v>869</v>
      </c>
      <c r="L108" s="706">
        <v>0</v>
      </c>
      <c r="M108" s="706">
        <v>0</v>
      </c>
      <c r="N108" s="672">
        <v>1</v>
      </c>
      <c r="O108" s="707">
        <v>0.5</v>
      </c>
      <c r="P108" s="706">
        <v>0</v>
      </c>
      <c r="Q108" s="683"/>
      <c r="R108" s="672">
        <v>1</v>
      </c>
      <c r="S108" s="683">
        <v>1</v>
      </c>
      <c r="T108" s="707">
        <v>0.5</v>
      </c>
      <c r="U108" s="242">
        <v>1</v>
      </c>
    </row>
    <row r="109" spans="1:21" ht="14.4" customHeight="1" x14ac:dyDescent="0.3">
      <c r="A109" s="681">
        <v>22</v>
      </c>
      <c r="B109" s="672" t="s">
        <v>485</v>
      </c>
      <c r="C109" s="672">
        <v>89301222</v>
      </c>
      <c r="D109" s="704" t="s">
        <v>920</v>
      </c>
      <c r="E109" s="705" t="s">
        <v>661</v>
      </c>
      <c r="F109" s="672" t="s">
        <v>649</v>
      </c>
      <c r="G109" s="672" t="s">
        <v>667</v>
      </c>
      <c r="H109" s="672" t="s">
        <v>484</v>
      </c>
      <c r="I109" s="672" t="s">
        <v>791</v>
      </c>
      <c r="J109" s="672" t="s">
        <v>672</v>
      </c>
      <c r="K109" s="672" t="s">
        <v>673</v>
      </c>
      <c r="L109" s="706">
        <v>108.46</v>
      </c>
      <c r="M109" s="706">
        <v>108.46</v>
      </c>
      <c r="N109" s="672">
        <v>1</v>
      </c>
      <c r="O109" s="707">
        <v>1</v>
      </c>
      <c r="P109" s="706"/>
      <c r="Q109" s="683">
        <v>0</v>
      </c>
      <c r="R109" s="672"/>
      <c r="S109" s="683">
        <v>0</v>
      </c>
      <c r="T109" s="707"/>
      <c r="U109" s="242">
        <v>0</v>
      </c>
    </row>
    <row r="110" spans="1:21" ht="14.4" customHeight="1" x14ac:dyDescent="0.3">
      <c r="A110" s="681">
        <v>22</v>
      </c>
      <c r="B110" s="672" t="s">
        <v>485</v>
      </c>
      <c r="C110" s="672">
        <v>89301222</v>
      </c>
      <c r="D110" s="704" t="s">
        <v>920</v>
      </c>
      <c r="E110" s="705" t="s">
        <v>661</v>
      </c>
      <c r="F110" s="672" t="s">
        <v>649</v>
      </c>
      <c r="G110" s="672" t="s">
        <v>667</v>
      </c>
      <c r="H110" s="672" t="s">
        <v>559</v>
      </c>
      <c r="I110" s="672" t="s">
        <v>755</v>
      </c>
      <c r="J110" s="672" t="s">
        <v>756</v>
      </c>
      <c r="K110" s="672" t="s">
        <v>757</v>
      </c>
      <c r="L110" s="706">
        <v>65.069999999999993</v>
      </c>
      <c r="M110" s="706">
        <v>65.069999999999993</v>
      </c>
      <c r="N110" s="672">
        <v>1</v>
      </c>
      <c r="O110" s="707">
        <v>1</v>
      </c>
      <c r="P110" s="706"/>
      <c r="Q110" s="683">
        <v>0</v>
      </c>
      <c r="R110" s="672"/>
      <c r="S110" s="683">
        <v>0</v>
      </c>
      <c r="T110" s="707"/>
      <c r="U110" s="242">
        <v>0</v>
      </c>
    </row>
    <row r="111" spans="1:21" ht="14.4" customHeight="1" x14ac:dyDescent="0.3">
      <c r="A111" s="681">
        <v>22</v>
      </c>
      <c r="B111" s="672" t="s">
        <v>485</v>
      </c>
      <c r="C111" s="672">
        <v>89301222</v>
      </c>
      <c r="D111" s="704" t="s">
        <v>920</v>
      </c>
      <c r="E111" s="705" t="s">
        <v>661</v>
      </c>
      <c r="F111" s="672" t="s">
        <v>649</v>
      </c>
      <c r="G111" s="672" t="s">
        <v>667</v>
      </c>
      <c r="H111" s="672" t="s">
        <v>559</v>
      </c>
      <c r="I111" s="672" t="s">
        <v>671</v>
      </c>
      <c r="J111" s="672" t="s">
        <v>672</v>
      </c>
      <c r="K111" s="672" t="s">
        <v>673</v>
      </c>
      <c r="L111" s="706">
        <v>108.46</v>
      </c>
      <c r="M111" s="706">
        <v>759.22</v>
      </c>
      <c r="N111" s="672">
        <v>7</v>
      </c>
      <c r="O111" s="707">
        <v>6.5</v>
      </c>
      <c r="P111" s="706">
        <v>108.46</v>
      </c>
      <c r="Q111" s="683">
        <v>0.14285714285714285</v>
      </c>
      <c r="R111" s="672">
        <v>1</v>
      </c>
      <c r="S111" s="683">
        <v>0.14285714285714285</v>
      </c>
      <c r="T111" s="707">
        <v>0.5</v>
      </c>
      <c r="U111" s="242">
        <v>7.6923076923076927E-2</v>
      </c>
    </row>
    <row r="112" spans="1:21" ht="14.4" customHeight="1" x14ac:dyDescent="0.3">
      <c r="A112" s="681">
        <v>22</v>
      </c>
      <c r="B112" s="672" t="s">
        <v>485</v>
      </c>
      <c r="C112" s="672">
        <v>89301222</v>
      </c>
      <c r="D112" s="704" t="s">
        <v>920</v>
      </c>
      <c r="E112" s="705" t="s">
        <v>661</v>
      </c>
      <c r="F112" s="672" t="s">
        <v>649</v>
      </c>
      <c r="G112" s="672" t="s">
        <v>667</v>
      </c>
      <c r="H112" s="672" t="s">
        <v>484</v>
      </c>
      <c r="I112" s="672" t="s">
        <v>758</v>
      </c>
      <c r="J112" s="672" t="s">
        <v>759</v>
      </c>
      <c r="K112" s="672" t="s">
        <v>760</v>
      </c>
      <c r="L112" s="706">
        <v>65.069999999999993</v>
      </c>
      <c r="M112" s="706">
        <v>65.069999999999993</v>
      </c>
      <c r="N112" s="672">
        <v>1</v>
      </c>
      <c r="O112" s="707">
        <v>1</v>
      </c>
      <c r="P112" s="706">
        <v>65.069999999999993</v>
      </c>
      <c r="Q112" s="683">
        <v>1</v>
      </c>
      <c r="R112" s="672">
        <v>1</v>
      </c>
      <c r="S112" s="683">
        <v>1</v>
      </c>
      <c r="T112" s="707">
        <v>1</v>
      </c>
      <c r="U112" s="242">
        <v>1</v>
      </c>
    </row>
    <row r="113" spans="1:21" ht="14.4" customHeight="1" x14ac:dyDescent="0.3">
      <c r="A113" s="681">
        <v>22</v>
      </c>
      <c r="B113" s="672" t="s">
        <v>485</v>
      </c>
      <c r="C113" s="672">
        <v>89301222</v>
      </c>
      <c r="D113" s="704" t="s">
        <v>920</v>
      </c>
      <c r="E113" s="705" t="s">
        <v>661</v>
      </c>
      <c r="F113" s="672" t="s">
        <v>649</v>
      </c>
      <c r="G113" s="672" t="s">
        <v>667</v>
      </c>
      <c r="H113" s="672" t="s">
        <v>484</v>
      </c>
      <c r="I113" s="672" t="s">
        <v>761</v>
      </c>
      <c r="J113" s="672" t="s">
        <v>762</v>
      </c>
      <c r="K113" s="672" t="s">
        <v>763</v>
      </c>
      <c r="L113" s="706">
        <v>108.46</v>
      </c>
      <c r="M113" s="706">
        <v>216.92</v>
      </c>
      <c r="N113" s="672">
        <v>2</v>
      </c>
      <c r="O113" s="707">
        <v>2</v>
      </c>
      <c r="P113" s="706">
        <v>216.92</v>
      </c>
      <c r="Q113" s="683">
        <v>1</v>
      </c>
      <c r="R113" s="672">
        <v>2</v>
      </c>
      <c r="S113" s="683">
        <v>1</v>
      </c>
      <c r="T113" s="707">
        <v>2</v>
      </c>
      <c r="U113" s="242">
        <v>1</v>
      </c>
    </row>
    <row r="114" spans="1:21" ht="14.4" customHeight="1" x14ac:dyDescent="0.3">
      <c r="A114" s="681">
        <v>22</v>
      </c>
      <c r="B114" s="672" t="s">
        <v>485</v>
      </c>
      <c r="C114" s="672">
        <v>89301222</v>
      </c>
      <c r="D114" s="704" t="s">
        <v>920</v>
      </c>
      <c r="E114" s="705" t="s">
        <v>661</v>
      </c>
      <c r="F114" s="672" t="s">
        <v>649</v>
      </c>
      <c r="G114" s="672" t="s">
        <v>667</v>
      </c>
      <c r="H114" s="672" t="s">
        <v>559</v>
      </c>
      <c r="I114" s="672" t="s">
        <v>674</v>
      </c>
      <c r="J114" s="672" t="s">
        <v>675</v>
      </c>
      <c r="K114" s="672" t="s">
        <v>676</v>
      </c>
      <c r="L114" s="706">
        <v>130.15</v>
      </c>
      <c r="M114" s="706">
        <v>1691.9499999999998</v>
      </c>
      <c r="N114" s="672">
        <v>13</v>
      </c>
      <c r="O114" s="707">
        <v>10.5</v>
      </c>
      <c r="P114" s="706">
        <v>780.9</v>
      </c>
      <c r="Q114" s="683">
        <v>0.46153846153846156</v>
      </c>
      <c r="R114" s="672">
        <v>6</v>
      </c>
      <c r="S114" s="683">
        <v>0.46153846153846156</v>
      </c>
      <c r="T114" s="707">
        <v>4</v>
      </c>
      <c r="U114" s="242">
        <v>0.38095238095238093</v>
      </c>
    </row>
    <row r="115" spans="1:21" ht="14.4" customHeight="1" x14ac:dyDescent="0.3">
      <c r="A115" s="681">
        <v>22</v>
      </c>
      <c r="B115" s="672" t="s">
        <v>485</v>
      </c>
      <c r="C115" s="672">
        <v>89301222</v>
      </c>
      <c r="D115" s="704" t="s">
        <v>920</v>
      </c>
      <c r="E115" s="705" t="s">
        <v>661</v>
      </c>
      <c r="F115" s="672" t="s">
        <v>649</v>
      </c>
      <c r="G115" s="672" t="s">
        <v>667</v>
      </c>
      <c r="H115" s="672" t="s">
        <v>559</v>
      </c>
      <c r="I115" s="672" t="s">
        <v>838</v>
      </c>
      <c r="J115" s="672" t="s">
        <v>839</v>
      </c>
      <c r="K115" s="672" t="s">
        <v>840</v>
      </c>
      <c r="L115" s="706">
        <v>50.57</v>
      </c>
      <c r="M115" s="706">
        <v>101.14</v>
      </c>
      <c r="N115" s="672">
        <v>2</v>
      </c>
      <c r="O115" s="707">
        <v>2</v>
      </c>
      <c r="P115" s="706"/>
      <c r="Q115" s="683">
        <v>0</v>
      </c>
      <c r="R115" s="672"/>
      <c r="S115" s="683">
        <v>0</v>
      </c>
      <c r="T115" s="707"/>
      <c r="U115" s="242">
        <v>0</v>
      </c>
    </row>
    <row r="116" spans="1:21" ht="14.4" customHeight="1" x14ac:dyDescent="0.3">
      <c r="A116" s="681">
        <v>22</v>
      </c>
      <c r="B116" s="672" t="s">
        <v>485</v>
      </c>
      <c r="C116" s="672">
        <v>89301222</v>
      </c>
      <c r="D116" s="704" t="s">
        <v>920</v>
      </c>
      <c r="E116" s="705" t="s">
        <v>661</v>
      </c>
      <c r="F116" s="672" t="s">
        <v>649</v>
      </c>
      <c r="G116" s="672" t="s">
        <v>667</v>
      </c>
      <c r="H116" s="672" t="s">
        <v>484</v>
      </c>
      <c r="I116" s="672" t="s">
        <v>792</v>
      </c>
      <c r="J116" s="672" t="s">
        <v>698</v>
      </c>
      <c r="K116" s="672" t="s">
        <v>793</v>
      </c>
      <c r="L116" s="706">
        <v>0</v>
      </c>
      <c r="M116" s="706">
        <v>0</v>
      </c>
      <c r="N116" s="672">
        <v>1</v>
      </c>
      <c r="O116" s="707">
        <v>1</v>
      </c>
      <c r="P116" s="706">
        <v>0</v>
      </c>
      <c r="Q116" s="683"/>
      <c r="R116" s="672">
        <v>1</v>
      </c>
      <c r="S116" s="683">
        <v>1</v>
      </c>
      <c r="T116" s="707">
        <v>1</v>
      </c>
      <c r="U116" s="242">
        <v>1</v>
      </c>
    </row>
    <row r="117" spans="1:21" ht="14.4" customHeight="1" x14ac:dyDescent="0.3">
      <c r="A117" s="681">
        <v>22</v>
      </c>
      <c r="B117" s="672" t="s">
        <v>485</v>
      </c>
      <c r="C117" s="672">
        <v>89301222</v>
      </c>
      <c r="D117" s="704" t="s">
        <v>920</v>
      </c>
      <c r="E117" s="705" t="s">
        <v>661</v>
      </c>
      <c r="F117" s="672" t="s">
        <v>649</v>
      </c>
      <c r="G117" s="672" t="s">
        <v>667</v>
      </c>
      <c r="H117" s="672" t="s">
        <v>559</v>
      </c>
      <c r="I117" s="672" t="s">
        <v>697</v>
      </c>
      <c r="J117" s="672" t="s">
        <v>698</v>
      </c>
      <c r="K117" s="672" t="s">
        <v>699</v>
      </c>
      <c r="L117" s="706">
        <v>86.76</v>
      </c>
      <c r="M117" s="706">
        <v>1127.8800000000001</v>
      </c>
      <c r="N117" s="672">
        <v>13</v>
      </c>
      <c r="O117" s="707">
        <v>7</v>
      </c>
      <c r="P117" s="706">
        <v>607.32000000000005</v>
      </c>
      <c r="Q117" s="683">
        <v>0.53846153846153844</v>
      </c>
      <c r="R117" s="672">
        <v>7</v>
      </c>
      <c r="S117" s="683">
        <v>0.53846153846153844</v>
      </c>
      <c r="T117" s="707">
        <v>3</v>
      </c>
      <c r="U117" s="242">
        <v>0.42857142857142855</v>
      </c>
    </row>
    <row r="118" spans="1:21" ht="14.4" customHeight="1" x14ac:dyDescent="0.3">
      <c r="A118" s="681">
        <v>22</v>
      </c>
      <c r="B118" s="672" t="s">
        <v>485</v>
      </c>
      <c r="C118" s="672">
        <v>89301222</v>
      </c>
      <c r="D118" s="704" t="s">
        <v>920</v>
      </c>
      <c r="E118" s="705" t="s">
        <v>661</v>
      </c>
      <c r="F118" s="672" t="s">
        <v>649</v>
      </c>
      <c r="G118" s="672" t="s">
        <v>667</v>
      </c>
      <c r="H118" s="672" t="s">
        <v>484</v>
      </c>
      <c r="I118" s="672" t="s">
        <v>677</v>
      </c>
      <c r="J118" s="672" t="s">
        <v>678</v>
      </c>
      <c r="K118" s="672" t="s">
        <v>676</v>
      </c>
      <c r="L118" s="706">
        <v>130.15</v>
      </c>
      <c r="M118" s="706">
        <v>260.3</v>
      </c>
      <c r="N118" s="672">
        <v>2</v>
      </c>
      <c r="O118" s="707">
        <v>1.5</v>
      </c>
      <c r="P118" s="706">
        <v>130.15</v>
      </c>
      <c r="Q118" s="683">
        <v>0.5</v>
      </c>
      <c r="R118" s="672">
        <v>1</v>
      </c>
      <c r="S118" s="683">
        <v>0.5</v>
      </c>
      <c r="T118" s="707">
        <v>0.5</v>
      </c>
      <c r="U118" s="242">
        <v>0.33333333333333331</v>
      </c>
    </row>
    <row r="119" spans="1:21" ht="14.4" customHeight="1" x14ac:dyDescent="0.3">
      <c r="A119" s="681">
        <v>22</v>
      </c>
      <c r="B119" s="672" t="s">
        <v>485</v>
      </c>
      <c r="C119" s="672">
        <v>89301222</v>
      </c>
      <c r="D119" s="704" t="s">
        <v>920</v>
      </c>
      <c r="E119" s="705" t="s">
        <v>661</v>
      </c>
      <c r="F119" s="672" t="s">
        <v>649</v>
      </c>
      <c r="G119" s="672" t="s">
        <v>667</v>
      </c>
      <c r="H119" s="672" t="s">
        <v>484</v>
      </c>
      <c r="I119" s="672" t="s">
        <v>679</v>
      </c>
      <c r="J119" s="672" t="s">
        <v>680</v>
      </c>
      <c r="K119" s="672" t="s">
        <v>681</v>
      </c>
      <c r="L119" s="706">
        <v>86.76</v>
      </c>
      <c r="M119" s="706">
        <v>520.56000000000006</v>
      </c>
      <c r="N119" s="672">
        <v>6</v>
      </c>
      <c r="O119" s="707">
        <v>3</v>
      </c>
      <c r="P119" s="706">
        <v>260.28000000000003</v>
      </c>
      <c r="Q119" s="683">
        <v>0.5</v>
      </c>
      <c r="R119" s="672">
        <v>3</v>
      </c>
      <c r="S119" s="683">
        <v>0.5</v>
      </c>
      <c r="T119" s="707">
        <v>1.5</v>
      </c>
      <c r="U119" s="242">
        <v>0.5</v>
      </c>
    </row>
    <row r="120" spans="1:21" ht="14.4" customHeight="1" x14ac:dyDescent="0.3">
      <c r="A120" s="681">
        <v>22</v>
      </c>
      <c r="B120" s="672" t="s">
        <v>485</v>
      </c>
      <c r="C120" s="672">
        <v>89301222</v>
      </c>
      <c r="D120" s="704" t="s">
        <v>920</v>
      </c>
      <c r="E120" s="705" t="s">
        <v>661</v>
      </c>
      <c r="F120" s="672" t="s">
        <v>649</v>
      </c>
      <c r="G120" s="672" t="s">
        <v>667</v>
      </c>
      <c r="H120" s="672" t="s">
        <v>484</v>
      </c>
      <c r="I120" s="672" t="s">
        <v>870</v>
      </c>
      <c r="J120" s="672" t="s">
        <v>753</v>
      </c>
      <c r="K120" s="672" t="s">
        <v>754</v>
      </c>
      <c r="L120" s="706">
        <v>86.76</v>
      </c>
      <c r="M120" s="706">
        <v>86.76</v>
      </c>
      <c r="N120" s="672">
        <v>1</v>
      </c>
      <c r="O120" s="707">
        <v>1</v>
      </c>
      <c r="P120" s="706"/>
      <c r="Q120" s="683">
        <v>0</v>
      </c>
      <c r="R120" s="672"/>
      <c r="S120" s="683">
        <v>0</v>
      </c>
      <c r="T120" s="707"/>
      <c r="U120" s="242">
        <v>0</v>
      </c>
    </row>
    <row r="121" spans="1:21" ht="14.4" customHeight="1" x14ac:dyDescent="0.3">
      <c r="A121" s="681">
        <v>22</v>
      </c>
      <c r="B121" s="672" t="s">
        <v>485</v>
      </c>
      <c r="C121" s="672">
        <v>89301222</v>
      </c>
      <c r="D121" s="704" t="s">
        <v>920</v>
      </c>
      <c r="E121" s="705" t="s">
        <v>661</v>
      </c>
      <c r="F121" s="672" t="s">
        <v>649</v>
      </c>
      <c r="G121" s="672" t="s">
        <v>871</v>
      </c>
      <c r="H121" s="672" t="s">
        <v>484</v>
      </c>
      <c r="I121" s="672" t="s">
        <v>872</v>
      </c>
      <c r="J121" s="672" t="s">
        <v>873</v>
      </c>
      <c r="K121" s="672" t="s">
        <v>874</v>
      </c>
      <c r="L121" s="706">
        <v>186.4</v>
      </c>
      <c r="M121" s="706">
        <v>559.20000000000005</v>
      </c>
      <c r="N121" s="672">
        <v>3</v>
      </c>
      <c r="O121" s="707">
        <v>1</v>
      </c>
      <c r="P121" s="706">
        <v>559.20000000000005</v>
      </c>
      <c r="Q121" s="683">
        <v>1</v>
      </c>
      <c r="R121" s="672">
        <v>3</v>
      </c>
      <c r="S121" s="683">
        <v>1</v>
      </c>
      <c r="T121" s="707">
        <v>1</v>
      </c>
      <c r="U121" s="242">
        <v>1</v>
      </c>
    </row>
    <row r="122" spans="1:21" ht="14.4" customHeight="1" x14ac:dyDescent="0.3">
      <c r="A122" s="681">
        <v>22</v>
      </c>
      <c r="B122" s="672" t="s">
        <v>485</v>
      </c>
      <c r="C122" s="672">
        <v>89301222</v>
      </c>
      <c r="D122" s="704" t="s">
        <v>920</v>
      </c>
      <c r="E122" s="705" t="s">
        <v>661</v>
      </c>
      <c r="F122" s="672" t="s">
        <v>649</v>
      </c>
      <c r="G122" s="672" t="s">
        <v>875</v>
      </c>
      <c r="H122" s="672" t="s">
        <v>484</v>
      </c>
      <c r="I122" s="672" t="s">
        <v>876</v>
      </c>
      <c r="J122" s="672" t="s">
        <v>877</v>
      </c>
      <c r="K122" s="672" t="s">
        <v>878</v>
      </c>
      <c r="L122" s="706">
        <v>56.69</v>
      </c>
      <c r="M122" s="706">
        <v>56.69</v>
      </c>
      <c r="N122" s="672">
        <v>1</v>
      </c>
      <c r="O122" s="707">
        <v>0.5</v>
      </c>
      <c r="P122" s="706"/>
      <c r="Q122" s="683">
        <v>0</v>
      </c>
      <c r="R122" s="672"/>
      <c r="S122" s="683">
        <v>0</v>
      </c>
      <c r="T122" s="707"/>
      <c r="U122" s="242">
        <v>0</v>
      </c>
    </row>
    <row r="123" spans="1:21" ht="14.4" customHeight="1" x14ac:dyDescent="0.3">
      <c r="A123" s="681">
        <v>22</v>
      </c>
      <c r="B123" s="672" t="s">
        <v>485</v>
      </c>
      <c r="C123" s="672">
        <v>89301222</v>
      </c>
      <c r="D123" s="704" t="s">
        <v>920</v>
      </c>
      <c r="E123" s="705" t="s">
        <v>661</v>
      </c>
      <c r="F123" s="672" t="s">
        <v>649</v>
      </c>
      <c r="G123" s="672" t="s">
        <v>771</v>
      </c>
      <c r="H123" s="672" t="s">
        <v>484</v>
      </c>
      <c r="I123" s="672" t="s">
        <v>879</v>
      </c>
      <c r="J123" s="672" t="s">
        <v>773</v>
      </c>
      <c r="K123" s="672" t="s">
        <v>880</v>
      </c>
      <c r="L123" s="706">
        <v>0</v>
      </c>
      <c r="M123" s="706">
        <v>0</v>
      </c>
      <c r="N123" s="672">
        <v>1</v>
      </c>
      <c r="O123" s="707">
        <v>1</v>
      </c>
      <c r="P123" s="706"/>
      <c r="Q123" s="683"/>
      <c r="R123" s="672"/>
      <c r="S123" s="683">
        <v>0</v>
      </c>
      <c r="T123" s="707"/>
      <c r="U123" s="242">
        <v>0</v>
      </c>
    </row>
    <row r="124" spans="1:21" ht="14.4" customHeight="1" x14ac:dyDescent="0.3">
      <c r="A124" s="681">
        <v>22</v>
      </c>
      <c r="B124" s="672" t="s">
        <v>485</v>
      </c>
      <c r="C124" s="672">
        <v>89301222</v>
      </c>
      <c r="D124" s="704" t="s">
        <v>920</v>
      </c>
      <c r="E124" s="705" t="s">
        <v>661</v>
      </c>
      <c r="F124" s="672" t="s">
        <v>649</v>
      </c>
      <c r="G124" s="672" t="s">
        <v>881</v>
      </c>
      <c r="H124" s="672" t="s">
        <v>484</v>
      </c>
      <c r="I124" s="672" t="s">
        <v>882</v>
      </c>
      <c r="J124" s="672" t="s">
        <v>883</v>
      </c>
      <c r="K124" s="672" t="s">
        <v>884</v>
      </c>
      <c r="L124" s="706">
        <v>64.13</v>
      </c>
      <c r="M124" s="706">
        <v>64.13</v>
      </c>
      <c r="N124" s="672">
        <v>1</v>
      </c>
      <c r="O124" s="707">
        <v>1</v>
      </c>
      <c r="P124" s="706">
        <v>64.13</v>
      </c>
      <c r="Q124" s="683">
        <v>1</v>
      </c>
      <c r="R124" s="672">
        <v>1</v>
      </c>
      <c r="S124" s="683">
        <v>1</v>
      </c>
      <c r="T124" s="707">
        <v>1</v>
      </c>
      <c r="U124" s="242">
        <v>1</v>
      </c>
    </row>
    <row r="125" spans="1:21" ht="14.4" customHeight="1" x14ac:dyDescent="0.3">
      <c r="A125" s="681">
        <v>22</v>
      </c>
      <c r="B125" s="672" t="s">
        <v>485</v>
      </c>
      <c r="C125" s="672">
        <v>89301222</v>
      </c>
      <c r="D125" s="704" t="s">
        <v>920</v>
      </c>
      <c r="E125" s="705" t="s">
        <v>662</v>
      </c>
      <c r="F125" s="672" t="s">
        <v>649</v>
      </c>
      <c r="G125" s="672" t="s">
        <v>842</v>
      </c>
      <c r="H125" s="672" t="s">
        <v>559</v>
      </c>
      <c r="I125" s="672" t="s">
        <v>885</v>
      </c>
      <c r="J125" s="672" t="s">
        <v>886</v>
      </c>
      <c r="K125" s="672" t="s">
        <v>887</v>
      </c>
      <c r="L125" s="706">
        <v>95.25</v>
      </c>
      <c r="M125" s="706">
        <v>95.25</v>
      </c>
      <c r="N125" s="672">
        <v>1</v>
      </c>
      <c r="O125" s="707">
        <v>0.5</v>
      </c>
      <c r="P125" s="706">
        <v>95.25</v>
      </c>
      <c r="Q125" s="683">
        <v>1</v>
      </c>
      <c r="R125" s="672">
        <v>1</v>
      </c>
      <c r="S125" s="683">
        <v>1</v>
      </c>
      <c r="T125" s="707">
        <v>0.5</v>
      </c>
      <c r="U125" s="242">
        <v>1</v>
      </c>
    </row>
    <row r="126" spans="1:21" ht="14.4" customHeight="1" x14ac:dyDescent="0.3">
      <c r="A126" s="681">
        <v>22</v>
      </c>
      <c r="B126" s="672" t="s">
        <v>485</v>
      </c>
      <c r="C126" s="672">
        <v>89301222</v>
      </c>
      <c r="D126" s="704" t="s">
        <v>920</v>
      </c>
      <c r="E126" s="705" t="s">
        <v>662</v>
      </c>
      <c r="F126" s="672" t="s">
        <v>649</v>
      </c>
      <c r="G126" s="672" t="s">
        <v>720</v>
      </c>
      <c r="H126" s="672" t="s">
        <v>484</v>
      </c>
      <c r="I126" s="672" t="s">
        <v>888</v>
      </c>
      <c r="J126" s="672" t="s">
        <v>889</v>
      </c>
      <c r="K126" s="672" t="s">
        <v>782</v>
      </c>
      <c r="L126" s="706">
        <v>17.690000000000001</v>
      </c>
      <c r="M126" s="706">
        <v>70.760000000000005</v>
      </c>
      <c r="N126" s="672">
        <v>4</v>
      </c>
      <c r="O126" s="707">
        <v>1.5</v>
      </c>
      <c r="P126" s="706"/>
      <c r="Q126" s="683">
        <v>0</v>
      </c>
      <c r="R126" s="672"/>
      <c r="S126" s="683">
        <v>0</v>
      </c>
      <c r="T126" s="707"/>
      <c r="U126" s="242">
        <v>0</v>
      </c>
    </row>
    <row r="127" spans="1:21" ht="14.4" customHeight="1" x14ac:dyDescent="0.3">
      <c r="A127" s="681">
        <v>22</v>
      </c>
      <c r="B127" s="672" t="s">
        <v>485</v>
      </c>
      <c r="C127" s="672">
        <v>89301222</v>
      </c>
      <c r="D127" s="704" t="s">
        <v>920</v>
      </c>
      <c r="E127" s="705" t="s">
        <v>662</v>
      </c>
      <c r="F127" s="672" t="s">
        <v>649</v>
      </c>
      <c r="G127" s="672" t="s">
        <v>821</v>
      </c>
      <c r="H127" s="672" t="s">
        <v>559</v>
      </c>
      <c r="I127" s="672" t="s">
        <v>890</v>
      </c>
      <c r="J127" s="672" t="s">
        <v>891</v>
      </c>
      <c r="K127" s="672" t="s">
        <v>892</v>
      </c>
      <c r="L127" s="706">
        <v>217.65</v>
      </c>
      <c r="M127" s="706">
        <v>217.65</v>
      </c>
      <c r="N127" s="672">
        <v>1</v>
      </c>
      <c r="O127" s="707">
        <v>1</v>
      </c>
      <c r="P127" s="706"/>
      <c r="Q127" s="683">
        <v>0</v>
      </c>
      <c r="R127" s="672"/>
      <c r="S127" s="683">
        <v>0</v>
      </c>
      <c r="T127" s="707"/>
      <c r="U127" s="242">
        <v>0</v>
      </c>
    </row>
    <row r="128" spans="1:21" ht="14.4" customHeight="1" x14ac:dyDescent="0.3">
      <c r="A128" s="681">
        <v>22</v>
      </c>
      <c r="B128" s="672" t="s">
        <v>485</v>
      </c>
      <c r="C128" s="672">
        <v>89301222</v>
      </c>
      <c r="D128" s="704" t="s">
        <v>920</v>
      </c>
      <c r="E128" s="705" t="s">
        <v>662</v>
      </c>
      <c r="F128" s="672" t="s">
        <v>649</v>
      </c>
      <c r="G128" s="672" t="s">
        <v>821</v>
      </c>
      <c r="H128" s="672" t="s">
        <v>559</v>
      </c>
      <c r="I128" s="672" t="s">
        <v>893</v>
      </c>
      <c r="J128" s="672" t="s">
        <v>894</v>
      </c>
      <c r="K128" s="672" t="s">
        <v>895</v>
      </c>
      <c r="L128" s="706">
        <v>672.94</v>
      </c>
      <c r="M128" s="706">
        <v>672.94</v>
      </c>
      <c r="N128" s="672">
        <v>1</v>
      </c>
      <c r="O128" s="707">
        <v>0.5</v>
      </c>
      <c r="P128" s="706">
        <v>672.94</v>
      </c>
      <c r="Q128" s="683">
        <v>1</v>
      </c>
      <c r="R128" s="672">
        <v>1</v>
      </c>
      <c r="S128" s="683">
        <v>1</v>
      </c>
      <c r="T128" s="707">
        <v>0.5</v>
      </c>
      <c r="U128" s="242">
        <v>1</v>
      </c>
    </row>
    <row r="129" spans="1:21" ht="14.4" customHeight="1" x14ac:dyDescent="0.3">
      <c r="A129" s="681">
        <v>22</v>
      </c>
      <c r="B129" s="672" t="s">
        <v>485</v>
      </c>
      <c r="C129" s="672">
        <v>89301222</v>
      </c>
      <c r="D129" s="704" t="s">
        <v>920</v>
      </c>
      <c r="E129" s="705" t="s">
        <v>662</v>
      </c>
      <c r="F129" s="672" t="s">
        <v>649</v>
      </c>
      <c r="G129" s="672" t="s">
        <v>896</v>
      </c>
      <c r="H129" s="672" t="s">
        <v>484</v>
      </c>
      <c r="I129" s="672" t="s">
        <v>897</v>
      </c>
      <c r="J129" s="672" t="s">
        <v>898</v>
      </c>
      <c r="K129" s="672" t="s">
        <v>899</v>
      </c>
      <c r="L129" s="706">
        <v>18.940000000000001</v>
      </c>
      <c r="M129" s="706">
        <v>37.880000000000003</v>
      </c>
      <c r="N129" s="672">
        <v>2</v>
      </c>
      <c r="O129" s="707">
        <v>0.5</v>
      </c>
      <c r="P129" s="706">
        <v>37.880000000000003</v>
      </c>
      <c r="Q129" s="683">
        <v>1</v>
      </c>
      <c r="R129" s="672">
        <v>2</v>
      </c>
      <c r="S129" s="683">
        <v>1</v>
      </c>
      <c r="T129" s="707">
        <v>0.5</v>
      </c>
      <c r="U129" s="242">
        <v>1</v>
      </c>
    </row>
    <row r="130" spans="1:21" ht="14.4" customHeight="1" x14ac:dyDescent="0.3">
      <c r="A130" s="681">
        <v>22</v>
      </c>
      <c r="B130" s="672" t="s">
        <v>485</v>
      </c>
      <c r="C130" s="672">
        <v>89301222</v>
      </c>
      <c r="D130" s="704" t="s">
        <v>920</v>
      </c>
      <c r="E130" s="705" t="s">
        <v>662</v>
      </c>
      <c r="F130" s="672" t="s">
        <v>649</v>
      </c>
      <c r="G130" s="672" t="s">
        <v>900</v>
      </c>
      <c r="H130" s="672" t="s">
        <v>484</v>
      </c>
      <c r="I130" s="672" t="s">
        <v>901</v>
      </c>
      <c r="J130" s="672" t="s">
        <v>902</v>
      </c>
      <c r="K130" s="672" t="s">
        <v>903</v>
      </c>
      <c r="L130" s="706">
        <v>354.98</v>
      </c>
      <c r="M130" s="706">
        <v>354.98</v>
      </c>
      <c r="N130" s="672">
        <v>1</v>
      </c>
      <c r="O130" s="707">
        <v>0.5</v>
      </c>
      <c r="P130" s="706"/>
      <c r="Q130" s="683">
        <v>0</v>
      </c>
      <c r="R130" s="672"/>
      <c r="S130" s="683">
        <v>0</v>
      </c>
      <c r="T130" s="707"/>
      <c r="U130" s="242">
        <v>0</v>
      </c>
    </row>
    <row r="131" spans="1:21" ht="14.4" customHeight="1" x14ac:dyDescent="0.3">
      <c r="A131" s="681">
        <v>22</v>
      </c>
      <c r="B131" s="672" t="s">
        <v>485</v>
      </c>
      <c r="C131" s="672">
        <v>89301222</v>
      </c>
      <c r="D131" s="704" t="s">
        <v>920</v>
      </c>
      <c r="E131" s="705" t="s">
        <v>662</v>
      </c>
      <c r="F131" s="672" t="s">
        <v>649</v>
      </c>
      <c r="G131" s="672" t="s">
        <v>700</v>
      </c>
      <c r="H131" s="672" t="s">
        <v>484</v>
      </c>
      <c r="I131" s="672" t="s">
        <v>904</v>
      </c>
      <c r="J131" s="672" t="s">
        <v>905</v>
      </c>
      <c r="K131" s="672" t="s">
        <v>906</v>
      </c>
      <c r="L131" s="706">
        <v>314.89999999999998</v>
      </c>
      <c r="M131" s="706">
        <v>314.89999999999998</v>
      </c>
      <c r="N131" s="672">
        <v>1</v>
      </c>
      <c r="O131" s="707">
        <v>0.5</v>
      </c>
      <c r="P131" s="706">
        <v>314.89999999999998</v>
      </c>
      <c r="Q131" s="683">
        <v>1</v>
      </c>
      <c r="R131" s="672">
        <v>1</v>
      </c>
      <c r="S131" s="683">
        <v>1</v>
      </c>
      <c r="T131" s="707">
        <v>0.5</v>
      </c>
      <c r="U131" s="242">
        <v>1</v>
      </c>
    </row>
    <row r="132" spans="1:21" ht="14.4" customHeight="1" x14ac:dyDescent="0.3">
      <c r="A132" s="681">
        <v>22</v>
      </c>
      <c r="B132" s="672" t="s">
        <v>485</v>
      </c>
      <c r="C132" s="672">
        <v>89301222</v>
      </c>
      <c r="D132" s="704" t="s">
        <v>920</v>
      </c>
      <c r="E132" s="705" t="s">
        <v>662</v>
      </c>
      <c r="F132" s="672" t="s">
        <v>649</v>
      </c>
      <c r="G132" s="672" t="s">
        <v>907</v>
      </c>
      <c r="H132" s="672" t="s">
        <v>484</v>
      </c>
      <c r="I132" s="672" t="s">
        <v>908</v>
      </c>
      <c r="J132" s="672" t="s">
        <v>909</v>
      </c>
      <c r="K132" s="672" t="s">
        <v>910</v>
      </c>
      <c r="L132" s="706">
        <v>202.25</v>
      </c>
      <c r="M132" s="706">
        <v>202.25</v>
      </c>
      <c r="N132" s="672">
        <v>1</v>
      </c>
      <c r="O132" s="707">
        <v>1</v>
      </c>
      <c r="P132" s="706"/>
      <c r="Q132" s="683">
        <v>0</v>
      </c>
      <c r="R132" s="672"/>
      <c r="S132" s="683">
        <v>0</v>
      </c>
      <c r="T132" s="707"/>
      <c r="U132" s="242">
        <v>0</v>
      </c>
    </row>
    <row r="133" spans="1:21" ht="14.4" customHeight="1" x14ac:dyDescent="0.3">
      <c r="A133" s="681">
        <v>22</v>
      </c>
      <c r="B133" s="672" t="s">
        <v>485</v>
      </c>
      <c r="C133" s="672">
        <v>89301222</v>
      </c>
      <c r="D133" s="704" t="s">
        <v>920</v>
      </c>
      <c r="E133" s="705" t="s">
        <v>663</v>
      </c>
      <c r="F133" s="672" t="s">
        <v>649</v>
      </c>
      <c r="G133" s="672" t="s">
        <v>911</v>
      </c>
      <c r="H133" s="672" t="s">
        <v>559</v>
      </c>
      <c r="I133" s="672" t="s">
        <v>912</v>
      </c>
      <c r="J133" s="672" t="s">
        <v>913</v>
      </c>
      <c r="K133" s="672" t="s">
        <v>914</v>
      </c>
      <c r="L133" s="706">
        <v>581.30999999999995</v>
      </c>
      <c r="M133" s="706">
        <v>581.30999999999995</v>
      </c>
      <c r="N133" s="672">
        <v>1</v>
      </c>
      <c r="O133" s="707">
        <v>1</v>
      </c>
      <c r="P133" s="706"/>
      <c r="Q133" s="683">
        <v>0</v>
      </c>
      <c r="R133" s="672"/>
      <c r="S133" s="683">
        <v>0</v>
      </c>
      <c r="T133" s="707"/>
      <c r="U133" s="242">
        <v>0</v>
      </c>
    </row>
    <row r="134" spans="1:21" ht="14.4" customHeight="1" x14ac:dyDescent="0.3">
      <c r="A134" s="681">
        <v>22</v>
      </c>
      <c r="B134" s="672" t="s">
        <v>485</v>
      </c>
      <c r="C134" s="672">
        <v>89301222</v>
      </c>
      <c r="D134" s="704" t="s">
        <v>920</v>
      </c>
      <c r="E134" s="705" t="s">
        <v>663</v>
      </c>
      <c r="F134" s="672" t="s">
        <v>649</v>
      </c>
      <c r="G134" s="672" t="s">
        <v>664</v>
      </c>
      <c r="H134" s="672" t="s">
        <v>484</v>
      </c>
      <c r="I134" s="672" t="s">
        <v>665</v>
      </c>
      <c r="J134" s="672" t="s">
        <v>666</v>
      </c>
      <c r="K134" s="672"/>
      <c r="L134" s="706">
        <v>0</v>
      </c>
      <c r="M134" s="706">
        <v>0</v>
      </c>
      <c r="N134" s="672">
        <v>3</v>
      </c>
      <c r="O134" s="707">
        <v>3</v>
      </c>
      <c r="P134" s="706">
        <v>0</v>
      </c>
      <c r="Q134" s="683"/>
      <c r="R134" s="672">
        <v>3</v>
      </c>
      <c r="S134" s="683">
        <v>1</v>
      </c>
      <c r="T134" s="707">
        <v>3</v>
      </c>
      <c r="U134" s="242">
        <v>1</v>
      </c>
    </row>
    <row r="135" spans="1:21" ht="14.4" customHeight="1" x14ac:dyDescent="0.3">
      <c r="A135" s="681">
        <v>22</v>
      </c>
      <c r="B135" s="672" t="s">
        <v>485</v>
      </c>
      <c r="C135" s="672">
        <v>89301222</v>
      </c>
      <c r="D135" s="704" t="s">
        <v>920</v>
      </c>
      <c r="E135" s="705" t="s">
        <v>663</v>
      </c>
      <c r="F135" s="672" t="s">
        <v>649</v>
      </c>
      <c r="G135" s="672" t="s">
        <v>667</v>
      </c>
      <c r="H135" s="672" t="s">
        <v>484</v>
      </c>
      <c r="I135" s="672" t="s">
        <v>668</v>
      </c>
      <c r="J135" s="672" t="s">
        <v>669</v>
      </c>
      <c r="K135" s="672" t="s">
        <v>670</v>
      </c>
      <c r="L135" s="706">
        <v>0</v>
      </c>
      <c r="M135" s="706">
        <v>0</v>
      </c>
      <c r="N135" s="672">
        <v>1</v>
      </c>
      <c r="O135" s="707">
        <v>1</v>
      </c>
      <c r="P135" s="706">
        <v>0</v>
      </c>
      <c r="Q135" s="683"/>
      <c r="R135" s="672">
        <v>1</v>
      </c>
      <c r="S135" s="683">
        <v>1</v>
      </c>
      <c r="T135" s="707">
        <v>1</v>
      </c>
      <c r="U135" s="242">
        <v>1</v>
      </c>
    </row>
    <row r="136" spans="1:21" ht="14.4" customHeight="1" x14ac:dyDescent="0.3">
      <c r="A136" s="681">
        <v>22</v>
      </c>
      <c r="B136" s="672" t="s">
        <v>485</v>
      </c>
      <c r="C136" s="672">
        <v>89301222</v>
      </c>
      <c r="D136" s="704" t="s">
        <v>920</v>
      </c>
      <c r="E136" s="705" t="s">
        <v>663</v>
      </c>
      <c r="F136" s="672" t="s">
        <v>649</v>
      </c>
      <c r="G136" s="672" t="s">
        <v>667</v>
      </c>
      <c r="H136" s="672" t="s">
        <v>484</v>
      </c>
      <c r="I136" s="672" t="s">
        <v>752</v>
      </c>
      <c r="J136" s="672" t="s">
        <v>753</v>
      </c>
      <c r="K136" s="672" t="s">
        <v>754</v>
      </c>
      <c r="L136" s="706">
        <v>86.76</v>
      </c>
      <c r="M136" s="706">
        <v>347.04</v>
      </c>
      <c r="N136" s="672">
        <v>4</v>
      </c>
      <c r="O136" s="707">
        <v>4</v>
      </c>
      <c r="P136" s="706">
        <v>86.76</v>
      </c>
      <c r="Q136" s="683">
        <v>0.25</v>
      </c>
      <c r="R136" s="672">
        <v>1</v>
      </c>
      <c r="S136" s="683">
        <v>0.25</v>
      </c>
      <c r="T136" s="707">
        <v>1</v>
      </c>
      <c r="U136" s="242">
        <v>0.25</v>
      </c>
    </row>
    <row r="137" spans="1:21" ht="14.4" customHeight="1" x14ac:dyDescent="0.3">
      <c r="A137" s="681">
        <v>22</v>
      </c>
      <c r="B137" s="672" t="s">
        <v>485</v>
      </c>
      <c r="C137" s="672">
        <v>89301222</v>
      </c>
      <c r="D137" s="704" t="s">
        <v>920</v>
      </c>
      <c r="E137" s="705" t="s">
        <v>663</v>
      </c>
      <c r="F137" s="672" t="s">
        <v>649</v>
      </c>
      <c r="G137" s="672" t="s">
        <v>667</v>
      </c>
      <c r="H137" s="672" t="s">
        <v>559</v>
      </c>
      <c r="I137" s="672" t="s">
        <v>671</v>
      </c>
      <c r="J137" s="672" t="s">
        <v>672</v>
      </c>
      <c r="K137" s="672" t="s">
        <v>673</v>
      </c>
      <c r="L137" s="706">
        <v>108.46</v>
      </c>
      <c r="M137" s="706">
        <v>325.38</v>
      </c>
      <c r="N137" s="672">
        <v>3</v>
      </c>
      <c r="O137" s="707">
        <v>3</v>
      </c>
      <c r="P137" s="706"/>
      <c r="Q137" s="683">
        <v>0</v>
      </c>
      <c r="R137" s="672"/>
      <c r="S137" s="683">
        <v>0</v>
      </c>
      <c r="T137" s="707"/>
      <c r="U137" s="242">
        <v>0</v>
      </c>
    </row>
    <row r="138" spans="1:21" ht="14.4" customHeight="1" x14ac:dyDescent="0.3">
      <c r="A138" s="681">
        <v>22</v>
      </c>
      <c r="B138" s="672" t="s">
        <v>485</v>
      </c>
      <c r="C138" s="672">
        <v>89301222</v>
      </c>
      <c r="D138" s="704" t="s">
        <v>920</v>
      </c>
      <c r="E138" s="705" t="s">
        <v>663</v>
      </c>
      <c r="F138" s="672" t="s">
        <v>649</v>
      </c>
      <c r="G138" s="672" t="s">
        <v>667</v>
      </c>
      <c r="H138" s="672" t="s">
        <v>484</v>
      </c>
      <c r="I138" s="672" t="s">
        <v>761</v>
      </c>
      <c r="J138" s="672" t="s">
        <v>762</v>
      </c>
      <c r="K138" s="672" t="s">
        <v>763</v>
      </c>
      <c r="L138" s="706">
        <v>108.46</v>
      </c>
      <c r="M138" s="706">
        <v>216.92</v>
      </c>
      <c r="N138" s="672">
        <v>2</v>
      </c>
      <c r="O138" s="707">
        <v>2</v>
      </c>
      <c r="P138" s="706">
        <v>108.46</v>
      </c>
      <c r="Q138" s="683">
        <v>0.5</v>
      </c>
      <c r="R138" s="672">
        <v>1</v>
      </c>
      <c r="S138" s="683">
        <v>0.5</v>
      </c>
      <c r="T138" s="707">
        <v>1</v>
      </c>
      <c r="U138" s="242">
        <v>0.5</v>
      </c>
    </row>
    <row r="139" spans="1:21" ht="14.4" customHeight="1" x14ac:dyDescent="0.3">
      <c r="A139" s="681">
        <v>22</v>
      </c>
      <c r="B139" s="672" t="s">
        <v>485</v>
      </c>
      <c r="C139" s="672">
        <v>89301222</v>
      </c>
      <c r="D139" s="704" t="s">
        <v>920</v>
      </c>
      <c r="E139" s="705" t="s">
        <v>663</v>
      </c>
      <c r="F139" s="672" t="s">
        <v>649</v>
      </c>
      <c r="G139" s="672" t="s">
        <v>667</v>
      </c>
      <c r="H139" s="672" t="s">
        <v>559</v>
      </c>
      <c r="I139" s="672" t="s">
        <v>674</v>
      </c>
      <c r="J139" s="672" t="s">
        <v>675</v>
      </c>
      <c r="K139" s="672" t="s">
        <v>676</v>
      </c>
      <c r="L139" s="706">
        <v>130.15</v>
      </c>
      <c r="M139" s="706">
        <v>5856.7500000000027</v>
      </c>
      <c r="N139" s="672">
        <v>45</v>
      </c>
      <c r="O139" s="707">
        <v>39.5</v>
      </c>
      <c r="P139" s="706">
        <v>1822.1000000000006</v>
      </c>
      <c r="Q139" s="683">
        <v>0.31111111111111106</v>
      </c>
      <c r="R139" s="672">
        <v>14</v>
      </c>
      <c r="S139" s="683">
        <v>0.31111111111111112</v>
      </c>
      <c r="T139" s="707">
        <v>12.5</v>
      </c>
      <c r="U139" s="242">
        <v>0.31645569620253167</v>
      </c>
    </row>
    <row r="140" spans="1:21" ht="14.4" customHeight="1" x14ac:dyDescent="0.3">
      <c r="A140" s="681">
        <v>22</v>
      </c>
      <c r="B140" s="672" t="s">
        <v>485</v>
      </c>
      <c r="C140" s="672">
        <v>89301222</v>
      </c>
      <c r="D140" s="704" t="s">
        <v>920</v>
      </c>
      <c r="E140" s="705" t="s">
        <v>663</v>
      </c>
      <c r="F140" s="672" t="s">
        <v>649</v>
      </c>
      <c r="G140" s="672" t="s">
        <v>667</v>
      </c>
      <c r="H140" s="672" t="s">
        <v>559</v>
      </c>
      <c r="I140" s="672" t="s">
        <v>697</v>
      </c>
      <c r="J140" s="672" t="s">
        <v>698</v>
      </c>
      <c r="K140" s="672" t="s">
        <v>699</v>
      </c>
      <c r="L140" s="706">
        <v>86.76</v>
      </c>
      <c r="M140" s="706">
        <v>2342.52</v>
      </c>
      <c r="N140" s="672">
        <v>27</v>
      </c>
      <c r="O140" s="707">
        <v>21.5</v>
      </c>
      <c r="P140" s="706">
        <v>607.32000000000005</v>
      </c>
      <c r="Q140" s="683">
        <v>0.2592592592592593</v>
      </c>
      <c r="R140" s="672">
        <v>7</v>
      </c>
      <c r="S140" s="683">
        <v>0.25925925925925924</v>
      </c>
      <c r="T140" s="707">
        <v>5.5</v>
      </c>
      <c r="U140" s="242">
        <v>0.2558139534883721</v>
      </c>
    </row>
    <row r="141" spans="1:21" ht="14.4" customHeight="1" x14ac:dyDescent="0.3">
      <c r="A141" s="681">
        <v>22</v>
      </c>
      <c r="B141" s="672" t="s">
        <v>485</v>
      </c>
      <c r="C141" s="672">
        <v>89301222</v>
      </c>
      <c r="D141" s="704" t="s">
        <v>920</v>
      </c>
      <c r="E141" s="705" t="s">
        <v>663</v>
      </c>
      <c r="F141" s="672" t="s">
        <v>649</v>
      </c>
      <c r="G141" s="672" t="s">
        <v>667</v>
      </c>
      <c r="H141" s="672" t="s">
        <v>484</v>
      </c>
      <c r="I141" s="672" t="s">
        <v>677</v>
      </c>
      <c r="J141" s="672" t="s">
        <v>678</v>
      </c>
      <c r="K141" s="672" t="s">
        <v>676</v>
      </c>
      <c r="L141" s="706">
        <v>130.15</v>
      </c>
      <c r="M141" s="706">
        <v>520.6</v>
      </c>
      <c r="N141" s="672">
        <v>4</v>
      </c>
      <c r="O141" s="707">
        <v>3.5</v>
      </c>
      <c r="P141" s="706">
        <v>130.15</v>
      </c>
      <c r="Q141" s="683">
        <v>0.25</v>
      </c>
      <c r="R141" s="672">
        <v>1</v>
      </c>
      <c r="S141" s="683">
        <v>0.25</v>
      </c>
      <c r="T141" s="707">
        <v>1</v>
      </c>
      <c r="U141" s="242">
        <v>0.2857142857142857</v>
      </c>
    </row>
    <row r="142" spans="1:21" ht="14.4" customHeight="1" x14ac:dyDescent="0.3">
      <c r="A142" s="681">
        <v>22</v>
      </c>
      <c r="B142" s="672" t="s">
        <v>485</v>
      </c>
      <c r="C142" s="672">
        <v>89301222</v>
      </c>
      <c r="D142" s="704" t="s">
        <v>920</v>
      </c>
      <c r="E142" s="705" t="s">
        <v>663</v>
      </c>
      <c r="F142" s="672" t="s">
        <v>649</v>
      </c>
      <c r="G142" s="672" t="s">
        <v>667</v>
      </c>
      <c r="H142" s="672" t="s">
        <v>484</v>
      </c>
      <c r="I142" s="672" t="s">
        <v>679</v>
      </c>
      <c r="J142" s="672" t="s">
        <v>680</v>
      </c>
      <c r="K142" s="672" t="s">
        <v>681</v>
      </c>
      <c r="L142" s="706">
        <v>86.76</v>
      </c>
      <c r="M142" s="706">
        <v>173.52</v>
      </c>
      <c r="N142" s="672">
        <v>2</v>
      </c>
      <c r="O142" s="707">
        <v>1.5</v>
      </c>
      <c r="P142" s="706"/>
      <c r="Q142" s="683">
        <v>0</v>
      </c>
      <c r="R142" s="672"/>
      <c r="S142" s="683">
        <v>0</v>
      </c>
      <c r="T142" s="707"/>
      <c r="U142" s="242">
        <v>0</v>
      </c>
    </row>
    <row r="143" spans="1:21" ht="14.4" customHeight="1" thickBot="1" x14ac:dyDescent="0.35">
      <c r="A143" s="637">
        <v>22</v>
      </c>
      <c r="B143" s="674" t="s">
        <v>485</v>
      </c>
      <c r="C143" s="674">
        <v>89301222</v>
      </c>
      <c r="D143" s="708" t="s">
        <v>920</v>
      </c>
      <c r="E143" s="709" t="s">
        <v>663</v>
      </c>
      <c r="F143" s="674" t="s">
        <v>649</v>
      </c>
      <c r="G143" s="674" t="s">
        <v>915</v>
      </c>
      <c r="H143" s="674" t="s">
        <v>484</v>
      </c>
      <c r="I143" s="674" t="s">
        <v>916</v>
      </c>
      <c r="J143" s="674" t="s">
        <v>917</v>
      </c>
      <c r="K143" s="674" t="s">
        <v>918</v>
      </c>
      <c r="L143" s="710">
        <v>64.13</v>
      </c>
      <c r="M143" s="710">
        <v>64.13</v>
      </c>
      <c r="N143" s="674">
        <v>1</v>
      </c>
      <c r="O143" s="711">
        <v>1</v>
      </c>
      <c r="P143" s="710"/>
      <c r="Q143" s="684">
        <v>0</v>
      </c>
      <c r="R143" s="674"/>
      <c r="S143" s="684">
        <v>0</v>
      </c>
      <c r="T143" s="711"/>
      <c r="U143" s="685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7" width="8.88671875" style="260" customWidth="1"/>
    <col min="8" max="16384" width="8.88671875" style="260"/>
  </cols>
  <sheetData>
    <row r="1" spans="1:6" ht="37.799999999999997" customHeight="1" thickBot="1" x14ac:dyDescent="0.4">
      <c r="A1" s="493" t="s">
        <v>922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712" t="s">
        <v>244</v>
      </c>
      <c r="B4" s="644" t="s">
        <v>17</v>
      </c>
      <c r="C4" s="645" t="s">
        <v>5</v>
      </c>
      <c r="D4" s="644" t="s">
        <v>17</v>
      </c>
      <c r="E4" s="645" t="s">
        <v>5</v>
      </c>
      <c r="F4" s="646" t="s">
        <v>17</v>
      </c>
    </row>
    <row r="5" spans="1:6" ht="14.4" customHeight="1" x14ac:dyDescent="0.3">
      <c r="A5" s="717" t="s">
        <v>657</v>
      </c>
      <c r="B5" s="235">
        <v>867.6</v>
      </c>
      <c r="C5" s="703">
        <v>0.20099617745858911</v>
      </c>
      <c r="D5" s="235">
        <v>3448.9000000000005</v>
      </c>
      <c r="E5" s="703">
        <v>0.79900382254141078</v>
      </c>
      <c r="F5" s="713">
        <v>4316.5000000000009</v>
      </c>
    </row>
    <row r="6" spans="1:6" ht="14.4" customHeight="1" x14ac:dyDescent="0.3">
      <c r="A6" s="718" t="s">
        <v>658</v>
      </c>
      <c r="B6" s="238">
        <v>862.77</v>
      </c>
      <c r="C6" s="683">
        <v>6.3208353053052002E-2</v>
      </c>
      <c r="D6" s="238">
        <v>12786.850000000004</v>
      </c>
      <c r="E6" s="683">
        <v>0.93679164694694794</v>
      </c>
      <c r="F6" s="714">
        <v>13649.620000000004</v>
      </c>
    </row>
    <row r="7" spans="1:6" ht="14.4" customHeight="1" x14ac:dyDescent="0.3">
      <c r="A7" s="718" t="s">
        <v>655</v>
      </c>
      <c r="B7" s="238">
        <v>455.78999999999996</v>
      </c>
      <c r="C7" s="683">
        <v>9.7227318105412242E-2</v>
      </c>
      <c r="D7" s="238">
        <v>4232.09</v>
      </c>
      <c r="E7" s="683">
        <v>0.9027726818945877</v>
      </c>
      <c r="F7" s="714">
        <v>4687.88</v>
      </c>
    </row>
    <row r="8" spans="1:6" ht="14.4" customHeight="1" x14ac:dyDescent="0.3">
      <c r="A8" s="718" t="s">
        <v>663</v>
      </c>
      <c r="B8" s="238">
        <v>347.04</v>
      </c>
      <c r="C8" s="683">
        <v>3.6712154871469366E-2</v>
      </c>
      <c r="D8" s="238">
        <v>9105.9600000000028</v>
      </c>
      <c r="E8" s="683">
        <v>0.9632878451285305</v>
      </c>
      <c r="F8" s="714">
        <v>9453.0000000000036</v>
      </c>
    </row>
    <row r="9" spans="1:6" ht="14.4" customHeight="1" x14ac:dyDescent="0.3">
      <c r="A9" s="718" t="s">
        <v>661</v>
      </c>
      <c r="B9" s="238">
        <v>337.14</v>
      </c>
      <c r="C9" s="683">
        <v>8.1744979135802753E-2</v>
      </c>
      <c r="D9" s="238">
        <v>3787.1500000000005</v>
      </c>
      <c r="E9" s="683">
        <v>0.91825502086419719</v>
      </c>
      <c r="F9" s="714">
        <v>4124.2900000000009</v>
      </c>
    </row>
    <row r="10" spans="1:6" ht="14.4" customHeight="1" x14ac:dyDescent="0.3">
      <c r="A10" s="718" t="s">
        <v>656</v>
      </c>
      <c r="B10" s="238">
        <v>108.46</v>
      </c>
      <c r="C10" s="683">
        <v>1</v>
      </c>
      <c r="D10" s="238"/>
      <c r="E10" s="683">
        <v>0</v>
      </c>
      <c r="F10" s="714">
        <v>108.46</v>
      </c>
    </row>
    <row r="11" spans="1:6" ht="14.4" customHeight="1" x14ac:dyDescent="0.3">
      <c r="A11" s="718" t="s">
        <v>662</v>
      </c>
      <c r="B11" s="238">
        <v>70.760000000000005</v>
      </c>
      <c r="C11" s="683">
        <v>6.6969524891160329E-2</v>
      </c>
      <c r="D11" s="238">
        <v>985.84</v>
      </c>
      <c r="E11" s="683">
        <v>0.93303047510883963</v>
      </c>
      <c r="F11" s="714">
        <v>1056.6000000000001</v>
      </c>
    </row>
    <row r="12" spans="1:6" ht="14.4" customHeight="1" thickBot="1" x14ac:dyDescent="0.35">
      <c r="A12" s="719" t="s">
        <v>659</v>
      </c>
      <c r="B12" s="650"/>
      <c r="C12" s="651">
        <v>0</v>
      </c>
      <c r="D12" s="650">
        <v>666.62</v>
      </c>
      <c r="E12" s="651">
        <v>1</v>
      </c>
      <c r="F12" s="716">
        <v>666.62</v>
      </c>
    </row>
    <row r="13" spans="1:6" ht="14.4" customHeight="1" thickBot="1" x14ac:dyDescent="0.35">
      <c r="A13" s="654" t="s">
        <v>6</v>
      </c>
      <c r="B13" s="655">
        <v>3049.56</v>
      </c>
      <c r="C13" s="656">
        <v>8.0118813639608238E-2</v>
      </c>
      <c r="D13" s="655">
        <v>35013.410000000003</v>
      </c>
      <c r="E13" s="656">
        <v>0.91988118636039162</v>
      </c>
      <c r="F13" s="657">
        <v>38062.970000000008</v>
      </c>
    </row>
    <row r="14" spans="1:6" ht="14.4" customHeight="1" thickBot="1" x14ac:dyDescent="0.35"/>
    <row r="15" spans="1:6" ht="14.4" customHeight="1" x14ac:dyDescent="0.3">
      <c r="A15" s="717" t="s">
        <v>923</v>
      </c>
      <c r="B15" s="235">
        <v>2038.8799999999999</v>
      </c>
      <c r="C15" s="703">
        <v>5.9705810780300433E-2</v>
      </c>
      <c r="D15" s="235">
        <v>32109.89</v>
      </c>
      <c r="E15" s="703">
        <v>0.94029418921969965</v>
      </c>
      <c r="F15" s="713">
        <v>34148.769999999997</v>
      </c>
    </row>
    <row r="16" spans="1:6" ht="14.4" customHeight="1" x14ac:dyDescent="0.3">
      <c r="A16" s="718" t="s">
        <v>924</v>
      </c>
      <c r="B16" s="238">
        <v>313.98</v>
      </c>
      <c r="C16" s="683">
        <v>1</v>
      </c>
      <c r="D16" s="238"/>
      <c r="E16" s="683">
        <v>0</v>
      </c>
      <c r="F16" s="714">
        <v>313.98</v>
      </c>
    </row>
    <row r="17" spans="1:6" ht="14.4" customHeight="1" x14ac:dyDescent="0.3">
      <c r="A17" s="718" t="s">
        <v>925</v>
      </c>
      <c r="B17" s="238">
        <v>222.25</v>
      </c>
      <c r="C17" s="683">
        <v>0.63977086271913419</v>
      </c>
      <c r="D17" s="238">
        <v>125.14</v>
      </c>
      <c r="E17" s="683">
        <v>0.36022913728086592</v>
      </c>
      <c r="F17" s="714">
        <v>347.39</v>
      </c>
    </row>
    <row r="18" spans="1:6" ht="14.4" customHeight="1" x14ac:dyDescent="0.3">
      <c r="A18" s="718" t="s">
        <v>926</v>
      </c>
      <c r="B18" s="238">
        <v>201.75</v>
      </c>
      <c r="C18" s="683">
        <v>1</v>
      </c>
      <c r="D18" s="238"/>
      <c r="E18" s="683">
        <v>0</v>
      </c>
      <c r="F18" s="714">
        <v>201.75</v>
      </c>
    </row>
    <row r="19" spans="1:6" ht="14.4" customHeight="1" x14ac:dyDescent="0.3">
      <c r="A19" s="718" t="s">
        <v>927</v>
      </c>
      <c r="B19" s="238">
        <v>94.289999999999992</v>
      </c>
      <c r="C19" s="683">
        <v>1</v>
      </c>
      <c r="D19" s="238"/>
      <c r="E19" s="683">
        <v>0</v>
      </c>
      <c r="F19" s="714">
        <v>94.289999999999992</v>
      </c>
    </row>
    <row r="20" spans="1:6" ht="14.4" customHeight="1" x14ac:dyDescent="0.3">
      <c r="A20" s="718" t="s">
        <v>928</v>
      </c>
      <c r="B20" s="238">
        <v>70.760000000000005</v>
      </c>
      <c r="C20" s="683">
        <v>1</v>
      </c>
      <c r="D20" s="238"/>
      <c r="E20" s="683">
        <v>0</v>
      </c>
      <c r="F20" s="714">
        <v>70.760000000000005</v>
      </c>
    </row>
    <row r="21" spans="1:6" ht="14.4" customHeight="1" x14ac:dyDescent="0.3">
      <c r="A21" s="718" t="s">
        <v>929</v>
      </c>
      <c r="B21" s="238">
        <v>60.02</v>
      </c>
      <c r="C21" s="683">
        <v>1</v>
      </c>
      <c r="D21" s="238"/>
      <c r="E21" s="683">
        <v>0</v>
      </c>
      <c r="F21" s="714">
        <v>60.02</v>
      </c>
    </row>
    <row r="22" spans="1:6" ht="14.4" customHeight="1" x14ac:dyDescent="0.3">
      <c r="A22" s="718" t="s">
        <v>930</v>
      </c>
      <c r="B22" s="238">
        <v>47.63</v>
      </c>
      <c r="C22" s="683">
        <v>0.33335666293393063</v>
      </c>
      <c r="D22" s="238">
        <v>95.25</v>
      </c>
      <c r="E22" s="683">
        <v>0.66664333706606949</v>
      </c>
      <c r="F22" s="714">
        <v>142.88</v>
      </c>
    </row>
    <row r="23" spans="1:6" ht="14.4" customHeight="1" x14ac:dyDescent="0.3">
      <c r="A23" s="718" t="s">
        <v>931</v>
      </c>
      <c r="B23" s="238"/>
      <c r="C23" s="683">
        <v>0</v>
      </c>
      <c r="D23" s="238">
        <v>581.30999999999995</v>
      </c>
      <c r="E23" s="683">
        <v>1</v>
      </c>
      <c r="F23" s="714">
        <v>581.30999999999995</v>
      </c>
    </row>
    <row r="24" spans="1:6" ht="14.4" customHeight="1" x14ac:dyDescent="0.3">
      <c r="A24" s="718" t="s">
        <v>932</v>
      </c>
      <c r="B24" s="238">
        <v>0</v>
      </c>
      <c r="C24" s="683"/>
      <c r="D24" s="238"/>
      <c r="E24" s="683"/>
      <c r="F24" s="714">
        <v>0</v>
      </c>
    </row>
    <row r="25" spans="1:6" ht="14.4" customHeight="1" x14ac:dyDescent="0.3">
      <c r="A25" s="718" t="s">
        <v>933</v>
      </c>
      <c r="B25" s="238"/>
      <c r="C25" s="683"/>
      <c r="D25" s="238">
        <v>0</v>
      </c>
      <c r="E25" s="683"/>
      <c r="F25" s="714">
        <v>0</v>
      </c>
    </row>
    <row r="26" spans="1:6" ht="14.4" customHeight="1" x14ac:dyDescent="0.3">
      <c r="A26" s="718" t="s">
        <v>934</v>
      </c>
      <c r="B26" s="238"/>
      <c r="C26" s="683">
        <v>0</v>
      </c>
      <c r="D26" s="238">
        <v>1325.89</v>
      </c>
      <c r="E26" s="683">
        <v>1</v>
      </c>
      <c r="F26" s="714">
        <v>1325.89</v>
      </c>
    </row>
    <row r="27" spans="1:6" ht="14.4" customHeight="1" x14ac:dyDescent="0.3">
      <c r="A27" s="718" t="s">
        <v>935</v>
      </c>
      <c r="B27" s="238"/>
      <c r="C27" s="683">
        <v>0</v>
      </c>
      <c r="D27" s="238">
        <v>41.89</v>
      </c>
      <c r="E27" s="683">
        <v>1</v>
      </c>
      <c r="F27" s="714">
        <v>41.89</v>
      </c>
    </row>
    <row r="28" spans="1:6" ht="14.4" customHeight="1" x14ac:dyDescent="0.3">
      <c r="A28" s="718" t="s">
        <v>936</v>
      </c>
      <c r="B28" s="238"/>
      <c r="C28" s="683">
        <v>0</v>
      </c>
      <c r="D28" s="238">
        <v>67.42</v>
      </c>
      <c r="E28" s="683">
        <v>1</v>
      </c>
      <c r="F28" s="714">
        <v>67.42</v>
      </c>
    </row>
    <row r="29" spans="1:6" ht="14.4" customHeight="1" thickBot="1" x14ac:dyDescent="0.35">
      <c r="A29" s="719" t="s">
        <v>642</v>
      </c>
      <c r="B29" s="650"/>
      <c r="C29" s="651">
        <v>0</v>
      </c>
      <c r="D29" s="650">
        <v>666.62</v>
      </c>
      <c r="E29" s="651">
        <v>1</v>
      </c>
      <c r="F29" s="716">
        <v>666.62</v>
      </c>
    </row>
    <row r="30" spans="1:6" ht="14.4" customHeight="1" thickBot="1" x14ac:dyDescent="0.35">
      <c r="A30" s="654" t="s">
        <v>6</v>
      </c>
      <c r="B30" s="655">
        <v>3049.5600000000004</v>
      </c>
      <c r="C30" s="656">
        <v>8.0118813639608266E-2</v>
      </c>
      <c r="D30" s="655">
        <v>35013.410000000003</v>
      </c>
      <c r="E30" s="656">
        <v>0.91988118636039184</v>
      </c>
      <c r="F30" s="657">
        <v>38062.97</v>
      </c>
    </row>
  </sheetData>
  <mergeCells count="3">
    <mergeCell ref="A1:F1"/>
    <mergeCell ref="B3:C3"/>
    <mergeCell ref="D3:E3"/>
  </mergeCells>
  <conditionalFormatting sqref="C5:C1048576">
    <cfRule type="cellIs" dxfId="34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{DE545575-65BB-459F-A25F-1A2399D1DB48}</x14:id>
        </ext>
      </extLst>
    </cfRule>
  </conditionalFormatting>
  <conditionalFormatting sqref="F15:F2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{0B50F41E-FB6B-4045-AE68-CE9230F59A15}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545575-65BB-459F-A25F-1A2399D1DB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0B50F41E-FB6B-4045-AE68-CE9230F59A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F15:F29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60" customWidth="1"/>
    <col min="2" max="2" width="8.88671875" style="260" bestFit="1" customWidth="1"/>
    <col min="3" max="3" width="7" style="260" bestFit="1" customWidth="1"/>
    <col min="4" max="5" width="22.21875" style="260" customWidth="1"/>
    <col min="6" max="6" width="6.6640625" style="343" customWidth="1"/>
    <col min="7" max="7" width="10" style="343" customWidth="1"/>
    <col min="8" max="8" width="6.77734375" style="346" customWidth="1"/>
    <col min="9" max="9" width="6.6640625" style="343" customWidth="1"/>
    <col min="10" max="10" width="10" style="343" customWidth="1"/>
    <col min="11" max="11" width="6.77734375" style="346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951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40</v>
      </c>
      <c r="G3" s="47">
        <f>SUBTOTAL(9,G6:G1048576)</f>
        <v>3049.5600000000004</v>
      </c>
      <c r="H3" s="48">
        <f>IF(M3=0,0,G3/M3)</f>
        <v>8.0118813639608266E-2</v>
      </c>
      <c r="I3" s="47">
        <f>SUBTOTAL(9,I6:I1048576)</f>
        <v>310</v>
      </c>
      <c r="J3" s="47">
        <f>SUBTOTAL(9,J6:J1048576)</f>
        <v>35013.409999999996</v>
      </c>
      <c r="K3" s="48">
        <f>IF(M3=0,0,J3/M3)</f>
        <v>0.91988118636039162</v>
      </c>
      <c r="L3" s="47">
        <f>SUBTOTAL(9,L6:L1048576)</f>
        <v>350</v>
      </c>
      <c r="M3" s="49">
        <f>SUBTOTAL(9,M6:M1048576)</f>
        <v>38062.97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712" t="s">
        <v>171</v>
      </c>
      <c r="B5" s="720" t="s">
        <v>167</v>
      </c>
      <c r="C5" s="720" t="s">
        <v>93</v>
      </c>
      <c r="D5" s="720" t="s">
        <v>168</v>
      </c>
      <c r="E5" s="720" t="s">
        <v>169</v>
      </c>
      <c r="F5" s="663" t="s">
        <v>31</v>
      </c>
      <c r="G5" s="663" t="s">
        <v>17</v>
      </c>
      <c r="H5" s="645" t="s">
        <v>170</v>
      </c>
      <c r="I5" s="644" t="s">
        <v>31</v>
      </c>
      <c r="J5" s="663" t="s">
        <v>17</v>
      </c>
      <c r="K5" s="645" t="s">
        <v>170</v>
      </c>
      <c r="L5" s="644" t="s">
        <v>31</v>
      </c>
      <c r="M5" s="664" t="s">
        <v>17</v>
      </c>
    </row>
    <row r="6" spans="1:13" ht="14.4" customHeight="1" x14ac:dyDescent="0.3">
      <c r="A6" s="697" t="s">
        <v>655</v>
      </c>
      <c r="B6" s="698" t="s">
        <v>937</v>
      </c>
      <c r="C6" s="698" t="s">
        <v>749</v>
      </c>
      <c r="D6" s="698" t="s">
        <v>750</v>
      </c>
      <c r="E6" s="698" t="s">
        <v>751</v>
      </c>
      <c r="F6" s="235">
        <v>1</v>
      </c>
      <c r="G6" s="235">
        <v>0</v>
      </c>
      <c r="H6" s="703"/>
      <c r="I6" s="235"/>
      <c r="J6" s="235"/>
      <c r="K6" s="703"/>
      <c r="L6" s="235">
        <v>1</v>
      </c>
      <c r="M6" s="713">
        <v>0</v>
      </c>
    </row>
    <row r="7" spans="1:13" ht="14.4" customHeight="1" x14ac:dyDescent="0.3">
      <c r="A7" s="681" t="s">
        <v>655</v>
      </c>
      <c r="B7" s="672" t="s">
        <v>938</v>
      </c>
      <c r="C7" s="672" t="s">
        <v>765</v>
      </c>
      <c r="D7" s="672" t="s">
        <v>766</v>
      </c>
      <c r="E7" s="672" t="s">
        <v>767</v>
      </c>
      <c r="F7" s="238">
        <v>1</v>
      </c>
      <c r="G7" s="238">
        <v>60.02</v>
      </c>
      <c r="H7" s="683">
        <v>1</v>
      </c>
      <c r="I7" s="238"/>
      <c r="J7" s="238"/>
      <c r="K7" s="683">
        <v>0</v>
      </c>
      <c r="L7" s="238">
        <v>1</v>
      </c>
      <c r="M7" s="714">
        <v>60.02</v>
      </c>
    </row>
    <row r="8" spans="1:13" ht="14.4" customHeight="1" x14ac:dyDescent="0.3">
      <c r="A8" s="681" t="s">
        <v>655</v>
      </c>
      <c r="B8" s="672" t="s">
        <v>939</v>
      </c>
      <c r="C8" s="672" t="s">
        <v>776</v>
      </c>
      <c r="D8" s="672" t="s">
        <v>777</v>
      </c>
      <c r="E8" s="672" t="s">
        <v>778</v>
      </c>
      <c r="F8" s="238"/>
      <c r="G8" s="238"/>
      <c r="H8" s="683">
        <v>0</v>
      </c>
      <c r="I8" s="238">
        <v>1</v>
      </c>
      <c r="J8" s="238">
        <v>67.42</v>
      </c>
      <c r="K8" s="683">
        <v>1</v>
      </c>
      <c r="L8" s="238">
        <v>1</v>
      </c>
      <c r="M8" s="714">
        <v>67.42</v>
      </c>
    </row>
    <row r="9" spans="1:13" ht="14.4" customHeight="1" x14ac:dyDescent="0.3">
      <c r="A9" s="681" t="s">
        <v>655</v>
      </c>
      <c r="B9" s="672" t="s">
        <v>940</v>
      </c>
      <c r="C9" s="672" t="s">
        <v>752</v>
      </c>
      <c r="D9" s="672" t="s">
        <v>753</v>
      </c>
      <c r="E9" s="672" t="s">
        <v>754</v>
      </c>
      <c r="F9" s="238">
        <v>2</v>
      </c>
      <c r="G9" s="238">
        <v>173.52</v>
      </c>
      <c r="H9" s="683">
        <v>1</v>
      </c>
      <c r="I9" s="238"/>
      <c r="J9" s="238"/>
      <c r="K9" s="683">
        <v>0</v>
      </c>
      <c r="L9" s="238">
        <v>2</v>
      </c>
      <c r="M9" s="714">
        <v>173.52</v>
      </c>
    </row>
    <row r="10" spans="1:13" ht="14.4" customHeight="1" x14ac:dyDescent="0.3">
      <c r="A10" s="681" t="s">
        <v>655</v>
      </c>
      <c r="B10" s="672" t="s">
        <v>940</v>
      </c>
      <c r="C10" s="672" t="s">
        <v>755</v>
      </c>
      <c r="D10" s="672" t="s">
        <v>756</v>
      </c>
      <c r="E10" s="672" t="s">
        <v>757</v>
      </c>
      <c r="F10" s="238"/>
      <c r="G10" s="238"/>
      <c r="H10" s="683">
        <v>0</v>
      </c>
      <c r="I10" s="238">
        <v>1</v>
      </c>
      <c r="J10" s="238">
        <v>65.069999999999993</v>
      </c>
      <c r="K10" s="683">
        <v>1</v>
      </c>
      <c r="L10" s="238">
        <v>1</v>
      </c>
      <c r="M10" s="714">
        <v>65.069999999999993</v>
      </c>
    </row>
    <row r="11" spans="1:13" ht="14.4" customHeight="1" x14ac:dyDescent="0.3">
      <c r="A11" s="681" t="s">
        <v>655</v>
      </c>
      <c r="B11" s="672" t="s">
        <v>940</v>
      </c>
      <c r="C11" s="672" t="s">
        <v>671</v>
      </c>
      <c r="D11" s="672" t="s">
        <v>672</v>
      </c>
      <c r="E11" s="672" t="s">
        <v>673</v>
      </c>
      <c r="F11" s="238"/>
      <c r="G11" s="238"/>
      <c r="H11" s="683">
        <v>0</v>
      </c>
      <c r="I11" s="238">
        <v>1</v>
      </c>
      <c r="J11" s="238">
        <v>108.46</v>
      </c>
      <c r="K11" s="683">
        <v>1</v>
      </c>
      <c r="L11" s="238">
        <v>1</v>
      </c>
      <c r="M11" s="714">
        <v>108.46</v>
      </c>
    </row>
    <row r="12" spans="1:13" ht="14.4" customHeight="1" x14ac:dyDescent="0.3">
      <c r="A12" s="681" t="s">
        <v>655</v>
      </c>
      <c r="B12" s="672" t="s">
        <v>940</v>
      </c>
      <c r="C12" s="672" t="s">
        <v>674</v>
      </c>
      <c r="D12" s="672" t="s">
        <v>675</v>
      </c>
      <c r="E12" s="672" t="s">
        <v>676</v>
      </c>
      <c r="F12" s="238"/>
      <c r="G12" s="238"/>
      <c r="H12" s="683">
        <v>0</v>
      </c>
      <c r="I12" s="238">
        <v>18</v>
      </c>
      <c r="J12" s="238">
        <v>2342.7000000000003</v>
      </c>
      <c r="K12" s="683">
        <v>1</v>
      </c>
      <c r="L12" s="238">
        <v>18</v>
      </c>
      <c r="M12" s="714">
        <v>2342.7000000000003</v>
      </c>
    </row>
    <row r="13" spans="1:13" ht="14.4" customHeight="1" x14ac:dyDescent="0.3">
      <c r="A13" s="681" t="s">
        <v>655</v>
      </c>
      <c r="B13" s="672" t="s">
        <v>940</v>
      </c>
      <c r="C13" s="672" t="s">
        <v>697</v>
      </c>
      <c r="D13" s="672" t="s">
        <v>698</v>
      </c>
      <c r="E13" s="672" t="s">
        <v>699</v>
      </c>
      <c r="F13" s="238"/>
      <c r="G13" s="238"/>
      <c r="H13" s="683">
        <v>0</v>
      </c>
      <c r="I13" s="238">
        <v>19</v>
      </c>
      <c r="J13" s="238">
        <v>1648.44</v>
      </c>
      <c r="K13" s="683">
        <v>1</v>
      </c>
      <c r="L13" s="238">
        <v>19</v>
      </c>
      <c r="M13" s="714">
        <v>1648.44</v>
      </c>
    </row>
    <row r="14" spans="1:13" ht="14.4" customHeight="1" x14ac:dyDescent="0.3">
      <c r="A14" s="681" t="s">
        <v>655</v>
      </c>
      <c r="B14" s="672" t="s">
        <v>941</v>
      </c>
      <c r="C14" s="672" t="s">
        <v>725</v>
      </c>
      <c r="D14" s="672" t="s">
        <v>726</v>
      </c>
      <c r="E14" s="672" t="s">
        <v>727</v>
      </c>
      <c r="F14" s="238">
        <v>1</v>
      </c>
      <c r="G14" s="238">
        <v>222.25</v>
      </c>
      <c r="H14" s="683">
        <v>1</v>
      </c>
      <c r="I14" s="238"/>
      <c r="J14" s="238"/>
      <c r="K14" s="683">
        <v>0</v>
      </c>
      <c r="L14" s="238">
        <v>1</v>
      </c>
      <c r="M14" s="714">
        <v>222.25</v>
      </c>
    </row>
    <row r="15" spans="1:13" ht="14.4" customHeight="1" x14ac:dyDescent="0.3">
      <c r="A15" s="681" t="s">
        <v>655</v>
      </c>
      <c r="B15" s="672" t="s">
        <v>942</v>
      </c>
      <c r="C15" s="672" t="s">
        <v>721</v>
      </c>
      <c r="D15" s="672" t="s">
        <v>722</v>
      </c>
      <c r="E15" s="672" t="s">
        <v>723</v>
      </c>
      <c r="F15" s="238">
        <v>1</v>
      </c>
      <c r="G15" s="238">
        <v>0</v>
      </c>
      <c r="H15" s="683"/>
      <c r="I15" s="238"/>
      <c r="J15" s="238"/>
      <c r="K15" s="683"/>
      <c r="L15" s="238">
        <v>1</v>
      </c>
      <c r="M15" s="714">
        <v>0</v>
      </c>
    </row>
    <row r="16" spans="1:13" ht="14.4" customHeight="1" x14ac:dyDescent="0.3">
      <c r="A16" s="681" t="s">
        <v>655</v>
      </c>
      <c r="B16" s="672" t="s">
        <v>943</v>
      </c>
      <c r="C16" s="672" t="s">
        <v>729</v>
      </c>
      <c r="D16" s="672" t="s">
        <v>730</v>
      </c>
      <c r="E16" s="672" t="s">
        <v>731</v>
      </c>
      <c r="F16" s="238">
        <v>1</v>
      </c>
      <c r="G16" s="238">
        <v>0</v>
      </c>
      <c r="H16" s="683"/>
      <c r="I16" s="238"/>
      <c r="J16" s="238"/>
      <c r="K16" s="683"/>
      <c r="L16" s="238">
        <v>1</v>
      </c>
      <c r="M16" s="714">
        <v>0</v>
      </c>
    </row>
    <row r="17" spans="1:13" ht="14.4" customHeight="1" x14ac:dyDescent="0.3">
      <c r="A17" s="681" t="s">
        <v>656</v>
      </c>
      <c r="B17" s="672" t="s">
        <v>940</v>
      </c>
      <c r="C17" s="672" t="s">
        <v>791</v>
      </c>
      <c r="D17" s="672" t="s">
        <v>672</v>
      </c>
      <c r="E17" s="672" t="s">
        <v>673</v>
      </c>
      <c r="F17" s="238">
        <v>1</v>
      </c>
      <c r="G17" s="238">
        <v>108.46</v>
      </c>
      <c r="H17" s="683">
        <v>1</v>
      </c>
      <c r="I17" s="238"/>
      <c r="J17" s="238"/>
      <c r="K17" s="683">
        <v>0</v>
      </c>
      <c r="L17" s="238">
        <v>1</v>
      </c>
      <c r="M17" s="714">
        <v>108.46</v>
      </c>
    </row>
    <row r="18" spans="1:13" ht="14.4" customHeight="1" x14ac:dyDescent="0.3">
      <c r="A18" s="681" t="s">
        <v>656</v>
      </c>
      <c r="B18" s="672" t="s">
        <v>940</v>
      </c>
      <c r="C18" s="672" t="s">
        <v>792</v>
      </c>
      <c r="D18" s="672" t="s">
        <v>698</v>
      </c>
      <c r="E18" s="672" t="s">
        <v>793</v>
      </c>
      <c r="F18" s="238">
        <v>1</v>
      </c>
      <c r="G18" s="238">
        <v>0</v>
      </c>
      <c r="H18" s="683"/>
      <c r="I18" s="238"/>
      <c r="J18" s="238"/>
      <c r="K18" s="683"/>
      <c r="L18" s="238">
        <v>1</v>
      </c>
      <c r="M18" s="714">
        <v>0</v>
      </c>
    </row>
    <row r="19" spans="1:13" ht="14.4" customHeight="1" x14ac:dyDescent="0.3">
      <c r="A19" s="681" t="s">
        <v>657</v>
      </c>
      <c r="B19" s="672" t="s">
        <v>940</v>
      </c>
      <c r="C19" s="672" t="s">
        <v>752</v>
      </c>
      <c r="D19" s="672" t="s">
        <v>753</v>
      </c>
      <c r="E19" s="672" t="s">
        <v>754</v>
      </c>
      <c r="F19" s="238">
        <v>10</v>
      </c>
      <c r="G19" s="238">
        <v>867.6</v>
      </c>
      <c r="H19" s="683">
        <v>1</v>
      </c>
      <c r="I19" s="238"/>
      <c r="J19" s="238"/>
      <c r="K19" s="683">
        <v>0</v>
      </c>
      <c r="L19" s="238">
        <v>10</v>
      </c>
      <c r="M19" s="714">
        <v>867.6</v>
      </c>
    </row>
    <row r="20" spans="1:13" ht="14.4" customHeight="1" x14ac:dyDescent="0.3">
      <c r="A20" s="681" t="s">
        <v>657</v>
      </c>
      <c r="B20" s="672" t="s">
        <v>940</v>
      </c>
      <c r="C20" s="672" t="s">
        <v>755</v>
      </c>
      <c r="D20" s="672" t="s">
        <v>756</v>
      </c>
      <c r="E20" s="672" t="s">
        <v>757</v>
      </c>
      <c r="F20" s="238"/>
      <c r="G20" s="238"/>
      <c r="H20" s="683">
        <v>0</v>
      </c>
      <c r="I20" s="238">
        <v>1</v>
      </c>
      <c r="J20" s="238">
        <v>65.069999999999993</v>
      </c>
      <c r="K20" s="683">
        <v>1</v>
      </c>
      <c r="L20" s="238">
        <v>1</v>
      </c>
      <c r="M20" s="714">
        <v>65.069999999999993</v>
      </c>
    </row>
    <row r="21" spans="1:13" ht="14.4" customHeight="1" x14ac:dyDescent="0.3">
      <c r="A21" s="681" t="s">
        <v>657</v>
      </c>
      <c r="B21" s="672" t="s">
        <v>940</v>
      </c>
      <c r="C21" s="672" t="s">
        <v>671</v>
      </c>
      <c r="D21" s="672" t="s">
        <v>672</v>
      </c>
      <c r="E21" s="672" t="s">
        <v>673</v>
      </c>
      <c r="F21" s="238"/>
      <c r="G21" s="238"/>
      <c r="H21" s="683">
        <v>0</v>
      </c>
      <c r="I21" s="238">
        <v>2</v>
      </c>
      <c r="J21" s="238">
        <v>216.92</v>
      </c>
      <c r="K21" s="683">
        <v>1</v>
      </c>
      <c r="L21" s="238">
        <v>2</v>
      </c>
      <c r="M21" s="714">
        <v>216.92</v>
      </c>
    </row>
    <row r="22" spans="1:13" ht="14.4" customHeight="1" x14ac:dyDescent="0.3">
      <c r="A22" s="681" t="s">
        <v>657</v>
      </c>
      <c r="B22" s="672" t="s">
        <v>940</v>
      </c>
      <c r="C22" s="672" t="s">
        <v>674</v>
      </c>
      <c r="D22" s="672" t="s">
        <v>675</v>
      </c>
      <c r="E22" s="672" t="s">
        <v>676</v>
      </c>
      <c r="F22" s="238"/>
      <c r="G22" s="238"/>
      <c r="H22" s="683">
        <v>0</v>
      </c>
      <c r="I22" s="238">
        <v>17</v>
      </c>
      <c r="J22" s="238">
        <v>2212.5500000000002</v>
      </c>
      <c r="K22" s="683">
        <v>1</v>
      </c>
      <c r="L22" s="238">
        <v>17</v>
      </c>
      <c r="M22" s="714">
        <v>2212.5500000000002</v>
      </c>
    </row>
    <row r="23" spans="1:13" ht="14.4" customHeight="1" x14ac:dyDescent="0.3">
      <c r="A23" s="681" t="s">
        <v>657</v>
      </c>
      <c r="B23" s="672" t="s">
        <v>940</v>
      </c>
      <c r="C23" s="672" t="s">
        <v>697</v>
      </c>
      <c r="D23" s="672" t="s">
        <v>698</v>
      </c>
      <c r="E23" s="672" t="s">
        <v>699</v>
      </c>
      <c r="F23" s="238"/>
      <c r="G23" s="238"/>
      <c r="H23" s="683">
        <v>0</v>
      </c>
      <c r="I23" s="238">
        <v>11</v>
      </c>
      <c r="J23" s="238">
        <v>954.36000000000013</v>
      </c>
      <c r="K23" s="683">
        <v>1</v>
      </c>
      <c r="L23" s="238">
        <v>11</v>
      </c>
      <c r="M23" s="714">
        <v>954.36000000000013</v>
      </c>
    </row>
    <row r="24" spans="1:13" ht="14.4" customHeight="1" x14ac:dyDescent="0.3">
      <c r="A24" s="681" t="s">
        <v>657</v>
      </c>
      <c r="B24" s="672" t="s">
        <v>944</v>
      </c>
      <c r="C24" s="672" t="s">
        <v>816</v>
      </c>
      <c r="D24" s="672" t="s">
        <v>817</v>
      </c>
      <c r="E24" s="672" t="s">
        <v>818</v>
      </c>
      <c r="F24" s="238"/>
      <c r="G24" s="238"/>
      <c r="H24" s="683"/>
      <c r="I24" s="238">
        <v>2</v>
      </c>
      <c r="J24" s="238">
        <v>0</v>
      </c>
      <c r="K24" s="683"/>
      <c r="L24" s="238">
        <v>2</v>
      </c>
      <c r="M24" s="714">
        <v>0</v>
      </c>
    </row>
    <row r="25" spans="1:13" ht="14.4" customHeight="1" x14ac:dyDescent="0.3">
      <c r="A25" s="681" t="s">
        <v>663</v>
      </c>
      <c r="B25" s="672" t="s">
        <v>945</v>
      </c>
      <c r="C25" s="672" t="s">
        <v>912</v>
      </c>
      <c r="D25" s="672" t="s">
        <v>913</v>
      </c>
      <c r="E25" s="672" t="s">
        <v>914</v>
      </c>
      <c r="F25" s="238"/>
      <c r="G25" s="238"/>
      <c r="H25" s="683">
        <v>0</v>
      </c>
      <c r="I25" s="238">
        <v>1</v>
      </c>
      <c r="J25" s="238">
        <v>581.30999999999995</v>
      </c>
      <c r="K25" s="683">
        <v>1</v>
      </c>
      <c r="L25" s="238">
        <v>1</v>
      </c>
      <c r="M25" s="714">
        <v>581.30999999999995</v>
      </c>
    </row>
    <row r="26" spans="1:13" ht="14.4" customHeight="1" x14ac:dyDescent="0.3">
      <c r="A26" s="681" t="s">
        <v>663</v>
      </c>
      <c r="B26" s="672" t="s">
        <v>940</v>
      </c>
      <c r="C26" s="672" t="s">
        <v>752</v>
      </c>
      <c r="D26" s="672" t="s">
        <v>753</v>
      </c>
      <c r="E26" s="672" t="s">
        <v>754</v>
      </c>
      <c r="F26" s="238">
        <v>4</v>
      </c>
      <c r="G26" s="238">
        <v>347.04</v>
      </c>
      <c r="H26" s="683">
        <v>1</v>
      </c>
      <c r="I26" s="238"/>
      <c r="J26" s="238"/>
      <c r="K26" s="683">
        <v>0</v>
      </c>
      <c r="L26" s="238">
        <v>4</v>
      </c>
      <c r="M26" s="714">
        <v>347.04</v>
      </c>
    </row>
    <row r="27" spans="1:13" ht="14.4" customHeight="1" x14ac:dyDescent="0.3">
      <c r="A27" s="681" t="s">
        <v>663</v>
      </c>
      <c r="B27" s="672" t="s">
        <v>940</v>
      </c>
      <c r="C27" s="672" t="s">
        <v>671</v>
      </c>
      <c r="D27" s="672" t="s">
        <v>672</v>
      </c>
      <c r="E27" s="672" t="s">
        <v>673</v>
      </c>
      <c r="F27" s="238"/>
      <c r="G27" s="238"/>
      <c r="H27" s="683">
        <v>0</v>
      </c>
      <c r="I27" s="238">
        <v>3</v>
      </c>
      <c r="J27" s="238">
        <v>325.38</v>
      </c>
      <c r="K27" s="683">
        <v>1</v>
      </c>
      <c r="L27" s="238">
        <v>3</v>
      </c>
      <c r="M27" s="714">
        <v>325.38</v>
      </c>
    </row>
    <row r="28" spans="1:13" ht="14.4" customHeight="1" x14ac:dyDescent="0.3">
      <c r="A28" s="681" t="s">
        <v>663</v>
      </c>
      <c r="B28" s="672" t="s">
        <v>940</v>
      </c>
      <c r="C28" s="672" t="s">
        <v>674</v>
      </c>
      <c r="D28" s="672" t="s">
        <v>675</v>
      </c>
      <c r="E28" s="672" t="s">
        <v>676</v>
      </c>
      <c r="F28" s="238"/>
      <c r="G28" s="238"/>
      <c r="H28" s="683">
        <v>0</v>
      </c>
      <c r="I28" s="238">
        <v>45</v>
      </c>
      <c r="J28" s="238">
        <v>5856.7500000000027</v>
      </c>
      <c r="K28" s="683">
        <v>1</v>
      </c>
      <c r="L28" s="238">
        <v>45</v>
      </c>
      <c r="M28" s="714">
        <v>5856.7500000000027</v>
      </c>
    </row>
    <row r="29" spans="1:13" ht="14.4" customHeight="1" x14ac:dyDescent="0.3">
      <c r="A29" s="681" t="s">
        <v>663</v>
      </c>
      <c r="B29" s="672" t="s">
        <v>940</v>
      </c>
      <c r="C29" s="672" t="s">
        <v>697</v>
      </c>
      <c r="D29" s="672" t="s">
        <v>698</v>
      </c>
      <c r="E29" s="672" t="s">
        <v>699</v>
      </c>
      <c r="F29" s="238"/>
      <c r="G29" s="238"/>
      <c r="H29" s="683">
        <v>0</v>
      </c>
      <c r="I29" s="238">
        <v>27</v>
      </c>
      <c r="J29" s="238">
        <v>2342.52</v>
      </c>
      <c r="K29" s="683">
        <v>1</v>
      </c>
      <c r="L29" s="238">
        <v>27</v>
      </c>
      <c r="M29" s="714">
        <v>2342.52</v>
      </c>
    </row>
    <row r="30" spans="1:13" ht="14.4" customHeight="1" x14ac:dyDescent="0.3">
      <c r="A30" s="681" t="s">
        <v>658</v>
      </c>
      <c r="B30" s="672" t="s">
        <v>937</v>
      </c>
      <c r="C30" s="672" t="s">
        <v>836</v>
      </c>
      <c r="D30" s="672" t="s">
        <v>837</v>
      </c>
      <c r="E30" s="672" t="s">
        <v>751</v>
      </c>
      <c r="F30" s="238">
        <v>1</v>
      </c>
      <c r="G30" s="238">
        <v>313.98</v>
      </c>
      <c r="H30" s="683">
        <v>1</v>
      </c>
      <c r="I30" s="238"/>
      <c r="J30" s="238"/>
      <c r="K30" s="683">
        <v>0</v>
      </c>
      <c r="L30" s="238">
        <v>1</v>
      </c>
      <c r="M30" s="714">
        <v>313.98</v>
      </c>
    </row>
    <row r="31" spans="1:13" ht="14.4" customHeight="1" x14ac:dyDescent="0.3">
      <c r="A31" s="681" t="s">
        <v>658</v>
      </c>
      <c r="B31" s="672" t="s">
        <v>946</v>
      </c>
      <c r="C31" s="672" t="s">
        <v>822</v>
      </c>
      <c r="D31" s="672" t="s">
        <v>823</v>
      </c>
      <c r="E31" s="672" t="s">
        <v>824</v>
      </c>
      <c r="F31" s="238"/>
      <c r="G31" s="238"/>
      <c r="H31" s="683">
        <v>0</v>
      </c>
      <c r="I31" s="238">
        <v>1</v>
      </c>
      <c r="J31" s="238">
        <v>435.3</v>
      </c>
      <c r="K31" s="683">
        <v>1</v>
      </c>
      <c r="L31" s="238">
        <v>1</v>
      </c>
      <c r="M31" s="714">
        <v>435.3</v>
      </c>
    </row>
    <row r="32" spans="1:13" ht="14.4" customHeight="1" x14ac:dyDescent="0.3">
      <c r="A32" s="681" t="s">
        <v>658</v>
      </c>
      <c r="B32" s="672" t="s">
        <v>940</v>
      </c>
      <c r="C32" s="672" t="s">
        <v>752</v>
      </c>
      <c r="D32" s="672" t="s">
        <v>753</v>
      </c>
      <c r="E32" s="672" t="s">
        <v>754</v>
      </c>
      <c r="F32" s="238">
        <v>4</v>
      </c>
      <c r="G32" s="238">
        <v>347.04</v>
      </c>
      <c r="H32" s="683">
        <v>1</v>
      </c>
      <c r="I32" s="238"/>
      <c r="J32" s="238"/>
      <c r="K32" s="683">
        <v>0</v>
      </c>
      <c r="L32" s="238">
        <v>4</v>
      </c>
      <c r="M32" s="714">
        <v>347.04</v>
      </c>
    </row>
    <row r="33" spans="1:13" ht="14.4" customHeight="1" x14ac:dyDescent="0.3">
      <c r="A33" s="681" t="s">
        <v>658</v>
      </c>
      <c r="B33" s="672" t="s">
        <v>940</v>
      </c>
      <c r="C33" s="672" t="s">
        <v>755</v>
      </c>
      <c r="D33" s="672" t="s">
        <v>756</v>
      </c>
      <c r="E33" s="672" t="s">
        <v>757</v>
      </c>
      <c r="F33" s="238"/>
      <c r="G33" s="238"/>
      <c r="H33" s="683">
        <v>0</v>
      </c>
      <c r="I33" s="238">
        <v>3</v>
      </c>
      <c r="J33" s="238">
        <v>195.20999999999998</v>
      </c>
      <c r="K33" s="683">
        <v>1</v>
      </c>
      <c r="L33" s="238">
        <v>3</v>
      </c>
      <c r="M33" s="714">
        <v>195.20999999999998</v>
      </c>
    </row>
    <row r="34" spans="1:13" ht="14.4" customHeight="1" x14ac:dyDescent="0.3">
      <c r="A34" s="681" t="s">
        <v>658</v>
      </c>
      <c r="B34" s="672" t="s">
        <v>940</v>
      </c>
      <c r="C34" s="672" t="s">
        <v>671</v>
      </c>
      <c r="D34" s="672" t="s">
        <v>672</v>
      </c>
      <c r="E34" s="672" t="s">
        <v>673</v>
      </c>
      <c r="F34" s="238"/>
      <c r="G34" s="238"/>
      <c r="H34" s="683">
        <v>0</v>
      </c>
      <c r="I34" s="238">
        <v>10</v>
      </c>
      <c r="J34" s="238">
        <v>1084.5999999999999</v>
      </c>
      <c r="K34" s="683">
        <v>1</v>
      </c>
      <c r="L34" s="238">
        <v>10</v>
      </c>
      <c r="M34" s="714">
        <v>1084.5999999999999</v>
      </c>
    </row>
    <row r="35" spans="1:13" ht="14.4" customHeight="1" x14ac:dyDescent="0.3">
      <c r="A35" s="681" t="s">
        <v>658</v>
      </c>
      <c r="B35" s="672" t="s">
        <v>940</v>
      </c>
      <c r="C35" s="672" t="s">
        <v>674</v>
      </c>
      <c r="D35" s="672" t="s">
        <v>675</v>
      </c>
      <c r="E35" s="672" t="s">
        <v>676</v>
      </c>
      <c r="F35" s="238"/>
      <c r="G35" s="238"/>
      <c r="H35" s="683">
        <v>0</v>
      </c>
      <c r="I35" s="238">
        <v>46</v>
      </c>
      <c r="J35" s="238">
        <v>5986.9000000000024</v>
      </c>
      <c r="K35" s="683">
        <v>1</v>
      </c>
      <c r="L35" s="238">
        <v>46</v>
      </c>
      <c r="M35" s="714">
        <v>5986.9000000000024</v>
      </c>
    </row>
    <row r="36" spans="1:13" ht="14.4" customHeight="1" x14ac:dyDescent="0.3">
      <c r="A36" s="681" t="s">
        <v>658</v>
      </c>
      <c r="B36" s="672" t="s">
        <v>940</v>
      </c>
      <c r="C36" s="672" t="s">
        <v>838</v>
      </c>
      <c r="D36" s="672" t="s">
        <v>839</v>
      </c>
      <c r="E36" s="672" t="s">
        <v>840</v>
      </c>
      <c r="F36" s="238"/>
      <c r="G36" s="238"/>
      <c r="H36" s="683">
        <v>0</v>
      </c>
      <c r="I36" s="238">
        <v>2</v>
      </c>
      <c r="J36" s="238">
        <v>101.14</v>
      </c>
      <c r="K36" s="683">
        <v>1</v>
      </c>
      <c r="L36" s="238">
        <v>2</v>
      </c>
      <c r="M36" s="714">
        <v>101.14</v>
      </c>
    </row>
    <row r="37" spans="1:13" ht="14.4" customHeight="1" x14ac:dyDescent="0.3">
      <c r="A37" s="681" t="s">
        <v>658</v>
      </c>
      <c r="B37" s="672" t="s">
        <v>940</v>
      </c>
      <c r="C37" s="672" t="s">
        <v>697</v>
      </c>
      <c r="D37" s="672" t="s">
        <v>698</v>
      </c>
      <c r="E37" s="672" t="s">
        <v>699</v>
      </c>
      <c r="F37" s="238"/>
      <c r="G37" s="238"/>
      <c r="H37" s="683">
        <v>0</v>
      </c>
      <c r="I37" s="238">
        <v>56</v>
      </c>
      <c r="J37" s="238">
        <v>4858.5600000000013</v>
      </c>
      <c r="K37" s="683">
        <v>1</v>
      </c>
      <c r="L37" s="238">
        <v>56</v>
      </c>
      <c r="M37" s="714">
        <v>4858.5600000000013</v>
      </c>
    </row>
    <row r="38" spans="1:13" ht="14.4" customHeight="1" x14ac:dyDescent="0.3">
      <c r="A38" s="681" t="s">
        <v>658</v>
      </c>
      <c r="B38" s="672" t="s">
        <v>941</v>
      </c>
      <c r="C38" s="672" t="s">
        <v>825</v>
      </c>
      <c r="D38" s="672" t="s">
        <v>826</v>
      </c>
      <c r="E38" s="672" t="s">
        <v>827</v>
      </c>
      <c r="F38" s="238"/>
      <c r="G38" s="238"/>
      <c r="H38" s="683">
        <v>0</v>
      </c>
      <c r="I38" s="238">
        <v>1</v>
      </c>
      <c r="J38" s="238">
        <v>125.14</v>
      </c>
      <c r="K38" s="683">
        <v>1</v>
      </c>
      <c r="L38" s="238">
        <v>1</v>
      </c>
      <c r="M38" s="714">
        <v>125.14</v>
      </c>
    </row>
    <row r="39" spans="1:13" ht="14.4" customHeight="1" x14ac:dyDescent="0.3">
      <c r="A39" s="681" t="s">
        <v>658</v>
      </c>
      <c r="B39" s="672" t="s">
        <v>947</v>
      </c>
      <c r="C39" s="672" t="s">
        <v>683</v>
      </c>
      <c r="D39" s="672" t="s">
        <v>684</v>
      </c>
      <c r="E39" s="672" t="s">
        <v>685</v>
      </c>
      <c r="F39" s="238">
        <v>1</v>
      </c>
      <c r="G39" s="238">
        <v>201.75</v>
      </c>
      <c r="H39" s="683">
        <v>1</v>
      </c>
      <c r="I39" s="238"/>
      <c r="J39" s="238"/>
      <c r="K39" s="683">
        <v>0</v>
      </c>
      <c r="L39" s="238">
        <v>1</v>
      </c>
      <c r="M39" s="714">
        <v>201.75</v>
      </c>
    </row>
    <row r="40" spans="1:13" ht="14.4" customHeight="1" x14ac:dyDescent="0.3">
      <c r="A40" s="681" t="s">
        <v>659</v>
      </c>
      <c r="B40" s="672" t="s">
        <v>644</v>
      </c>
      <c r="C40" s="672" t="s">
        <v>577</v>
      </c>
      <c r="D40" s="672" t="s">
        <v>645</v>
      </c>
      <c r="E40" s="672" t="s">
        <v>646</v>
      </c>
      <c r="F40" s="238"/>
      <c r="G40" s="238"/>
      <c r="H40" s="683">
        <v>0</v>
      </c>
      <c r="I40" s="238">
        <v>2</v>
      </c>
      <c r="J40" s="238">
        <v>666.62</v>
      </c>
      <c r="K40" s="683">
        <v>1</v>
      </c>
      <c r="L40" s="238">
        <v>2</v>
      </c>
      <c r="M40" s="714">
        <v>666.62</v>
      </c>
    </row>
    <row r="41" spans="1:13" ht="14.4" customHeight="1" x14ac:dyDescent="0.3">
      <c r="A41" s="681" t="s">
        <v>661</v>
      </c>
      <c r="B41" s="672" t="s">
        <v>948</v>
      </c>
      <c r="C41" s="672" t="s">
        <v>851</v>
      </c>
      <c r="D41" s="672" t="s">
        <v>852</v>
      </c>
      <c r="E41" s="672" t="s">
        <v>853</v>
      </c>
      <c r="F41" s="238"/>
      <c r="G41" s="238"/>
      <c r="H41" s="683">
        <v>0</v>
      </c>
      <c r="I41" s="238">
        <v>1</v>
      </c>
      <c r="J41" s="238">
        <v>41.89</v>
      </c>
      <c r="K41" s="683">
        <v>1</v>
      </c>
      <c r="L41" s="238">
        <v>1</v>
      </c>
      <c r="M41" s="714">
        <v>41.89</v>
      </c>
    </row>
    <row r="42" spans="1:13" ht="14.4" customHeight="1" x14ac:dyDescent="0.3">
      <c r="A42" s="681" t="s">
        <v>661</v>
      </c>
      <c r="B42" s="672" t="s">
        <v>949</v>
      </c>
      <c r="C42" s="672" t="s">
        <v>855</v>
      </c>
      <c r="D42" s="672" t="s">
        <v>856</v>
      </c>
      <c r="E42" s="672" t="s">
        <v>857</v>
      </c>
      <c r="F42" s="238">
        <v>3</v>
      </c>
      <c r="G42" s="238">
        <v>94.289999999999992</v>
      </c>
      <c r="H42" s="683">
        <v>1</v>
      </c>
      <c r="I42" s="238"/>
      <c r="J42" s="238"/>
      <c r="K42" s="683">
        <v>0</v>
      </c>
      <c r="L42" s="238">
        <v>3</v>
      </c>
      <c r="M42" s="714">
        <v>94.289999999999992</v>
      </c>
    </row>
    <row r="43" spans="1:13" ht="14.4" customHeight="1" x14ac:dyDescent="0.3">
      <c r="A43" s="681" t="s">
        <v>661</v>
      </c>
      <c r="B43" s="672" t="s">
        <v>940</v>
      </c>
      <c r="C43" s="672" t="s">
        <v>791</v>
      </c>
      <c r="D43" s="672" t="s">
        <v>672</v>
      </c>
      <c r="E43" s="672" t="s">
        <v>673</v>
      </c>
      <c r="F43" s="238">
        <v>1</v>
      </c>
      <c r="G43" s="238">
        <v>108.46</v>
      </c>
      <c r="H43" s="683">
        <v>1</v>
      </c>
      <c r="I43" s="238"/>
      <c r="J43" s="238"/>
      <c r="K43" s="683">
        <v>0</v>
      </c>
      <c r="L43" s="238">
        <v>1</v>
      </c>
      <c r="M43" s="714">
        <v>108.46</v>
      </c>
    </row>
    <row r="44" spans="1:13" ht="14.4" customHeight="1" x14ac:dyDescent="0.3">
      <c r="A44" s="681" t="s">
        <v>661</v>
      </c>
      <c r="B44" s="672" t="s">
        <v>940</v>
      </c>
      <c r="C44" s="672" t="s">
        <v>755</v>
      </c>
      <c r="D44" s="672" t="s">
        <v>756</v>
      </c>
      <c r="E44" s="672" t="s">
        <v>757</v>
      </c>
      <c r="F44" s="238"/>
      <c r="G44" s="238"/>
      <c r="H44" s="683">
        <v>0</v>
      </c>
      <c r="I44" s="238">
        <v>1</v>
      </c>
      <c r="J44" s="238">
        <v>65.069999999999993</v>
      </c>
      <c r="K44" s="683">
        <v>1</v>
      </c>
      <c r="L44" s="238">
        <v>1</v>
      </c>
      <c r="M44" s="714">
        <v>65.069999999999993</v>
      </c>
    </row>
    <row r="45" spans="1:13" ht="14.4" customHeight="1" x14ac:dyDescent="0.3">
      <c r="A45" s="681" t="s">
        <v>661</v>
      </c>
      <c r="B45" s="672" t="s">
        <v>940</v>
      </c>
      <c r="C45" s="672" t="s">
        <v>671</v>
      </c>
      <c r="D45" s="672" t="s">
        <v>672</v>
      </c>
      <c r="E45" s="672" t="s">
        <v>673</v>
      </c>
      <c r="F45" s="238"/>
      <c r="G45" s="238"/>
      <c r="H45" s="683">
        <v>0</v>
      </c>
      <c r="I45" s="238">
        <v>7</v>
      </c>
      <c r="J45" s="238">
        <v>759.21999999999991</v>
      </c>
      <c r="K45" s="683">
        <v>1</v>
      </c>
      <c r="L45" s="238">
        <v>7</v>
      </c>
      <c r="M45" s="714">
        <v>759.21999999999991</v>
      </c>
    </row>
    <row r="46" spans="1:13" ht="14.4" customHeight="1" x14ac:dyDescent="0.3">
      <c r="A46" s="681" t="s">
        <v>661</v>
      </c>
      <c r="B46" s="672" t="s">
        <v>940</v>
      </c>
      <c r="C46" s="672" t="s">
        <v>674</v>
      </c>
      <c r="D46" s="672" t="s">
        <v>675</v>
      </c>
      <c r="E46" s="672" t="s">
        <v>676</v>
      </c>
      <c r="F46" s="238"/>
      <c r="G46" s="238"/>
      <c r="H46" s="683">
        <v>0</v>
      </c>
      <c r="I46" s="238">
        <v>13</v>
      </c>
      <c r="J46" s="238">
        <v>1691.95</v>
      </c>
      <c r="K46" s="683">
        <v>1</v>
      </c>
      <c r="L46" s="238">
        <v>13</v>
      </c>
      <c r="M46" s="714">
        <v>1691.95</v>
      </c>
    </row>
    <row r="47" spans="1:13" ht="14.4" customHeight="1" x14ac:dyDescent="0.3">
      <c r="A47" s="681" t="s">
        <v>661</v>
      </c>
      <c r="B47" s="672" t="s">
        <v>940</v>
      </c>
      <c r="C47" s="672" t="s">
        <v>838</v>
      </c>
      <c r="D47" s="672" t="s">
        <v>839</v>
      </c>
      <c r="E47" s="672" t="s">
        <v>840</v>
      </c>
      <c r="F47" s="238"/>
      <c r="G47" s="238"/>
      <c r="H47" s="683">
        <v>0</v>
      </c>
      <c r="I47" s="238">
        <v>2</v>
      </c>
      <c r="J47" s="238">
        <v>101.14</v>
      </c>
      <c r="K47" s="683">
        <v>1</v>
      </c>
      <c r="L47" s="238">
        <v>2</v>
      </c>
      <c r="M47" s="714">
        <v>101.14</v>
      </c>
    </row>
    <row r="48" spans="1:13" ht="14.4" customHeight="1" x14ac:dyDescent="0.3">
      <c r="A48" s="681" t="s">
        <v>661</v>
      </c>
      <c r="B48" s="672" t="s">
        <v>940</v>
      </c>
      <c r="C48" s="672" t="s">
        <v>792</v>
      </c>
      <c r="D48" s="672" t="s">
        <v>698</v>
      </c>
      <c r="E48" s="672" t="s">
        <v>793</v>
      </c>
      <c r="F48" s="238">
        <v>1</v>
      </c>
      <c r="G48" s="238">
        <v>0</v>
      </c>
      <c r="H48" s="683"/>
      <c r="I48" s="238"/>
      <c r="J48" s="238"/>
      <c r="K48" s="683"/>
      <c r="L48" s="238">
        <v>1</v>
      </c>
      <c r="M48" s="714">
        <v>0</v>
      </c>
    </row>
    <row r="49" spans="1:13" ht="14.4" customHeight="1" x14ac:dyDescent="0.3">
      <c r="A49" s="681" t="s">
        <v>661</v>
      </c>
      <c r="B49" s="672" t="s">
        <v>940</v>
      </c>
      <c r="C49" s="672" t="s">
        <v>697</v>
      </c>
      <c r="D49" s="672" t="s">
        <v>698</v>
      </c>
      <c r="E49" s="672" t="s">
        <v>699</v>
      </c>
      <c r="F49" s="238"/>
      <c r="G49" s="238"/>
      <c r="H49" s="683">
        <v>0</v>
      </c>
      <c r="I49" s="238">
        <v>13</v>
      </c>
      <c r="J49" s="238">
        <v>1127.8800000000001</v>
      </c>
      <c r="K49" s="683">
        <v>1</v>
      </c>
      <c r="L49" s="238">
        <v>13</v>
      </c>
      <c r="M49" s="714">
        <v>1127.8800000000001</v>
      </c>
    </row>
    <row r="50" spans="1:13" ht="14.4" customHeight="1" x14ac:dyDescent="0.3">
      <c r="A50" s="681" t="s">
        <v>661</v>
      </c>
      <c r="B50" s="672" t="s">
        <v>940</v>
      </c>
      <c r="C50" s="672" t="s">
        <v>870</v>
      </c>
      <c r="D50" s="672" t="s">
        <v>753</v>
      </c>
      <c r="E50" s="672" t="s">
        <v>754</v>
      </c>
      <c r="F50" s="238">
        <v>1</v>
      </c>
      <c r="G50" s="238">
        <v>86.76</v>
      </c>
      <c r="H50" s="683">
        <v>1</v>
      </c>
      <c r="I50" s="238"/>
      <c r="J50" s="238"/>
      <c r="K50" s="683">
        <v>0</v>
      </c>
      <c r="L50" s="238">
        <v>1</v>
      </c>
      <c r="M50" s="714">
        <v>86.76</v>
      </c>
    </row>
    <row r="51" spans="1:13" ht="14.4" customHeight="1" x14ac:dyDescent="0.3">
      <c r="A51" s="681" t="s">
        <v>661</v>
      </c>
      <c r="B51" s="672" t="s">
        <v>950</v>
      </c>
      <c r="C51" s="672" t="s">
        <v>843</v>
      </c>
      <c r="D51" s="672" t="s">
        <v>844</v>
      </c>
      <c r="E51" s="672" t="s">
        <v>845</v>
      </c>
      <c r="F51" s="238">
        <v>1</v>
      </c>
      <c r="G51" s="238">
        <v>47.63</v>
      </c>
      <c r="H51" s="683">
        <v>1</v>
      </c>
      <c r="I51" s="238"/>
      <c r="J51" s="238"/>
      <c r="K51" s="683">
        <v>0</v>
      </c>
      <c r="L51" s="238">
        <v>1</v>
      </c>
      <c r="M51" s="714">
        <v>47.63</v>
      </c>
    </row>
    <row r="52" spans="1:13" ht="14.4" customHeight="1" x14ac:dyDescent="0.3">
      <c r="A52" s="681" t="s">
        <v>662</v>
      </c>
      <c r="B52" s="672" t="s">
        <v>946</v>
      </c>
      <c r="C52" s="672" t="s">
        <v>890</v>
      </c>
      <c r="D52" s="672" t="s">
        <v>891</v>
      </c>
      <c r="E52" s="672" t="s">
        <v>892</v>
      </c>
      <c r="F52" s="238"/>
      <c r="G52" s="238"/>
      <c r="H52" s="683">
        <v>0</v>
      </c>
      <c r="I52" s="238">
        <v>1</v>
      </c>
      <c r="J52" s="238">
        <v>217.65</v>
      </c>
      <c r="K52" s="683">
        <v>1</v>
      </c>
      <c r="L52" s="238">
        <v>1</v>
      </c>
      <c r="M52" s="714">
        <v>217.65</v>
      </c>
    </row>
    <row r="53" spans="1:13" ht="14.4" customHeight="1" x14ac:dyDescent="0.3">
      <c r="A53" s="681" t="s">
        <v>662</v>
      </c>
      <c r="B53" s="672" t="s">
        <v>946</v>
      </c>
      <c r="C53" s="672" t="s">
        <v>893</v>
      </c>
      <c r="D53" s="672" t="s">
        <v>894</v>
      </c>
      <c r="E53" s="672" t="s">
        <v>895</v>
      </c>
      <c r="F53" s="238"/>
      <c r="G53" s="238"/>
      <c r="H53" s="683">
        <v>0</v>
      </c>
      <c r="I53" s="238">
        <v>1</v>
      </c>
      <c r="J53" s="238">
        <v>672.94</v>
      </c>
      <c r="K53" s="683">
        <v>1</v>
      </c>
      <c r="L53" s="238">
        <v>1</v>
      </c>
      <c r="M53" s="714">
        <v>672.94</v>
      </c>
    </row>
    <row r="54" spans="1:13" ht="14.4" customHeight="1" x14ac:dyDescent="0.3">
      <c r="A54" s="681" t="s">
        <v>662</v>
      </c>
      <c r="B54" s="672" t="s">
        <v>950</v>
      </c>
      <c r="C54" s="672" t="s">
        <v>885</v>
      </c>
      <c r="D54" s="672" t="s">
        <v>886</v>
      </c>
      <c r="E54" s="672" t="s">
        <v>887</v>
      </c>
      <c r="F54" s="238"/>
      <c r="G54" s="238"/>
      <c r="H54" s="683">
        <v>0</v>
      </c>
      <c r="I54" s="238">
        <v>1</v>
      </c>
      <c r="J54" s="238">
        <v>95.25</v>
      </c>
      <c r="K54" s="683">
        <v>1</v>
      </c>
      <c r="L54" s="238">
        <v>1</v>
      </c>
      <c r="M54" s="714">
        <v>95.25</v>
      </c>
    </row>
    <row r="55" spans="1:13" ht="14.4" customHeight="1" thickBot="1" x14ac:dyDescent="0.35">
      <c r="A55" s="637" t="s">
        <v>662</v>
      </c>
      <c r="B55" s="674" t="s">
        <v>942</v>
      </c>
      <c r="C55" s="674" t="s">
        <v>888</v>
      </c>
      <c r="D55" s="674" t="s">
        <v>889</v>
      </c>
      <c r="E55" s="674" t="s">
        <v>782</v>
      </c>
      <c r="F55" s="675">
        <v>4</v>
      </c>
      <c r="G55" s="675">
        <v>70.760000000000005</v>
      </c>
      <c r="H55" s="684">
        <v>1</v>
      </c>
      <c r="I55" s="675"/>
      <c r="J55" s="675"/>
      <c r="K55" s="684">
        <v>0</v>
      </c>
      <c r="L55" s="675">
        <v>4</v>
      </c>
      <c r="M55" s="715">
        <v>70.760000000000005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33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9" ht="18.600000000000001" customHeight="1" thickBot="1" x14ac:dyDescent="0.4">
      <c r="A1" s="486" t="s">
        <v>182</v>
      </c>
      <c r="B1" s="487"/>
      <c r="C1" s="487"/>
      <c r="D1" s="487"/>
      <c r="E1" s="487"/>
      <c r="F1" s="487"/>
      <c r="G1" s="463"/>
    </row>
    <row r="2" spans="1:9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9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3</v>
      </c>
      <c r="E3" s="211" t="s">
        <v>4</v>
      </c>
      <c r="F3" s="211" t="s">
        <v>5</v>
      </c>
      <c r="G3" s="212" t="s">
        <v>188</v>
      </c>
    </row>
    <row r="4" spans="1:9" ht="14.4" customHeight="1" x14ac:dyDescent="0.3">
      <c r="A4" s="616" t="s">
        <v>483</v>
      </c>
      <c r="B4" s="617" t="s">
        <v>484</v>
      </c>
      <c r="C4" s="618" t="s">
        <v>485</v>
      </c>
      <c r="D4" s="618" t="s">
        <v>484</v>
      </c>
      <c r="E4" s="618" t="s">
        <v>484</v>
      </c>
      <c r="F4" s="619" t="s">
        <v>484</v>
      </c>
      <c r="G4" s="618" t="s">
        <v>484</v>
      </c>
      <c r="H4" s="618" t="s">
        <v>77</v>
      </c>
      <c r="I4"/>
    </row>
    <row r="5" spans="1:9" ht="14.4" customHeight="1" x14ac:dyDescent="0.3">
      <c r="A5" s="616" t="s">
        <v>483</v>
      </c>
      <c r="B5" s="617" t="s">
        <v>952</v>
      </c>
      <c r="C5" s="618" t="s">
        <v>953</v>
      </c>
      <c r="D5" s="618">
        <v>4396.5887178032399</v>
      </c>
      <c r="E5" s="618">
        <v>1443.3700000000001</v>
      </c>
      <c r="F5" s="619">
        <v>0.32829315922940855</v>
      </c>
      <c r="G5" s="618">
        <v>-2953.21871780324</v>
      </c>
      <c r="H5" s="618" t="s">
        <v>2</v>
      </c>
      <c r="I5"/>
    </row>
    <row r="6" spans="1:9" ht="14.4" customHeight="1" x14ac:dyDescent="0.3">
      <c r="A6" s="616" t="s">
        <v>483</v>
      </c>
      <c r="B6" s="617" t="s">
        <v>954</v>
      </c>
      <c r="C6" s="618" t="s">
        <v>955</v>
      </c>
      <c r="D6" s="618">
        <v>232922.32030370276</v>
      </c>
      <c r="E6" s="618">
        <v>244773.95</v>
      </c>
      <c r="F6" s="619">
        <v>1.0508823271245287</v>
      </c>
      <c r="G6" s="618">
        <v>11851.629696297256</v>
      </c>
      <c r="H6" s="618" t="s">
        <v>2</v>
      </c>
      <c r="I6"/>
    </row>
    <row r="7" spans="1:9" ht="14.4" customHeight="1" x14ac:dyDescent="0.3">
      <c r="A7" s="616" t="s">
        <v>483</v>
      </c>
      <c r="B7" s="617" t="s">
        <v>956</v>
      </c>
      <c r="C7" s="618" t="s">
        <v>957</v>
      </c>
      <c r="D7" s="618">
        <v>1235.7575102470703</v>
      </c>
      <c r="E7" s="618">
        <v>60</v>
      </c>
      <c r="F7" s="619">
        <v>4.855321493292316E-2</v>
      </c>
      <c r="G7" s="618">
        <v>-1175.7575102470703</v>
      </c>
      <c r="H7" s="618" t="s">
        <v>2</v>
      </c>
      <c r="I7"/>
    </row>
    <row r="8" spans="1:9" ht="14.4" customHeight="1" x14ac:dyDescent="0.3">
      <c r="A8" s="616" t="s">
        <v>483</v>
      </c>
      <c r="B8" s="617" t="s">
        <v>958</v>
      </c>
      <c r="C8" s="618" t="s">
        <v>959</v>
      </c>
      <c r="D8" s="618">
        <v>9410.8246043165691</v>
      </c>
      <c r="E8" s="618">
        <v>5327.55</v>
      </c>
      <c r="F8" s="619">
        <v>0.56610873371886594</v>
      </c>
      <c r="G8" s="618">
        <v>-4083.2746043165689</v>
      </c>
      <c r="H8" s="618" t="s">
        <v>2</v>
      </c>
      <c r="I8"/>
    </row>
    <row r="9" spans="1:9" ht="14.4" customHeight="1" x14ac:dyDescent="0.3">
      <c r="A9" s="616" t="s">
        <v>483</v>
      </c>
      <c r="B9" s="617" t="s">
        <v>6</v>
      </c>
      <c r="C9" s="618" t="s">
        <v>485</v>
      </c>
      <c r="D9" s="618">
        <v>252410.74490328846</v>
      </c>
      <c r="E9" s="618">
        <v>251604.87</v>
      </c>
      <c r="F9" s="619">
        <v>0.99680728764697701</v>
      </c>
      <c r="G9" s="618">
        <v>-805.87490328846616</v>
      </c>
      <c r="H9" s="618" t="s">
        <v>494</v>
      </c>
      <c r="I9"/>
    </row>
    <row r="11" spans="1:9" ht="14.4" customHeight="1" x14ac:dyDescent="0.3">
      <c r="A11" s="616" t="s">
        <v>483</v>
      </c>
      <c r="B11" s="617" t="s">
        <v>484</v>
      </c>
      <c r="C11" s="618" t="s">
        <v>485</v>
      </c>
      <c r="D11" s="618" t="s">
        <v>484</v>
      </c>
      <c r="E11" s="618" t="s">
        <v>484</v>
      </c>
      <c r="F11" s="619" t="s">
        <v>484</v>
      </c>
      <c r="G11" s="618" t="s">
        <v>484</v>
      </c>
      <c r="H11" s="618" t="s">
        <v>77</v>
      </c>
      <c r="I11"/>
    </row>
    <row r="12" spans="1:9" ht="14.4" customHeight="1" x14ac:dyDescent="0.3">
      <c r="A12" s="616" t="s">
        <v>495</v>
      </c>
      <c r="B12" s="617" t="s">
        <v>952</v>
      </c>
      <c r="C12" s="618" t="s">
        <v>953</v>
      </c>
      <c r="D12" s="618">
        <v>541.55539731369663</v>
      </c>
      <c r="E12" s="618">
        <v>440.63</v>
      </c>
      <c r="F12" s="619">
        <v>0.81363790700947358</v>
      </c>
      <c r="G12" s="618">
        <v>-100.92539731369664</v>
      </c>
      <c r="H12" s="618" t="s">
        <v>2</v>
      </c>
      <c r="I12"/>
    </row>
    <row r="13" spans="1:9" ht="14.4" customHeight="1" x14ac:dyDescent="0.3">
      <c r="A13" s="616" t="s">
        <v>495</v>
      </c>
      <c r="B13" s="617" t="s">
        <v>954</v>
      </c>
      <c r="C13" s="618" t="s">
        <v>955</v>
      </c>
      <c r="D13" s="618">
        <v>2515.1477190605169</v>
      </c>
      <c r="E13" s="618">
        <v>1836</v>
      </c>
      <c r="F13" s="619">
        <v>0.72997700536086252</v>
      </c>
      <c r="G13" s="618">
        <v>-679.14771906051692</v>
      </c>
      <c r="H13" s="618" t="s">
        <v>2</v>
      </c>
      <c r="I13"/>
    </row>
    <row r="14" spans="1:9" ht="14.4" customHeight="1" x14ac:dyDescent="0.3">
      <c r="A14" s="616" t="s">
        <v>495</v>
      </c>
      <c r="B14" s="617" t="s">
        <v>958</v>
      </c>
      <c r="C14" s="618" t="s">
        <v>959</v>
      </c>
      <c r="D14" s="618">
        <v>1269.3783525399301</v>
      </c>
      <c r="E14" s="618">
        <v>390</v>
      </c>
      <c r="F14" s="619">
        <v>0.30723700244268343</v>
      </c>
      <c r="G14" s="618">
        <v>-879.37835253993012</v>
      </c>
      <c r="H14" s="618" t="s">
        <v>2</v>
      </c>
      <c r="I14"/>
    </row>
    <row r="15" spans="1:9" ht="14.4" customHeight="1" x14ac:dyDescent="0.3">
      <c r="A15" s="616" t="s">
        <v>495</v>
      </c>
      <c r="B15" s="617" t="s">
        <v>6</v>
      </c>
      <c r="C15" s="618" t="s">
        <v>496</v>
      </c>
      <c r="D15" s="618">
        <v>4433.1082471036252</v>
      </c>
      <c r="E15" s="618">
        <v>2666.63</v>
      </c>
      <c r="F15" s="619">
        <v>0.60152602899833207</v>
      </c>
      <c r="G15" s="618">
        <v>-1766.4782471036251</v>
      </c>
      <c r="H15" s="618" t="s">
        <v>497</v>
      </c>
      <c r="I15"/>
    </row>
    <row r="16" spans="1:9" ht="14.4" customHeight="1" x14ac:dyDescent="0.3">
      <c r="A16" s="616" t="s">
        <v>484</v>
      </c>
      <c r="B16" s="617" t="s">
        <v>484</v>
      </c>
      <c r="C16" s="618" t="s">
        <v>484</v>
      </c>
      <c r="D16" s="618" t="s">
        <v>484</v>
      </c>
      <c r="E16" s="618" t="s">
        <v>484</v>
      </c>
      <c r="F16" s="619" t="s">
        <v>484</v>
      </c>
      <c r="G16" s="618" t="s">
        <v>484</v>
      </c>
      <c r="H16" s="618" t="s">
        <v>498</v>
      </c>
      <c r="I16"/>
    </row>
    <row r="17" spans="1:9" ht="14.4" customHeight="1" x14ac:dyDescent="0.3">
      <c r="A17" s="616" t="s">
        <v>499</v>
      </c>
      <c r="B17" s="617" t="s">
        <v>952</v>
      </c>
      <c r="C17" s="618" t="s">
        <v>953</v>
      </c>
      <c r="D17" s="618">
        <v>711.89855418690661</v>
      </c>
      <c r="E17" s="618">
        <v>360.9</v>
      </c>
      <c r="F17" s="619">
        <v>0.50695425335173094</v>
      </c>
      <c r="G17" s="618">
        <v>-350.99855418690663</v>
      </c>
      <c r="H17" s="618" t="s">
        <v>2</v>
      </c>
      <c r="I17"/>
    </row>
    <row r="18" spans="1:9" ht="14.4" customHeight="1" x14ac:dyDescent="0.3">
      <c r="A18" s="616" t="s">
        <v>499</v>
      </c>
      <c r="B18" s="617" t="s">
        <v>954</v>
      </c>
      <c r="C18" s="618" t="s">
        <v>955</v>
      </c>
      <c r="D18" s="618">
        <v>15668.113632547202</v>
      </c>
      <c r="E18" s="618">
        <v>6316.32</v>
      </c>
      <c r="F18" s="619">
        <v>0.40313212861050335</v>
      </c>
      <c r="G18" s="618">
        <v>-9351.7936325472019</v>
      </c>
      <c r="H18" s="618" t="s">
        <v>2</v>
      </c>
      <c r="I18"/>
    </row>
    <row r="19" spans="1:9" ht="14.4" customHeight="1" x14ac:dyDescent="0.3">
      <c r="A19" s="616" t="s">
        <v>499</v>
      </c>
      <c r="B19" s="617" t="s">
        <v>958</v>
      </c>
      <c r="C19" s="618" t="s">
        <v>959</v>
      </c>
      <c r="D19" s="618">
        <v>2398.0551575426002</v>
      </c>
      <c r="E19" s="618">
        <v>2929.55</v>
      </c>
      <c r="F19" s="619">
        <v>1.2216357871442989</v>
      </c>
      <c r="G19" s="618">
        <v>531.49484245739995</v>
      </c>
      <c r="H19" s="618" t="s">
        <v>2</v>
      </c>
      <c r="I19"/>
    </row>
    <row r="20" spans="1:9" ht="14.4" customHeight="1" x14ac:dyDescent="0.3">
      <c r="A20" s="616" t="s">
        <v>499</v>
      </c>
      <c r="B20" s="617" t="s">
        <v>6</v>
      </c>
      <c r="C20" s="618" t="s">
        <v>500</v>
      </c>
      <c r="D20" s="618">
        <v>19008.021045019286</v>
      </c>
      <c r="E20" s="618">
        <v>9606.77</v>
      </c>
      <c r="F20" s="619">
        <v>0.50540611130674662</v>
      </c>
      <c r="G20" s="618">
        <v>-9401.2510450192858</v>
      </c>
      <c r="H20" s="618" t="s">
        <v>497</v>
      </c>
      <c r="I20"/>
    </row>
    <row r="21" spans="1:9" ht="14.4" customHeight="1" x14ac:dyDescent="0.3">
      <c r="A21" s="616" t="s">
        <v>484</v>
      </c>
      <c r="B21" s="617" t="s">
        <v>484</v>
      </c>
      <c r="C21" s="618" t="s">
        <v>484</v>
      </c>
      <c r="D21" s="618" t="s">
        <v>484</v>
      </c>
      <c r="E21" s="618" t="s">
        <v>484</v>
      </c>
      <c r="F21" s="619" t="s">
        <v>484</v>
      </c>
      <c r="G21" s="618" t="s">
        <v>484</v>
      </c>
      <c r="H21" s="618" t="s">
        <v>498</v>
      </c>
      <c r="I21"/>
    </row>
    <row r="22" spans="1:9" ht="14.4" customHeight="1" x14ac:dyDescent="0.3">
      <c r="A22" s="616" t="s">
        <v>960</v>
      </c>
      <c r="B22" s="617" t="s">
        <v>952</v>
      </c>
      <c r="C22" s="618" t="s">
        <v>953</v>
      </c>
      <c r="D22" s="618">
        <v>347.85591412788671</v>
      </c>
      <c r="E22" s="618">
        <v>72.66</v>
      </c>
      <c r="F22" s="619">
        <v>0.20887958792411698</v>
      </c>
      <c r="G22" s="618">
        <v>-275.19591412788668</v>
      </c>
      <c r="H22" s="618" t="s">
        <v>2</v>
      </c>
      <c r="I22"/>
    </row>
    <row r="23" spans="1:9" ht="14.4" customHeight="1" x14ac:dyDescent="0.3">
      <c r="A23" s="616" t="s">
        <v>960</v>
      </c>
      <c r="B23" s="617" t="s">
        <v>954</v>
      </c>
      <c r="C23" s="618" t="s">
        <v>955</v>
      </c>
      <c r="D23" s="618">
        <v>1670.3407499934167</v>
      </c>
      <c r="E23" s="618">
        <v>536</v>
      </c>
      <c r="F23" s="619">
        <v>0.32089260829092059</v>
      </c>
      <c r="G23" s="618">
        <v>-1134.3407499934167</v>
      </c>
      <c r="H23" s="618" t="s">
        <v>2</v>
      </c>
      <c r="I23"/>
    </row>
    <row r="24" spans="1:9" ht="14.4" customHeight="1" x14ac:dyDescent="0.3">
      <c r="A24" s="616" t="s">
        <v>960</v>
      </c>
      <c r="B24" s="617" t="s">
        <v>958</v>
      </c>
      <c r="C24" s="618" t="s">
        <v>959</v>
      </c>
      <c r="D24" s="618">
        <v>971.72518625193834</v>
      </c>
      <c r="E24" s="618">
        <v>468</v>
      </c>
      <c r="F24" s="619">
        <v>0.48161764933266027</v>
      </c>
      <c r="G24" s="618">
        <v>-503.72518625193834</v>
      </c>
      <c r="H24" s="618" t="s">
        <v>2</v>
      </c>
      <c r="I24"/>
    </row>
    <row r="25" spans="1:9" ht="14.4" customHeight="1" x14ac:dyDescent="0.3">
      <c r="A25" s="616" t="s">
        <v>960</v>
      </c>
      <c r="B25" s="617" t="s">
        <v>6</v>
      </c>
      <c r="C25" s="618" t="s">
        <v>961</v>
      </c>
      <c r="D25" s="618">
        <v>3718.8017388493695</v>
      </c>
      <c r="E25" s="618">
        <v>1076.6599999999999</v>
      </c>
      <c r="F25" s="619">
        <v>0.28951798875223933</v>
      </c>
      <c r="G25" s="618">
        <v>-2642.1417388493696</v>
      </c>
      <c r="H25" s="618" t="s">
        <v>497</v>
      </c>
      <c r="I25"/>
    </row>
    <row r="26" spans="1:9" ht="14.4" customHeight="1" x14ac:dyDescent="0.3">
      <c r="A26" s="616" t="s">
        <v>484</v>
      </c>
      <c r="B26" s="617" t="s">
        <v>484</v>
      </c>
      <c r="C26" s="618" t="s">
        <v>484</v>
      </c>
      <c r="D26" s="618" t="s">
        <v>484</v>
      </c>
      <c r="E26" s="618" t="s">
        <v>484</v>
      </c>
      <c r="F26" s="619" t="s">
        <v>484</v>
      </c>
      <c r="G26" s="618" t="s">
        <v>484</v>
      </c>
      <c r="H26" s="618" t="s">
        <v>498</v>
      </c>
      <c r="I26"/>
    </row>
    <row r="27" spans="1:9" ht="14.4" customHeight="1" x14ac:dyDescent="0.3">
      <c r="A27" s="616" t="s">
        <v>501</v>
      </c>
      <c r="B27" s="617" t="s">
        <v>952</v>
      </c>
      <c r="C27" s="618" t="s">
        <v>953</v>
      </c>
      <c r="D27" s="618">
        <v>2795.2788521747498</v>
      </c>
      <c r="E27" s="618">
        <v>569.18000000000006</v>
      </c>
      <c r="F27" s="619">
        <v>0.20362190325203991</v>
      </c>
      <c r="G27" s="618">
        <v>-2226.0988521747495</v>
      </c>
      <c r="H27" s="618" t="s">
        <v>2</v>
      </c>
      <c r="I27"/>
    </row>
    <row r="28" spans="1:9" ht="14.4" customHeight="1" x14ac:dyDescent="0.3">
      <c r="A28" s="616" t="s">
        <v>501</v>
      </c>
      <c r="B28" s="617" t="s">
        <v>954</v>
      </c>
      <c r="C28" s="618" t="s">
        <v>955</v>
      </c>
      <c r="D28" s="618">
        <v>213068.71820210165</v>
      </c>
      <c r="E28" s="618">
        <v>236085.63</v>
      </c>
      <c r="F28" s="619">
        <v>1.1080257674243206</v>
      </c>
      <c r="G28" s="618">
        <v>23016.911797898356</v>
      </c>
      <c r="H28" s="618" t="s">
        <v>2</v>
      </c>
      <c r="I28"/>
    </row>
    <row r="29" spans="1:9" ht="14.4" customHeight="1" x14ac:dyDescent="0.3">
      <c r="A29" s="616" t="s">
        <v>501</v>
      </c>
      <c r="B29" s="617" t="s">
        <v>956</v>
      </c>
      <c r="C29" s="618" t="s">
        <v>957</v>
      </c>
      <c r="D29" s="618">
        <v>218.49875802900667</v>
      </c>
      <c r="E29" s="618">
        <v>60</v>
      </c>
      <c r="F29" s="619">
        <v>0.27460110318812309</v>
      </c>
      <c r="G29" s="618">
        <v>-158.49875802900667</v>
      </c>
      <c r="H29" s="618" t="s">
        <v>2</v>
      </c>
      <c r="I29"/>
    </row>
    <row r="30" spans="1:9" ht="14.4" customHeight="1" x14ac:dyDescent="0.3">
      <c r="A30" s="616" t="s">
        <v>501</v>
      </c>
      <c r="B30" s="617" t="s">
        <v>958</v>
      </c>
      <c r="C30" s="618" t="s">
        <v>959</v>
      </c>
      <c r="D30" s="618">
        <v>4771.6659079821002</v>
      </c>
      <c r="E30" s="618">
        <v>1540</v>
      </c>
      <c r="F30" s="619">
        <v>0.32273843762277438</v>
      </c>
      <c r="G30" s="618">
        <v>-3231.6659079821002</v>
      </c>
      <c r="H30" s="618" t="s">
        <v>2</v>
      </c>
      <c r="I30"/>
    </row>
    <row r="31" spans="1:9" ht="14.4" customHeight="1" x14ac:dyDescent="0.3">
      <c r="A31" s="616" t="s">
        <v>501</v>
      </c>
      <c r="B31" s="617" t="s">
        <v>6</v>
      </c>
      <c r="C31" s="618" t="s">
        <v>502</v>
      </c>
      <c r="D31" s="618">
        <v>225250.81387231624</v>
      </c>
      <c r="E31" s="618">
        <v>238254.81</v>
      </c>
      <c r="F31" s="619">
        <v>1.0577311837596959</v>
      </c>
      <c r="G31" s="618">
        <v>13003.996127683757</v>
      </c>
      <c r="H31" s="618" t="s">
        <v>497</v>
      </c>
      <c r="I31"/>
    </row>
    <row r="32" spans="1:9" ht="14.4" customHeight="1" x14ac:dyDescent="0.3">
      <c r="A32" s="616" t="s">
        <v>484</v>
      </c>
      <c r="B32" s="617" t="s">
        <v>484</v>
      </c>
      <c r="C32" s="618" t="s">
        <v>484</v>
      </c>
      <c r="D32" s="618" t="s">
        <v>484</v>
      </c>
      <c r="E32" s="618" t="s">
        <v>484</v>
      </c>
      <c r="F32" s="619" t="s">
        <v>484</v>
      </c>
      <c r="G32" s="618" t="s">
        <v>484</v>
      </c>
      <c r="H32" s="618" t="s">
        <v>498</v>
      </c>
      <c r="I32"/>
    </row>
    <row r="33" spans="1:9" ht="14.4" customHeight="1" x14ac:dyDescent="0.3">
      <c r="A33" s="616" t="s">
        <v>483</v>
      </c>
      <c r="B33" s="617" t="s">
        <v>6</v>
      </c>
      <c r="C33" s="618" t="s">
        <v>485</v>
      </c>
      <c r="D33" s="618">
        <v>252410.74490328846</v>
      </c>
      <c r="E33" s="618">
        <v>251604.87</v>
      </c>
      <c r="F33" s="619">
        <v>0.99680728764697701</v>
      </c>
      <c r="G33" s="618">
        <v>-805.87490328846616</v>
      </c>
      <c r="H33" s="618" t="s">
        <v>494</v>
      </c>
      <c r="I33"/>
    </row>
  </sheetData>
  <autoFilter ref="A3:G3"/>
  <mergeCells count="1">
    <mergeCell ref="A1:G1"/>
  </mergeCells>
  <conditionalFormatting sqref="F10 F34:F65536">
    <cfRule type="cellIs" dxfId="33" priority="15" stopIfTrue="1" operator="greaterThan">
      <formula>1</formula>
    </cfRule>
  </conditionalFormatting>
  <conditionalFormatting sqref="G4:G9">
    <cfRule type="cellIs" dxfId="32" priority="9" operator="greaterThan">
      <formula>0</formula>
    </cfRule>
  </conditionalFormatting>
  <conditionalFormatting sqref="B4:B9">
    <cfRule type="expression" dxfId="31" priority="12">
      <formula>AND(LEFT(H4,6)&lt;&gt;"mezera",H4&lt;&gt;"")</formula>
    </cfRule>
  </conditionalFormatting>
  <conditionalFormatting sqref="A4:A9">
    <cfRule type="expression" dxfId="30" priority="10">
      <formula>AND(H4&lt;&gt;"",H4&lt;&gt;"mezeraKL")</formula>
    </cfRule>
  </conditionalFormatting>
  <conditionalFormatting sqref="F4:F9">
    <cfRule type="cellIs" dxfId="29" priority="8" operator="greaterThan">
      <formula>1</formula>
    </cfRule>
  </conditionalFormatting>
  <conditionalFormatting sqref="B4:G9">
    <cfRule type="expression" dxfId="28" priority="11">
      <formula>OR($H4="KL",$H4="SumaKL")</formula>
    </cfRule>
    <cfRule type="expression" dxfId="27" priority="13">
      <formula>$H4="SumaNS"</formula>
    </cfRule>
  </conditionalFormatting>
  <conditionalFormatting sqref="A4:G9">
    <cfRule type="expression" dxfId="26" priority="14">
      <formula>$H4&lt;&gt;""</formula>
    </cfRule>
  </conditionalFormatting>
  <conditionalFormatting sqref="G11:G33">
    <cfRule type="cellIs" dxfId="25" priority="1" operator="greaterThan">
      <formula>0</formula>
    </cfRule>
  </conditionalFormatting>
  <conditionalFormatting sqref="F11:F33">
    <cfRule type="cellIs" dxfId="24" priority="2" operator="greaterThan">
      <formula>1</formula>
    </cfRule>
  </conditionalFormatting>
  <conditionalFormatting sqref="B11:B33">
    <cfRule type="expression" dxfId="23" priority="5">
      <formula>AND(LEFT(H11,6)&lt;&gt;"mezera",H11&lt;&gt;"")</formula>
    </cfRule>
  </conditionalFormatting>
  <conditionalFormatting sqref="A11:A33">
    <cfRule type="expression" dxfId="22" priority="3">
      <formula>AND(H11&lt;&gt;"",H11&lt;&gt;"mezeraKL")</formula>
    </cfRule>
  </conditionalFormatting>
  <conditionalFormatting sqref="B11:G33">
    <cfRule type="expression" dxfId="21" priority="4">
      <formula>OR($H11="KL",$H11="SumaKL")</formula>
    </cfRule>
    <cfRule type="expression" dxfId="20" priority="6">
      <formula>$H11="SumaNS"</formula>
    </cfRule>
  </conditionalFormatting>
  <conditionalFormatting sqref="A11:G33">
    <cfRule type="expression" dxfId="19" priority="7">
      <formula>$H11&lt;&gt;""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12.44140625" style="345" hidden="1" customWidth="1" outlineLevel="1"/>
    <col min="8" max="8" width="25.77734375" style="345" customWidth="1" collapsed="1"/>
    <col min="9" max="9" width="7.77734375" style="343" customWidth="1"/>
    <col min="10" max="10" width="10" style="343" customWidth="1"/>
    <col min="11" max="11" width="11.109375" style="343" customWidth="1"/>
    <col min="12" max="16384" width="8.88671875" style="260"/>
  </cols>
  <sheetData>
    <row r="1" spans="1:11" ht="18.600000000000001" customHeight="1" thickBot="1" x14ac:dyDescent="0.4">
      <c r="A1" s="492" t="s">
        <v>1044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8"/>
      <c r="J2" s="348"/>
      <c r="K2" s="348"/>
    </row>
    <row r="3" spans="1:11" ht="14.4" customHeight="1" thickBot="1" x14ac:dyDescent="0.35">
      <c r="A3" s="66"/>
      <c r="B3" s="66"/>
      <c r="C3" s="488"/>
      <c r="D3" s="489"/>
      <c r="E3" s="489"/>
      <c r="F3" s="489"/>
      <c r="G3" s="489"/>
      <c r="H3" s="273" t="s">
        <v>163</v>
      </c>
      <c r="I3" s="213">
        <f>IF(J3&lt;&gt;0,K3/J3,0)</f>
        <v>16.986556170672426</v>
      </c>
      <c r="J3" s="213">
        <f>SUBTOTAL(9,J5:J1048576)</f>
        <v>14812</v>
      </c>
      <c r="K3" s="214">
        <f>SUBTOTAL(9,K5:K1048576)</f>
        <v>251604.87</v>
      </c>
    </row>
    <row r="4" spans="1:11" s="344" customFormat="1" ht="14.4" customHeight="1" thickBot="1" x14ac:dyDescent="0.35">
      <c r="A4" s="721" t="s">
        <v>7</v>
      </c>
      <c r="B4" s="722" t="s">
        <v>8</v>
      </c>
      <c r="C4" s="722" t="s">
        <v>0</v>
      </c>
      <c r="D4" s="722" t="s">
        <v>9</v>
      </c>
      <c r="E4" s="722" t="s">
        <v>10</v>
      </c>
      <c r="F4" s="722" t="s">
        <v>2</v>
      </c>
      <c r="G4" s="722" t="s">
        <v>93</v>
      </c>
      <c r="H4" s="622" t="s">
        <v>14</v>
      </c>
      <c r="I4" s="623" t="s">
        <v>189</v>
      </c>
      <c r="J4" s="623" t="s">
        <v>16</v>
      </c>
      <c r="K4" s="624" t="s">
        <v>206</v>
      </c>
    </row>
    <row r="5" spans="1:11" ht="14.4" customHeight="1" x14ac:dyDescent="0.3">
      <c r="A5" s="697" t="s">
        <v>483</v>
      </c>
      <c r="B5" s="698" t="s">
        <v>485</v>
      </c>
      <c r="C5" s="701" t="s">
        <v>495</v>
      </c>
      <c r="D5" s="723" t="s">
        <v>496</v>
      </c>
      <c r="E5" s="701" t="s">
        <v>952</v>
      </c>
      <c r="F5" s="723" t="s">
        <v>953</v>
      </c>
      <c r="G5" s="701" t="s">
        <v>962</v>
      </c>
      <c r="H5" s="701" t="s">
        <v>963</v>
      </c>
      <c r="I5" s="235">
        <v>260.3</v>
      </c>
      <c r="J5" s="235">
        <v>1</v>
      </c>
      <c r="K5" s="713">
        <v>260.3</v>
      </c>
    </row>
    <row r="6" spans="1:11" ht="14.4" customHeight="1" x14ac:dyDescent="0.3">
      <c r="A6" s="681" t="s">
        <v>483</v>
      </c>
      <c r="B6" s="672" t="s">
        <v>485</v>
      </c>
      <c r="C6" s="706" t="s">
        <v>495</v>
      </c>
      <c r="D6" s="724" t="s">
        <v>496</v>
      </c>
      <c r="E6" s="706" t="s">
        <v>952</v>
      </c>
      <c r="F6" s="724" t="s">
        <v>953</v>
      </c>
      <c r="G6" s="706" t="s">
        <v>964</v>
      </c>
      <c r="H6" s="706" t="s">
        <v>965</v>
      </c>
      <c r="I6" s="238">
        <v>8.5399999999999991</v>
      </c>
      <c r="J6" s="238">
        <v>4</v>
      </c>
      <c r="K6" s="714">
        <v>34.159999999999997</v>
      </c>
    </row>
    <row r="7" spans="1:11" ht="14.4" customHeight="1" x14ac:dyDescent="0.3">
      <c r="A7" s="681" t="s">
        <v>483</v>
      </c>
      <c r="B7" s="672" t="s">
        <v>485</v>
      </c>
      <c r="C7" s="706" t="s">
        <v>495</v>
      </c>
      <c r="D7" s="724" t="s">
        <v>496</v>
      </c>
      <c r="E7" s="706" t="s">
        <v>952</v>
      </c>
      <c r="F7" s="724" t="s">
        <v>953</v>
      </c>
      <c r="G7" s="706" t="s">
        <v>966</v>
      </c>
      <c r="H7" s="706" t="s">
        <v>967</v>
      </c>
      <c r="I7" s="238">
        <v>7.59</v>
      </c>
      <c r="J7" s="238">
        <v>3</v>
      </c>
      <c r="K7" s="714">
        <v>22.77</v>
      </c>
    </row>
    <row r="8" spans="1:11" ht="14.4" customHeight="1" x14ac:dyDescent="0.3">
      <c r="A8" s="681" t="s">
        <v>483</v>
      </c>
      <c r="B8" s="672" t="s">
        <v>485</v>
      </c>
      <c r="C8" s="706" t="s">
        <v>495</v>
      </c>
      <c r="D8" s="724" t="s">
        <v>496</v>
      </c>
      <c r="E8" s="706" t="s">
        <v>952</v>
      </c>
      <c r="F8" s="724" t="s">
        <v>953</v>
      </c>
      <c r="G8" s="706" t="s">
        <v>968</v>
      </c>
      <c r="H8" s="706" t="s">
        <v>969</v>
      </c>
      <c r="I8" s="238">
        <v>7.1</v>
      </c>
      <c r="J8" s="238">
        <v>4</v>
      </c>
      <c r="K8" s="714">
        <v>28.4</v>
      </c>
    </row>
    <row r="9" spans="1:11" ht="14.4" customHeight="1" x14ac:dyDescent="0.3">
      <c r="A9" s="681" t="s">
        <v>483</v>
      </c>
      <c r="B9" s="672" t="s">
        <v>485</v>
      </c>
      <c r="C9" s="706" t="s">
        <v>495</v>
      </c>
      <c r="D9" s="724" t="s">
        <v>496</v>
      </c>
      <c r="E9" s="706" t="s">
        <v>952</v>
      </c>
      <c r="F9" s="724" t="s">
        <v>953</v>
      </c>
      <c r="G9" s="706" t="s">
        <v>970</v>
      </c>
      <c r="H9" s="706" t="s">
        <v>971</v>
      </c>
      <c r="I9" s="238">
        <v>8.2799999999999994</v>
      </c>
      <c r="J9" s="238">
        <v>4</v>
      </c>
      <c r="K9" s="714">
        <v>33.119999999999997</v>
      </c>
    </row>
    <row r="10" spans="1:11" ht="14.4" customHeight="1" x14ac:dyDescent="0.3">
      <c r="A10" s="681" t="s">
        <v>483</v>
      </c>
      <c r="B10" s="672" t="s">
        <v>485</v>
      </c>
      <c r="C10" s="706" t="s">
        <v>495</v>
      </c>
      <c r="D10" s="724" t="s">
        <v>496</v>
      </c>
      <c r="E10" s="706" t="s">
        <v>952</v>
      </c>
      <c r="F10" s="724" t="s">
        <v>953</v>
      </c>
      <c r="G10" s="706" t="s">
        <v>972</v>
      </c>
      <c r="H10" s="706" t="s">
        <v>973</v>
      </c>
      <c r="I10" s="238">
        <v>5.92</v>
      </c>
      <c r="J10" s="238">
        <v>4</v>
      </c>
      <c r="K10" s="714">
        <v>23.68</v>
      </c>
    </row>
    <row r="11" spans="1:11" ht="14.4" customHeight="1" x14ac:dyDescent="0.3">
      <c r="A11" s="681" t="s">
        <v>483</v>
      </c>
      <c r="B11" s="672" t="s">
        <v>485</v>
      </c>
      <c r="C11" s="706" t="s">
        <v>495</v>
      </c>
      <c r="D11" s="724" t="s">
        <v>496</v>
      </c>
      <c r="E11" s="706" t="s">
        <v>952</v>
      </c>
      <c r="F11" s="724" t="s">
        <v>953</v>
      </c>
      <c r="G11" s="706" t="s">
        <v>974</v>
      </c>
      <c r="H11" s="706" t="s">
        <v>975</v>
      </c>
      <c r="I11" s="238">
        <v>2.5499999999999998</v>
      </c>
      <c r="J11" s="238">
        <v>15</v>
      </c>
      <c r="K11" s="714">
        <v>38.200000000000003</v>
      </c>
    </row>
    <row r="12" spans="1:11" ht="14.4" customHeight="1" x14ac:dyDescent="0.3">
      <c r="A12" s="681" t="s">
        <v>483</v>
      </c>
      <c r="B12" s="672" t="s">
        <v>485</v>
      </c>
      <c r="C12" s="706" t="s">
        <v>495</v>
      </c>
      <c r="D12" s="724" t="s">
        <v>496</v>
      </c>
      <c r="E12" s="706" t="s">
        <v>954</v>
      </c>
      <c r="F12" s="724" t="s">
        <v>955</v>
      </c>
      <c r="G12" s="706" t="s">
        <v>976</v>
      </c>
      <c r="H12" s="706" t="s">
        <v>977</v>
      </c>
      <c r="I12" s="238">
        <v>2.84</v>
      </c>
      <c r="J12" s="238">
        <v>50</v>
      </c>
      <c r="K12" s="714">
        <v>142</v>
      </c>
    </row>
    <row r="13" spans="1:11" ht="14.4" customHeight="1" x14ac:dyDescent="0.3">
      <c r="A13" s="681" t="s">
        <v>483</v>
      </c>
      <c r="B13" s="672" t="s">
        <v>485</v>
      </c>
      <c r="C13" s="706" t="s">
        <v>495</v>
      </c>
      <c r="D13" s="724" t="s">
        <v>496</v>
      </c>
      <c r="E13" s="706" t="s">
        <v>954</v>
      </c>
      <c r="F13" s="724" t="s">
        <v>955</v>
      </c>
      <c r="G13" s="706" t="s">
        <v>978</v>
      </c>
      <c r="H13" s="706" t="s">
        <v>979</v>
      </c>
      <c r="I13" s="238">
        <v>1.77</v>
      </c>
      <c r="J13" s="238">
        <v>100</v>
      </c>
      <c r="K13" s="714">
        <v>177</v>
      </c>
    </row>
    <row r="14" spans="1:11" ht="14.4" customHeight="1" x14ac:dyDescent="0.3">
      <c r="A14" s="681" t="s">
        <v>483</v>
      </c>
      <c r="B14" s="672" t="s">
        <v>485</v>
      </c>
      <c r="C14" s="706" t="s">
        <v>495</v>
      </c>
      <c r="D14" s="724" t="s">
        <v>496</v>
      </c>
      <c r="E14" s="706" t="s">
        <v>954</v>
      </c>
      <c r="F14" s="724" t="s">
        <v>955</v>
      </c>
      <c r="G14" s="706" t="s">
        <v>980</v>
      </c>
      <c r="H14" s="706" t="s">
        <v>981</v>
      </c>
      <c r="I14" s="238">
        <v>1.76</v>
      </c>
      <c r="J14" s="238">
        <v>200</v>
      </c>
      <c r="K14" s="714">
        <v>352</v>
      </c>
    </row>
    <row r="15" spans="1:11" ht="14.4" customHeight="1" x14ac:dyDescent="0.3">
      <c r="A15" s="681" t="s">
        <v>483</v>
      </c>
      <c r="B15" s="672" t="s">
        <v>485</v>
      </c>
      <c r="C15" s="706" t="s">
        <v>495</v>
      </c>
      <c r="D15" s="724" t="s">
        <v>496</v>
      </c>
      <c r="E15" s="706" t="s">
        <v>954</v>
      </c>
      <c r="F15" s="724" t="s">
        <v>955</v>
      </c>
      <c r="G15" s="706" t="s">
        <v>982</v>
      </c>
      <c r="H15" s="706" t="s">
        <v>983</v>
      </c>
      <c r="I15" s="238">
        <v>2.41</v>
      </c>
      <c r="J15" s="238">
        <v>300</v>
      </c>
      <c r="K15" s="714">
        <v>723</v>
      </c>
    </row>
    <row r="16" spans="1:11" ht="14.4" customHeight="1" x14ac:dyDescent="0.3">
      <c r="A16" s="681" t="s">
        <v>483</v>
      </c>
      <c r="B16" s="672" t="s">
        <v>485</v>
      </c>
      <c r="C16" s="706" t="s">
        <v>495</v>
      </c>
      <c r="D16" s="724" t="s">
        <v>496</v>
      </c>
      <c r="E16" s="706" t="s">
        <v>954</v>
      </c>
      <c r="F16" s="724" t="s">
        <v>955</v>
      </c>
      <c r="G16" s="706" t="s">
        <v>984</v>
      </c>
      <c r="H16" s="706" t="s">
        <v>985</v>
      </c>
      <c r="I16" s="238">
        <v>15</v>
      </c>
      <c r="J16" s="238">
        <v>20</v>
      </c>
      <c r="K16" s="714">
        <v>300</v>
      </c>
    </row>
    <row r="17" spans="1:11" ht="14.4" customHeight="1" x14ac:dyDescent="0.3">
      <c r="A17" s="681" t="s">
        <v>483</v>
      </c>
      <c r="B17" s="672" t="s">
        <v>485</v>
      </c>
      <c r="C17" s="706" t="s">
        <v>495</v>
      </c>
      <c r="D17" s="724" t="s">
        <v>496</v>
      </c>
      <c r="E17" s="706" t="s">
        <v>954</v>
      </c>
      <c r="F17" s="724" t="s">
        <v>955</v>
      </c>
      <c r="G17" s="706" t="s">
        <v>986</v>
      </c>
      <c r="H17" s="706" t="s">
        <v>987</v>
      </c>
      <c r="I17" s="238">
        <v>2.84</v>
      </c>
      <c r="J17" s="238">
        <v>50</v>
      </c>
      <c r="K17" s="714">
        <v>142</v>
      </c>
    </row>
    <row r="18" spans="1:11" ht="14.4" customHeight="1" x14ac:dyDescent="0.3">
      <c r="A18" s="681" t="s">
        <v>483</v>
      </c>
      <c r="B18" s="672" t="s">
        <v>485</v>
      </c>
      <c r="C18" s="706" t="s">
        <v>495</v>
      </c>
      <c r="D18" s="724" t="s">
        <v>496</v>
      </c>
      <c r="E18" s="706" t="s">
        <v>958</v>
      </c>
      <c r="F18" s="724" t="s">
        <v>959</v>
      </c>
      <c r="G18" s="706" t="s">
        <v>988</v>
      </c>
      <c r="H18" s="706" t="s">
        <v>989</v>
      </c>
      <c r="I18" s="238">
        <v>0.78</v>
      </c>
      <c r="J18" s="238">
        <v>500</v>
      </c>
      <c r="K18" s="714">
        <v>390</v>
      </c>
    </row>
    <row r="19" spans="1:11" ht="14.4" customHeight="1" x14ac:dyDescent="0.3">
      <c r="A19" s="681" t="s">
        <v>483</v>
      </c>
      <c r="B19" s="672" t="s">
        <v>485</v>
      </c>
      <c r="C19" s="706" t="s">
        <v>499</v>
      </c>
      <c r="D19" s="724" t="s">
        <v>500</v>
      </c>
      <c r="E19" s="706" t="s">
        <v>952</v>
      </c>
      <c r="F19" s="724" t="s">
        <v>953</v>
      </c>
      <c r="G19" s="706" t="s">
        <v>990</v>
      </c>
      <c r="H19" s="706" t="s">
        <v>991</v>
      </c>
      <c r="I19" s="238">
        <v>8.58</v>
      </c>
      <c r="J19" s="238">
        <v>24</v>
      </c>
      <c r="K19" s="714">
        <v>205.92</v>
      </c>
    </row>
    <row r="20" spans="1:11" ht="14.4" customHeight="1" x14ac:dyDescent="0.3">
      <c r="A20" s="681" t="s">
        <v>483</v>
      </c>
      <c r="B20" s="672" t="s">
        <v>485</v>
      </c>
      <c r="C20" s="706" t="s">
        <v>499</v>
      </c>
      <c r="D20" s="724" t="s">
        <v>500</v>
      </c>
      <c r="E20" s="706" t="s">
        <v>952</v>
      </c>
      <c r="F20" s="724" t="s">
        <v>953</v>
      </c>
      <c r="G20" s="706" t="s">
        <v>992</v>
      </c>
      <c r="H20" s="706" t="s">
        <v>993</v>
      </c>
      <c r="I20" s="238">
        <v>11.74</v>
      </c>
      <c r="J20" s="238">
        <v>6</v>
      </c>
      <c r="K20" s="714">
        <v>70.44</v>
      </c>
    </row>
    <row r="21" spans="1:11" ht="14.4" customHeight="1" x14ac:dyDescent="0.3">
      <c r="A21" s="681" t="s">
        <v>483</v>
      </c>
      <c r="B21" s="672" t="s">
        <v>485</v>
      </c>
      <c r="C21" s="706" t="s">
        <v>499</v>
      </c>
      <c r="D21" s="724" t="s">
        <v>500</v>
      </c>
      <c r="E21" s="706" t="s">
        <v>952</v>
      </c>
      <c r="F21" s="724" t="s">
        <v>953</v>
      </c>
      <c r="G21" s="706" t="s">
        <v>994</v>
      </c>
      <c r="H21" s="706" t="s">
        <v>995</v>
      </c>
      <c r="I21" s="238">
        <v>14.09</v>
      </c>
      <c r="J21" s="238">
        <v>6</v>
      </c>
      <c r="K21" s="714">
        <v>84.54</v>
      </c>
    </row>
    <row r="22" spans="1:11" ht="14.4" customHeight="1" x14ac:dyDescent="0.3">
      <c r="A22" s="681" t="s">
        <v>483</v>
      </c>
      <c r="B22" s="672" t="s">
        <v>485</v>
      </c>
      <c r="C22" s="706" t="s">
        <v>499</v>
      </c>
      <c r="D22" s="724" t="s">
        <v>500</v>
      </c>
      <c r="E22" s="706" t="s">
        <v>954</v>
      </c>
      <c r="F22" s="724" t="s">
        <v>955</v>
      </c>
      <c r="G22" s="706" t="s">
        <v>996</v>
      </c>
      <c r="H22" s="706" t="s">
        <v>997</v>
      </c>
      <c r="I22" s="238">
        <v>5.13</v>
      </c>
      <c r="J22" s="238">
        <v>200</v>
      </c>
      <c r="K22" s="714">
        <v>1026</v>
      </c>
    </row>
    <row r="23" spans="1:11" ht="14.4" customHeight="1" x14ac:dyDescent="0.3">
      <c r="A23" s="681" t="s">
        <v>483</v>
      </c>
      <c r="B23" s="672" t="s">
        <v>485</v>
      </c>
      <c r="C23" s="706" t="s">
        <v>499</v>
      </c>
      <c r="D23" s="724" t="s">
        <v>500</v>
      </c>
      <c r="E23" s="706" t="s">
        <v>954</v>
      </c>
      <c r="F23" s="724" t="s">
        <v>955</v>
      </c>
      <c r="G23" s="706" t="s">
        <v>998</v>
      </c>
      <c r="H23" s="706" t="s">
        <v>999</v>
      </c>
      <c r="I23" s="238">
        <v>8.23</v>
      </c>
      <c r="J23" s="238">
        <v>200</v>
      </c>
      <c r="K23" s="714">
        <v>1646</v>
      </c>
    </row>
    <row r="24" spans="1:11" ht="14.4" customHeight="1" x14ac:dyDescent="0.3">
      <c r="A24" s="681" t="s">
        <v>483</v>
      </c>
      <c r="B24" s="672" t="s">
        <v>485</v>
      </c>
      <c r="C24" s="706" t="s">
        <v>499</v>
      </c>
      <c r="D24" s="724" t="s">
        <v>500</v>
      </c>
      <c r="E24" s="706" t="s">
        <v>954</v>
      </c>
      <c r="F24" s="724" t="s">
        <v>955</v>
      </c>
      <c r="G24" s="706" t="s">
        <v>1000</v>
      </c>
      <c r="H24" s="706" t="s">
        <v>1001</v>
      </c>
      <c r="I24" s="238">
        <v>17.98</v>
      </c>
      <c r="J24" s="238">
        <v>200</v>
      </c>
      <c r="K24" s="714">
        <v>3596</v>
      </c>
    </row>
    <row r="25" spans="1:11" ht="14.4" customHeight="1" x14ac:dyDescent="0.3">
      <c r="A25" s="681" t="s">
        <v>483</v>
      </c>
      <c r="B25" s="672" t="s">
        <v>485</v>
      </c>
      <c r="C25" s="706" t="s">
        <v>499</v>
      </c>
      <c r="D25" s="724" t="s">
        <v>500</v>
      </c>
      <c r="E25" s="706" t="s">
        <v>954</v>
      </c>
      <c r="F25" s="724" t="s">
        <v>955</v>
      </c>
      <c r="G25" s="706" t="s">
        <v>1002</v>
      </c>
      <c r="H25" s="706" t="s">
        <v>1003</v>
      </c>
      <c r="I25" s="238">
        <v>12.08</v>
      </c>
      <c r="J25" s="238">
        <v>4</v>
      </c>
      <c r="K25" s="714">
        <v>48.32</v>
      </c>
    </row>
    <row r="26" spans="1:11" ht="14.4" customHeight="1" x14ac:dyDescent="0.3">
      <c r="A26" s="681" t="s">
        <v>483</v>
      </c>
      <c r="B26" s="672" t="s">
        <v>485</v>
      </c>
      <c r="C26" s="706" t="s">
        <v>499</v>
      </c>
      <c r="D26" s="724" t="s">
        <v>500</v>
      </c>
      <c r="E26" s="706" t="s">
        <v>958</v>
      </c>
      <c r="F26" s="724" t="s">
        <v>959</v>
      </c>
      <c r="G26" s="706" t="s">
        <v>1004</v>
      </c>
      <c r="H26" s="706" t="s">
        <v>1005</v>
      </c>
      <c r="I26" s="238">
        <v>1.22</v>
      </c>
      <c r="J26" s="238">
        <v>500</v>
      </c>
      <c r="K26" s="714">
        <v>609.54999999999995</v>
      </c>
    </row>
    <row r="27" spans="1:11" ht="14.4" customHeight="1" x14ac:dyDescent="0.3">
      <c r="A27" s="681" t="s">
        <v>483</v>
      </c>
      <c r="B27" s="672" t="s">
        <v>485</v>
      </c>
      <c r="C27" s="706" t="s">
        <v>499</v>
      </c>
      <c r="D27" s="724" t="s">
        <v>500</v>
      </c>
      <c r="E27" s="706" t="s">
        <v>958</v>
      </c>
      <c r="F27" s="724" t="s">
        <v>959</v>
      </c>
      <c r="G27" s="706" t="s">
        <v>988</v>
      </c>
      <c r="H27" s="706" t="s">
        <v>989</v>
      </c>
      <c r="I27" s="238">
        <v>0.77500000000000002</v>
      </c>
      <c r="J27" s="238">
        <v>3000</v>
      </c>
      <c r="K27" s="714">
        <v>2320</v>
      </c>
    </row>
    <row r="28" spans="1:11" ht="14.4" customHeight="1" x14ac:dyDescent="0.3">
      <c r="A28" s="681" t="s">
        <v>483</v>
      </c>
      <c r="B28" s="672" t="s">
        <v>485</v>
      </c>
      <c r="C28" s="706" t="s">
        <v>960</v>
      </c>
      <c r="D28" s="724" t="s">
        <v>961</v>
      </c>
      <c r="E28" s="706" t="s">
        <v>952</v>
      </c>
      <c r="F28" s="724" t="s">
        <v>953</v>
      </c>
      <c r="G28" s="706" t="s">
        <v>1006</v>
      </c>
      <c r="H28" s="706" t="s">
        <v>1007</v>
      </c>
      <c r="I28" s="238">
        <v>1.84</v>
      </c>
      <c r="J28" s="238">
        <v>10</v>
      </c>
      <c r="K28" s="714">
        <v>18.399999999999999</v>
      </c>
    </row>
    <row r="29" spans="1:11" ht="14.4" customHeight="1" x14ac:dyDescent="0.3">
      <c r="A29" s="681" t="s">
        <v>483</v>
      </c>
      <c r="B29" s="672" t="s">
        <v>485</v>
      </c>
      <c r="C29" s="706" t="s">
        <v>960</v>
      </c>
      <c r="D29" s="724" t="s">
        <v>961</v>
      </c>
      <c r="E29" s="706" t="s">
        <v>952</v>
      </c>
      <c r="F29" s="724" t="s">
        <v>953</v>
      </c>
      <c r="G29" s="706" t="s">
        <v>1008</v>
      </c>
      <c r="H29" s="706" t="s">
        <v>1009</v>
      </c>
      <c r="I29" s="238">
        <v>2.39</v>
      </c>
      <c r="J29" s="238">
        <v>10</v>
      </c>
      <c r="K29" s="714">
        <v>23.9</v>
      </c>
    </row>
    <row r="30" spans="1:11" ht="14.4" customHeight="1" x14ac:dyDescent="0.3">
      <c r="A30" s="681" t="s">
        <v>483</v>
      </c>
      <c r="B30" s="672" t="s">
        <v>485</v>
      </c>
      <c r="C30" s="706" t="s">
        <v>960</v>
      </c>
      <c r="D30" s="724" t="s">
        <v>961</v>
      </c>
      <c r="E30" s="706" t="s">
        <v>952</v>
      </c>
      <c r="F30" s="724" t="s">
        <v>953</v>
      </c>
      <c r="G30" s="706" t="s">
        <v>966</v>
      </c>
      <c r="H30" s="706" t="s">
        <v>967</v>
      </c>
      <c r="I30" s="238">
        <v>7.59</v>
      </c>
      <c r="J30" s="238">
        <v>4</v>
      </c>
      <c r="K30" s="714">
        <v>30.36</v>
      </c>
    </row>
    <row r="31" spans="1:11" ht="14.4" customHeight="1" x14ac:dyDescent="0.3">
      <c r="A31" s="681" t="s">
        <v>483</v>
      </c>
      <c r="B31" s="672" t="s">
        <v>485</v>
      </c>
      <c r="C31" s="706" t="s">
        <v>960</v>
      </c>
      <c r="D31" s="724" t="s">
        <v>961</v>
      </c>
      <c r="E31" s="706" t="s">
        <v>954</v>
      </c>
      <c r="F31" s="724" t="s">
        <v>955</v>
      </c>
      <c r="G31" s="706" t="s">
        <v>1010</v>
      </c>
      <c r="H31" s="706" t="s">
        <v>1011</v>
      </c>
      <c r="I31" s="238">
        <v>0.42</v>
      </c>
      <c r="J31" s="238">
        <v>1000</v>
      </c>
      <c r="K31" s="714">
        <v>420</v>
      </c>
    </row>
    <row r="32" spans="1:11" ht="14.4" customHeight="1" x14ac:dyDescent="0.3">
      <c r="A32" s="681" t="s">
        <v>483</v>
      </c>
      <c r="B32" s="672" t="s">
        <v>485</v>
      </c>
      <c r="C32" s="706" t="s">
        <v>960</v>
      </c>
      <c r="D32" s="724" t="s">
        <v>961</v>
      </c>
      <c r="E32" s="706" t="s">
        <v>954</v>
      </c>
      <c r="F32" s="724" t="s">
        <v>955</v>
      </c>
      <c r="G32" s="706" t="s">
        <v>1012</v>
      </c>
      <c r="H32" s="706" t="s">
        <v>1013</v>
      </c>
      <c r="I32" s="238">
        <v>0.57999999999999996</v>
      </c>
      <c r="J32" s="238">
        <v>200</v>
      </c>
      <c r="K32" s="714">
        <v>116</v>
      </c>
    </row>
    <row r="33" spans="1:11" ht="14.4" customHeight="1" x14ac:dyDescent="0.3">
      <c r="A33" s="681" t="s">
        <v>483</v>
      </c>
      <c r="B33" s="672" t="s">
        <v>485</v>
      </c>
      <c r="C33" s="706" t="s">
        <v>960</v>
      </c>
      <c r="D33" s="724" t="s">
        <v>961</v>
      </c>
      <c r="E33" s="706" t="s">
        <v>958</v>
      </c>
      <c r="F33" s="724" t="s">
        <v>959</v>
      </c>
      <c r="G33" s="706" t="s">
        <v>1014</v>
      </c>
      <c r="H33" s="706" t="s">
        <v>1015</v>
      </c>
      <c r="I33" s="238">
        <v>0.78</v>
      </c>
      <c r="J33" s="238">
        <v>300</v>
      </c>
      <c r="K33" s="714">
        <v>234</v>
      </c>
    </row>
    <row r="34" spans="1:11" ht="14.4" customHeight="1" x14ac:dyDescent="0.3">
      <c r="A34" s="681" t="s">
        <v>483</v>
      </c>
      <c r="B34" s="672" t="s">
        <v>485</v>
      </c>
      <c r="C34" s="706" t="s">
        <v>960</v>
      </c>
      <c r="D34" s="724" t="s">
        <v>961</v>
      </c>
      <c r="E34" s="706" t="s">
        <v>958</v>
      </c>
      <c r="F34" s="724" t="s">
        <v>959</v>
      </c>
      <c r="G34" s="706" t="s">
        <v>988</v>
      </c>
      <c r="H34" s="706" t="s">
        <v>989</v>
      </c>
      <c r="I34" s="238">
        <v>0.78</v>
      </c>
      <c r="J34" s="238">
        <v>300</v>
      </c>
      <c r="K34" s="714">
        <v>234</v>
      </c>
    </row>
    <row r="35" spans="1:11" ht="14.4" customHeight="1" x14ac:dyDescent="0.3">
      <c r="A35" s="681" t="s">
        <v>483</v>
      </c>
      <c r="B35" s="672" t="s">
        <v>485</v>
      </c>
      <c r="C35" s="706" t="s">
        <v>501</v>
      </c>
      <c r="D35" s="724" t="s">
        <v>502</v>
      </c>
      <c r="E35" s="706" t="s">
        <v>952</v>
      </c>
      <c r="F35" s="724" t="s">
        <v>953</v>
      </c>
      <c r="G35" s="706" t="s">
        <v>962</v>
      </c>
      <c r="H35" s="706" t="s">
        <v>963</v>
      </c>
      <c r="I35" s="238">
        <v>260.3</v>
      </c>
      <c r="J35" s="238">
        <v>1</v>
      </c>
      <c r="K35" s="714">
        <v>260.3</v>
      </c>
    </row>
    <row r="36" spans="1:11" ht="14.4" customHeight="1" x14ac:dyDescent="0.3">
      <c r="A36" s="681" t="s">
        <v>483</v>
      </c>
      <c r="B36" s="672" t="s">
        <v>485</v>
      </c>
      <c r="C36" s="706" t="s">
        <v>501</v>
      </c>
      <c r="D36" s="724" t="s">
        <v>502</v>
      </c>
      <c r="E36" s="706" t="s">
        <v>952</v>
      </c>
      <c r="F36" s="724" t="s">
        <v>953</v>
      </c>
      <c r="G36" s="706" t="s">
        <v>990</v>
      </c>
      <c r="H36" s="706" t="s">
        <v>991</v>
      </c>
      <c r="I36" s="238">
        <v>8.58</v>
      </c>
      <c r="J36" s="238">
        <v>36</v>
      </c>
      <c r="K36" s="714">
        <v>308.88</v>
      </c>
    </row>
    <row r="37" spans="1:11" ht="14.4" customHeight="1" x14ac:dyDescent="0.3">
      <c r="A37" s="681" t="s">
        <v>483</v>
      </c>
      <c r="B37" s="672" t="s">
        <v>485</v>
      </c>
      <c r="C37" s="706" t="s">
        <v>501</v>
      </c>
      <c r="D37" s="724" t="s">
        <v>502</v>
      </c>
      <c r="E37" s="706" t="s">
        <v>954</v>
      </c>
      <c r="F37" s="724" t="s">
        <v>955</v>
      </c>
      <c r="G37" s="706" t="s">
        <v>1016</v>
      </c>
      <c r="H37" s="706" t="s">
        <v>1017</v>
      </c>
      <c r="I37" s="238">
        <v>15.92</v>
      </c>
      <c r="J37" s="238">
        <v>200</v>
      </c>
      <c r="K37" s="714">
        <v>3184</v>
      </c>
    </row>
    <row r="38" spans="1:11" ht="14.4" customHeight="1" x14ac:dyDescent="0.3">
      <c r="A38" s="681" t="s">
        <v>483</v>
      </c>
      <c r="B38" s="672" t="s">
        <v>485</v>
      </c>
      <c r="C38" s="706" t="s">
        <v>501</v>
      </c>
      <c r="D38" s="724" t="s">
        <v>502</v>
      </c>
      <c r="E38" s="706" t="s">
        <v>954</v>
      </c>
      <c r="F38" s="724" t="s">
        <v>955</v>
      </c>
      <c r="G38" s="706" t="s">
        <v>1018</v>
      </c>
      <c r="H38" s="706" t="s">
        <v>1019</v>
      </c>
      <c r="I38" s="238">
        <v>0.93</v>
      </c>
      <c r="J38" s="238">
        <v>500</v>
      </c>
      <c r="K38" s="714">
        <v>465</v>
      </c>
    </row>
    <row r="39" spans="1:11" ht="14.4" customHeight="1" x14ac:dyDescent="0.3">
      <c r="A39" s="681" t="s">
        <v>483</v>
      </c>
      <c r="B39" s="672" t="s">
        <v>485</v>
      </c>
      <c r="C39" s="706" t="s">
        <v>501</v>
      </c>
      <c r="D39" s="724" t="s">
        <v>502</v>
      </c>
      <c r="E39" s="706" t="s">
        <v>954</v>
      </c>
      <c r="F39" s="724" t="s">
        <v>955</v>
      </c>
      <c r="G39" s="706" t="s">
        <v>1020</v>
      </c>
      <c r="H39" s="706" t="s">
        <v>1021</v>
      </c>
      <c r="I39" s="238">
        <v>1.44</v>
      </c>
      <c r="J39" s="238">
        <v>1000</v>
      </c>
      <c r="K39" s="714">
        <v>1440</v>
      </c>
    </row>
    <row r="40" spans="1:11" ht="14.4" customHeight="1" x14ac:dyDescent="0.3">
      <c r="A40" s="681" t="s">
        <v>483</v>
      </c>
      <c r="B40" s="672" t="s">
        <v>485</v>
      </c>
      <c r="C40" s="706" t="s">
        <v>501</v>
      </c>
      <c r="D40" s="724" t="s">
        <v>502</v>
      </c>
      <c r="E40" s="706" t="s">
        <v>954</v>
      </c>
      <c r="F40" s="724" t="s">
        <v>955</v>
      </c>
      <c r="G40" s="706" t="s">
        <v>1022</v>
      </c>
      <c r="H40" s="706" t="s">
        <v>1023</v>
      </c>
      <c r="I40" s="238">
        <v>858.14</v>
      </c>
      <c r="J40" s="238">
        <v>80</v>
      </c>
      <c r="K40" s="714">
        <v>68651.58</v>
      </c>
    </row>
    <row r="41" spans="1:11" ht="14.4" customHeight="1" x14ac:dyDescent="0.3">
      <c r="A41" s="681" t="s">
        <v>483</v>
      </c>
      <c r="B41" s="672" t="s">
        <v>485</v>
      </c>
      <c r="C41" s="706" t="s">
        <v>501</v>
      </c>
      <c r="D41" s="724" t="s">
        <v>502</v>
      </c>
      <c r="E41" s="706" t="s">
        <v>954</v>
      </c>
      <c r="F41" s="724" t="s">
        <v>955</v>
      </c>
      <c r="G41" s="706" t="s">
        <v>1024</v>
      </c>
      <c r="H41" s="706" t="s">
        <v>1025</v>
      </c>
      <c r="I41" s="238">
        <v>1694</v>
      </c>
      <c r="J41" s="238">
        <v>28</v>
      </c>
      <c r="K41" s="714">
        <v>47432</v>
      </c>
    </row>
    <row r="42" spans="1:11" ht="14.4" customHeight="1" x14ac:dyDescent="0.3">
      <c r="A42" s="681" t="s">
        <v>483</v>
      </c>
      <c r="B42" s="672" t="s">
        <v>485</v>
      </c>
      <c r="C42" s="706" t="s">
        <v>501</v>
      </c>
      <c r="D42" s="724" t="s">
        <v>502</v>
      </c>
      <c r="E42" s="706" t="s">
        <v>954</v>
      </c>
      <c r="F42" s="724" t="s">
        <v>955</v>
      </c>
      <c r="G42" s="706" t="s">
        <v>1026</v>
      </c>
      <c r="H42" s="706" t="s">
        <v>1027</v>
      </c>
      <c r="I42" s="238">
        <v>2.17</v>
      </c>
      <c r="J42" s="238">
        <v>300</v>
      </c>
      <c r="K42" s="714">
        <v>651</v>
      </c>
    </row>
    <row r="43" spans="1:11" ht="14.4" customHeight="1" x14ac:dyDescent="0.3">
      <c r="A43" s="681" t="s">
        <v>483</v>
      </c>
      <c r="B43" s="672" t="s">
        <v>485</v>
      </c>
      <c r="C43" s="706" t="s">
        <v>501</v>
      </c>
      <c r="D43" s="724" t="s">
        <v>502</v>
      </c>
      <c r="E43" s="706" t="s">
        <v>954</v>
      </c>
      <c r="F43" s="724" t="s">
        <v>955</v>
      </c>
      <c r="G43" s="706" t="s">
        <v>996</v>
      </c>
      <c r="H43" s="706" t="s">
        <v>997</v>
      </c>
      <c r="I43" s="238">
        <v>5.13</v>
      </c>
      <c r="J43" s="238">
        <v>400</v>
      </c>
      <c r="K43" s="714">
        <v>2052</v>
      </c>
    </row>
    <row r="44" spans="1:11" ht="14.4" customHeight="1" x14ac:dyDescent="0.3">
      <c r="A44" s="681" t="s">
        <v>483</v>
      </c>
      <c r="B44" s="672" t="s">
        <v>485</v>
      </c>
      <c r="C44" s="706" t="s">
        <v>501</v>
      </c>
      <c r="D44" s="724" t="s">
        <v>502</v>
      </c>
      <c r="E44" s="706" t="s">
        <v>954</v>
      </c>
      <c r="F44" s="724" t="s">
        <v>955</v>
      </c>
      <c r="G44" s="706" t="s">
        <v>1028</v>
      </c>
      <c r="H44" s="706" t="s">
        <v>1029</v>
      </c>
      <c r="I44" s="238">
        <v>7.95</v>
      </c>
      <c r="J44" s="238">
        <v>400</v>
      </c>
      <c r="K44" s="714">
        <v>3180</v>
      </c>
    </row>
    <row r="45" spans="1:11" ht="14.4" customHeight="1" x14ac:dyDescent="0.3">
      <c r="A45" s="681" t="s">
        <v>483</v>
      </c>
      <c r="B45" s="672" t="s">
        <v>485</v>
      </c>
      <c r="C45" s="706" t="s">
        <v>501</v>
      </c>
      <c r="D45" s="724" t="s">
        <v>502</v>
      </c>
      <c r="E45" s="706" t="s">
        <v>954</v>
      </c>
      <c r="F45" s="724" t="s">
        <v>955</v>
      </c>
      <c r="G45" s="706" t="s">
        <v>998</v>
      </c>
      <c r="H45" s="706" t="s">
        <v>999</v>
      </c>
      <c r="I45" s="238">
        <v>8.23</v>
      </c>
      <c r="J45" s="238">
        <v>400</v>
      </c>
      <c r="K45" s="714">
        <v>3290.8</v>
      </c>
    </row>
    <row r="46" spans="1:11" ht="14.4" customHeight="1" x14ac:dyDescent="0.3">
      <c r="A46" s="681" t="s">
        <v>483</v>
      </c>
      <c r="B46" s="672" t="s">
        <v>485</v>
      </c>
      <c r="C46" s="706" t="s">
        <v>501</v>
      </c>
      <c r="D46" s="724" t="s">
        <v>502</v>
      </c>
      <c r="E46" s="706" t="s">
        <v>954</v>
      </c>
      <c r="F46" s="724" t="s">
        <v>955</v>
      </c>
      <c r="G46" s="706" t="s">
        <v>1000</v>
      </c>
      <c r="H46" s="706" t="s">
        <v>1001</v>
      </c>
      <c r="I46" s="238">
        <v>17.98</v>
      </c>
      <c r="J46" s="238">
        <v>200</v>
      </c>
      <c r="K46" s="714">
        <v>3596</v>
      </c>
    </row>
    <row r="47" spans="1:11" ht="14.4" customHeight="1" x14ac:dyDescent="0.3">
      <c r="A47" s="681" t="s">
        <v>483</v>
      </c>
      <c r="B47" s="672" t="s">
        <v>485</v>
      </c>
      <c r="C47" s="706" t="s">
        <v>501</v>
      </c>
      <c r="D47" s="724" t="s">
        <v>502</v>
      </c>
      <c r="E47" s="706" t="s">
        <v>954</v>
      </c>
      <c r="F47" s="724" t="s">
        <v>955</v>
      </c>
      <c r="G47" s="706" t="s">
        <v>1030</v>
      </c>
      <c r="H47" s="706" t="s">
        <v>1031</v>
      </c>
      <c r="I47" s="238">
        <v>17.98</v>
      </c>
      <c r="J47" s="238">
        <v>300</v>
      </c>
      <c r="K47" s="714">
        <v>5394</v>
      </c>
    </row>
    <row r="48" spans="1:11" ht="14.4" customHeight="1" x14ac:dyDescent="0.3">
      <c r="A48" s="681" t="s">
        <v>483</v>
      </c>
      <c r="B48" s="672" t="s">
        <v>485</v>
      </c>
      <c r="C48" s="706" t="s">
        <v>501</v>
      </c>
      <c r="D48" s="724" t="s">
        <v>502</v>
      </c>
      <c r="E48" s="706" t="s">
        <v>954</v>
      </c>
      <c r="F48" s="724" t="s">
        <v>955</v>
      </c>
      <c r="G48" s="706" t="s">
        <v>1032</v>
      </c>
      <c r="H48" s="706" t="s">
        <v>1033</v>
      </c>
      <c r="I48" s="238">
        <v>0.47</v>
      </c>
      <c r="J48" s="238">
        <v>1000</v>
      </c>
      <c r="K48" s="714">
        <v>470</v>
      </c>
    </row>
    <row r="49" spans="1:11" ht="14.4" customHeight="1" x14ac:dyDescent="0.3">
      <c r="A49" s="681" t="s">
        <v>483</v>
      </c>
      <c r="B49" s="672" t="s">
        <v>485</v>
      </c>
      <c r="C49" s="706" t="s">
        <v>501</v>
      </c>
      <c r="D49" s="724" t="s">
        <v>502</v>
      </c>
      <c r="E49" s="706" t="s">
        <v>954</v>
      </c>
      <c r="F49" s="724" t="s">
        <v>955</v>
      </c>
      <c r="G49" s="706" t="s">
        <v>1034</v>
      </c>
      <c r="H49" s="706" t="s">
        <v>1035</v>
      </c>
      <c r="I49" s="238">
        <v>49.97</v>
      </c>
      <c r="J49" s="238">
        <v>10</v>
      </c>
      <c r="K49" s="714">
        <v>499.7</v>
      </c>
    </row>
    <row r="50" spans="1:11" ht="14.4" customHeight="1" x14ac:dyDescent="0.3">
      <c r="A50" s="681" t="s">
        <v>483</v>
      </c>
      <c r="B50" s="672" t="s">
        <v>485</v>
      </c>
      <c r="C50" s="706" t="s">
        <v>501</v>
      </c>
      <c r="D50" s="724" t="s">
        <v>502</v>
      </c>
      <c r="E50" s="706" t="s">
        <v>954</v>
      </c>
      <c r="F50" s="724" t="s">
        <v>955</v>
      </c>
      <c r="G50" s="706" t="s">
        <v>1036</v>
      </c>
      <c r="H50" s="706" t="s">
        <v>1037</v>
      </c>
      <c r="I50" s="238">
        <v>9.1999999999999993</v>
      </c>
      <c r="J50" s="238">
        <v>500</v>
      </c>
      <c r="K50" s="714">
        <v>4600</v>
      </c>
    </row>
    <row r="51" spans="1:11" ht="14.4" customHeight="1" x14ac:dyDescent="0.3">
      <c r="A51" s="681" t="s">
        <v>483</v>
      </c>
      <c r="B51" s="672" t="s">
        <v>485</v>
      </c>
      <c r="C51" s="706" t="s">
        <v>501</v>
      </c>
      <c r="D51" s="724" t="s">
        <v>502</v>
      </c>
      <c r="E51" s="706" t="s">
        <v>954</v>
      </c>
      <c r="F51" s="724" t="s">
        <v>955</v>
      </c>
      <c r="G51" s="706" t="s">
        <v>1038</v>
      </c>
      <c r="H51" s="706" t="s">
        <v>1039</v>
      </c>
      <c r="I51" s="238">
        <v>173.63</v>
      </c>
      <c r="J51" s="238">
        <v>10</v>
      </c>
      <c r="K51" s="714">
        <v>1736.35</v>
      </c>
    </row>
    <row r="52" spans="1:11" ht="14.4" customHeight="1" x14ac:dyDescent="0.3">
      <c r="A52" s="681" t="s">
        <v>483</v>
      </c>
      <c r="B52" s="672" t="s">
        <v>485</v>
      </c>
      <c r="C52" s="706" t="s">
        <v>501</v>
      </c>
      <c r="D52" s="724" t="s">
        <v>502</v>
      </c>
      <c r="E52" s="706" t="s">
        <v>954</v>
      </c>
      <c r="F52" s="724" t="s">
        <v>955</v>
      </c>
      <c r="G52" s="706" t="s">
        <v>1040</v>
      </c>
      <c r="H52" s="706" t="s">
        <v>1041</v>
      </c>
      <c r="I52" s="238">
        <v>3194.4</v>
      </c>
      <c r="J52" s="238">
        <v>28</v>
      </c>
      <c r="K52" s="714">
        <v>89443.199999999997</v>
      </c>
    </row>
    <row r="53" spans="1:11" ht="14.4" customHeight="1" x14ac:dyDescent="0.3">
      <c r="A53" s="681" t="s">
        <v>483</v>
      </c>
      <c r="B53" s="672" t="s">
        <v>485</v>
      </c>
      <c r="C53" s="706" t="s">
        <v>501</v>
      </c>
      <c r="D53" s="724" t="s">
        <v>502</v>
      </c>
      <c r="E53" s="706" t="s">
        <v>956</v>
      </c>
      <c r="F53" s="724" t="s">
        <v>957</v>
      </c>
      <c r="G53" s="706" t="s">
        <v>1042</v>
      </c>
      <c r="H53" s="706" t="s">
        <v>1043</v>
      </c>
      <c r="I53" s="238">
        <v>0.3</v>
      </c>
      <c r="J53" s="238">
        <v>200</v>
      </c>
      <c r="K53" s="714">
        <v>60</v>
      </c>
    </row>
    <row r="54" spans="1:11" ht="14.4" customHeight="1" x14ac:dyDescent="0.3">
      <c r="A54" s="681" t="s">
        <v>483</v>
      </c>
      <c r="B54" s="672" t="s">
        <v>485</v>
      </c>
      <c r="C54" s="706" t="s">
        <v>501</v>
      </c>
      <c r="D54" s="724" t="s">
        <v>502</v>
      </c>
      <c r="E54" s="706" t="s">
        <v>958</v>
      </c>
      <c r="F54" s="724" t="s">
        <v>959</v>
      </c>
      <c r="G54" s="706" t="s">
        <v>1014</v>
      </c>
      <c r="H54" s="706" t="s">
        <v>1015</v>
      </c>
      <c r="I54" s="238">
        <v>0.77</v>
      </c>
      <c r="J54" s="238">
        <v>1000</v>
      </c>
      <c r="K54" s="714">
        <v>770</v>
      </c>
    </row>
    <row r="55" spans="1:11" ht="14.4" customHeight="1" thickBot="1" x14ac:dyDescent="0.35">
      <c r="A55" s="637" t="s">
        <v>483</v>
      </c>
      <c r="B55" s="674" t="s">
        <v>485</v>
      </c>
      <c r="C55" s="710" t="s">
        <v>501</v>
      </c>
      <c r="D55" s="725" t="s">
        <v>502</v>
      </c>
      <c r="E55" s="710" t="s">
        <v>958</v>
      </c>
      <c r="F55" s="725" t="s">
        <v>959</v>
      </c>
      <c r="G55" s="710" t="s">
        <v>988</v>
      </c>
      <c r="H55" s="710" t="s">
        <v>989</v>
      </c>
      <c r="I55" s="675">
        <v>0.77</v>
      </c>
      <c r="J55" s="675">
        <v>1000</v>
      </c>
      <c r="K55" s="715">
        <v>770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2" width="12.21875" customWidth="1"/>
    <col min="3" max="3" width="12.21875" hidden="1" customWidth="1"/>
    <col min="4" max="7" width="12.21875" customWidth="1"/>
    <col min="8" max="8" width="12.21875" hidden="1" customWidth="1"/>
    <col min="9" max="9" width="12.21875" customWidth="1"/>
    <col min="10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520" t="s">
        <v>134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15" thickBot="1" x14ac:dyDescent="0.35">
      <c r="A2" s="389" t="s">
        <v>298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 x14ac:dyDescent="0.3">
      <c r="A3" s="410" t="s">
        <v>292</v>
      </c>
      <c r="B3" s="522" t="s">
        <v>270</v>
      </c>
      <c r="C3" s="391">
        <v>0</v>
      </c>
      <c r="D3" s="392">
        <v>101</v>
      </c>
      <c r="E3" s="413">
        <v>203</v>
      </c>
      <c r="F3" s="392" t="s">
        <v>250</v>
      </c>
      <c r="G3" s="392" t="s">
        <v>251</v>
      </c>
      <c r="H3" s="392" t="s">
        <v>252</v>
      </c>
      <c r="I3" s="392" t="s">
        <v>253</v>
      </c>
      <c r="J3" s="392" t="s">
        <v>254</v>
      </c>
      <c r="K3" s="392">
        <v>930</v>
      </c>
      <c r="L3" s="393">
        <v>940</v>
      </c>
    </row>
    <row r="4" spans="1:12" ht="60.6" outlineLevel="1" thickBot="1" x14ac:dyDescent="0.35">
      <c r="A4" s="411">
        <v>2014</v>
      </c>
      <c r="B4" s="523"/>
      <c r="C4" s="394" t="s">
        <v>271</v>
      </c>
      <c r="D4" s="395" t="s">
        <v>272</v>
      </c>
      <c r="E4" s="414" t="s">
        <v>273</v>
      </c>
      <c r="F4" s="395" t="s">
        <v>274</v>
      </c>
      <c r="G4" s="395" t="s">
        <v>275</v>
      </c>
      <c r="H4" s="395" t="s">
        <v>276</v>
      </c>
      <c r="I4" s="395" t="s">
        <v>277</v>
      </c>
      <c r="J4" s="395" t="s">
        <v>278</v>
      </c>
      <c r="K4" s="395" t="s">
        <v>279</v>
      </c>
      <c r="L4" s="396" t="s">
        <v>280</v>
      </c>
    </row>
    <row r="5" spans="1:12" x14ac:dyDescent="0.3">
      <c r="A5" s="397" t="s">
        <v>281</v>
      </c>
      <c r="B5" s="441"/>
      <c r="C5" s="442"/>
      <c r="D5" s="443"/>
      <c r="E5" s="443"/>
      <c r="F5" s="443"/>
      <c r="G5" s="443"/>
      <c r="H5" s="443"/>
      <c r="I5" s="443"/>
      <c r="J5" s="443"/>
      <c r="K5" s="443"/>
      <c r="L5" s="444"/>
    </row>
    <row r="6" spans="1:12" ht="15" collapsed="1" thickBot="1" x14ac:dyDescent="0.35">
      <c r="A6" s="398" t="s">
        <v>97</v>
      </c>
      <c r="B6" s="445">
        <f xml:space="preserve">
TRUNC(IF($A$4&lt;=12,SUMIFS('ON Data'!D:D,'ON Data'!$B:$B,$A$4,'ON Data'!$C:$C,1),SUMIFS('ON Data'!D:D,'ON Data'!$C:$C,1)/'ON Data'!$B$3),1)</f>
        <v>35.700000000000003</v>
      </c>
      <c r="C6" s="446">
        <f xml:space="preserve">
TRUNC(IF($A$4&lt;=12,SUMIFS('ON Data'!E:E,'ON Data'!$B:$B,$A$4,'ON Data'!$C:$C,1),SUMIFS('ON Data'!E:E,'ON Data'!$C:$C,1)/'ON Data'!$B$3),1)</f>
        <v>0</v>
      </c>
      <c r="D6" s="447">
        <f xml:space="preserve">
TRUNC(IF($A$4&lt;=12,SUMIFS('ON Data'!F:F,'ON Data'!$B:$B,$A$4,'ON Data'!$C:$C,1),SUMIFS('ON Data'!F:F,'ON Data'!$C:$C,1)/'ON Data'!$B$3),1)</f>
        <v>9.8000000000000007</v>
      </c>
      <c r="E6" s="447">
        <f xml:space="preserve">
TRUNC(IF($A$4&lt;=12,SUMIFS('ON Data'!H:H,'ON Data'!$B:$B,$A$4,'ON Data'!$C:$C,1),SUMIFS('ON Data'!H:H,'ON Data'!$C:$C,1)/'ON Data'!$B$3),1)</f>
        <v>1</v>
      </c>
      <c r="F6" s="447">
        <f xml:space="preserve">
TRUNC(IF($A$4&lt;=12,SUMIFS('ON Data'!I:I,'ON Data'!$B:$B,$A$4,'ON Data'!$C:$C,1),SUMIFS('ON Data'!I:I,'ON Data'!$C:$C,1)/'ON Data'!$B$3),1)</f>
        <v>6</v>
      </c>
      <c r="G6" s="447">
        <f xml:space="preserve">
TRUNC(IF($A$4&lt;=12,SUMIFS('ON Data'!J:J,'ON Data'!$B:$B,$A$4,'ON Data'!$C:$C,1),SUMIFS('ON Data'!J:J,'ON Data'!$C:$C,1)/'ON Data'!$B$3),1)</f>
        <v>13</v>
      </c>
      <c r="H6" s="447">
        <f xml:space="preserve">
TRUNC(IF($A$4&lt;=12,SUMIFS('ON Data'!K:K,'ON Data'!$B:$B,$A$4,'ON Data'!$C:$C,1),SUMIFS('ON Data'!K:K,'ON Data'!$C:$C,1)/'ON Data'!$B$3),1)</f>
        <v>0</v>
      </c>
      <c r="I6" s="447">
        <f xml:space="preserve">
TRUNC(IF($A$4&lt;=12,SUMIFS('ON Data'!L:L,'ON Data'!$B:$B,$A$4,'ON Data'!$C:$C,1),SUMIFS('ON Data'!L:L,'ON Data'!$C:$C,1)/'ON Data'!$B$3),1)</f>
        <v>2</v>
      </c>
      <c r="J6" s="447">
        <f xml:space="preserve">
TRUNC(IF($A$4&lt;=12,SUMIFS('ON Data'!M:M,'ON Data'!$B:$B,$A$4,'ON Data'!$C:$C,1),SUMIFS('ON Data'!M:M,'ON Data'!$C:$C,1)/'ON Data'!$B$3),1)</f>
        <v>0</v>
      </c>
      <c r="K6" s="447">
        <f xml:space="preserve">
TRUNC(IF($A$4&lt;=12,SUMIFS('ON Data'!N:N,'ON Data'!$B:$B,$A$4,'ON Data'!$C:$C,1),SUMIFS('ON Data'!N:N,'ON Data'!$C:$C,1)/'ON Data'!$B$3),1)</f>
        <v>3.9</v>
      </c>
      <c r="L6" s="44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398" t="s">
        <v>135</v>
      </c>
      <c r="B7" s="445"/>
      <c r="C7" s="449"/>
      <c r="D7" s="447"/>
      <c r="E7" s="447"/>
      <c r="F7" s="447"/>
      <c r="G7" s="447"/>
      <c r="H7" s="447"/>
      <c r="I7" s="447"/>
      <c r="J7" s="447"/>
      <c r="K7" s="447"/>
      <c r="L7" s="448"/>
    </row>
    <row r="8" spans="1:12" ht="15" hidden="1" outlineLevel="1" thickBot="1" x14ac:dyDescent="0.35">
      <c r="A8" s="398" t="s">
        <v>99</v>
      </c>
      <c r="B8" s="445"/>
      <c r="C8" s="449"/>
      <c r="D8" s="447"/>
      <c r="E8" s="447"/>
      <c r="F8" s="447"/>
      <c r="G8" s="447"/>
      <c r="H8" s="447"/>
      <c r="I8" s="447"/>
      <c r="J8" s="447"/>
      <c r="K8" s="447"/>
      <c r="L8" s="448"/>
    </row>
    <row r="9" spans="1:12" ht="15" hidden="1" outlineLevel="1" thickBot="1" x14ac:dyDescent="0.35">
      <c r="A9" s="399" t="s">
        <v>72</v>
      </c>
      <c r="B9" s="450"/>
      <c r="C9" s="451"/>
      <c r="D9" s="452"/>
      <c r="E9" s="452"/>
      <c r="F9" s="452"/>
      <c r="G9" s="452"/>
      <c r="H9" s="452"/>
      <c r="I9" s="452"/>
      <c r="J9" s="452"/>
      <c r="K9" s="452"/>
      <c r="L9" s="453"/>
    </row>
    <row r="10" spans="1:12" x14ac:dyDescent="0.3">
      <c r="A10" s="400" t="s">
        <v>282</v>
      </c>
      <c r="B10" s="415"/>
      <c r="C10" s="416"/>
      <c r="D10" s="417"/>
      <c r="E10" s="417"/>
      <c r="F10" s="417"/>
      <c r="G10" s="417"/>
      <c r="H10" s="417"/>
      <c r="I10" s="417"/>
      <c r="J10" s="417"/>
      <c r="K10" s="417"/>
      <c r="L10" s="418"/>
    </row>
    <row r="11" spans="1:12" x14ac:dyDescent="0.3">
      <c r="A11" s="401" t="s">
        <v>283</v>
      </c>
      <c r="B11" s="419">
        <f xml:space="preserve">
IF($A$4&lt;=12,SUMIFS('ON Data'!D:D,'ON Data'!$B:$B,$A$4,'ON Data'!$C:$C,2),SUMIFS('ON Data'!D:D,'ON Data'!$C:$C,2))</f>
        <v>10916.599999999999</v>
      </c>
      <c r="C11" s="420">
        <f xml:space="preserve">
IF($A$4&lt;=12,SUMIFS('ON Data'!E:E,'ON Data'!$B:$B,$A$4,'ON Data'!$C:$C,2),SUMIFS('ON Data'!E:E,'ON Data'!$C:$C,2))</f>
        <v>0</v>
      </c>
      <c r="D11" s="421">
        <f xml:space="preserve">
IF($A$4&lt;=12,SUMIFS('ON Data'!F:F,'ON Data'!$B:$B,$A$4,'ON Data'!$C:$C,2),SUMIFS('ON Data'!F:F,'ON Data'!$C:$C,2))</f>
        <v>2918</v>
      </c>
      <c r="E11" s="421">
        <f xml:space="preserve">
IF($A$4&lt;=12,SUMIFS('ON Data'!H:H,'ON Data'!$B:$B,$A$4,'ON Data'!$C:$C,2),SUMIFS('ON Data'!H:H,'ON Data'!$C:$C,2))</f>
        <v>344</v>
      </c>
      <c r="F11" s="421">
        <f xml:space="preserve">
IF($A$4&lt;=12,SUMIFS('ON Data'!I:I,'ON Data'!$B:$B,$A$4,'ON Data'!$C:$C,2),SUMIFS('ON Data'!I:I,'ON Data'!$C:$C,2))</f>
        <v>1733</v>
      </c>
      <c r="G11" s="421">
        <f xml:space="preserve">
IF($A$4&lt;=12,SUMIFS('ON Data'!J:J,'ON Data'!$B:$B,$A$4,'ON Data'!$C:$C,2),SUMIFS('ON Data'!J:J,'ON Data'!$C:$C,2))</f>
        <v>4152</v>
      </c>
      <c r="H11" s="421">
        <f xml:space="preserve">
IF($A$4&lt;=12,SUMIFS('ON Data'!K:K,'ON Data'!$B:$B,$A$4,'ON Data'!$C:$C,2),SUMIFS('ON Data'!K:K,'ON Data'!$C:$C,2))</f>
        <v>0</v>
      </c>
      <c r="I11" s="421">
        <f xml:space="preserve">
IF($A$4&lt;=12,SUMIFS('ON Data'!L:L,'ON Data'!$B:$B,$A$4,'ON Data'!$C:$C,2),SUMIFS('ON Data'!L:L,'ON Data'!$C:$C,2))</f>
        <v>656</v>
      </c>
      <c r="J11" s="421">
        <f xml:space="preserve">
IF($A$4&lt;=12,SUMIFS('ON Data'!M:M,'ON Data'!$B:$B,$A$4,'ON Data'!$C:$C,2),SUMIFS('ON Data'!M:M,'ON Data'!$C:$C,2))</f>
        <v>0</v>
      </c>
      <c r="K11" s="421">
        <f xml:space="preserve">
IF($A$4&lt;=12,SUMIFS('ON Data'!N:N,'ON Data'!$B:$B,$A$4,'ON Data'!$C:$C,2),SUMIFS('ON Data'!N:N,'ON Data'!$C:$C,2))</f>
        <v>1113.5999999999999</v>
      </c>
      <c r="L11" s="422">
        <f xml:space="preserve">
IF($A$4&lt;=12,SUMIFS('ON Data'!O:O,'ON Data'!$B:$B,$A$4,'ON Data'!$C:$C,2),SUMIFS('ON Data'!O:O,'ON Data'!$C:$C,2))</f>
        <v>0</v>
      </c>
    </row>
    <row r="12" spans="1:12" x14ac:dyDescent="0.3">
      <c r="A12" s="401" t="s">
        <v>284</v>
      </c>
      <c r="B12" s="419">
        <f xml:space="preserve">
IF($A$4&lt;=12,SUMIFS('ON Data'!D:D,'ON Data'!$B:$B,$A$4,'ON Data'!$C:$C,3),SUMIFS('ON Data'!D:D,'ON Data'!$C:$C,3))</f>
        <v>0</v>
      </c>
      <c r="C12" s="420">
        <f xml:space="preserve">
IF($A$4&lt;=12,SUMIFS('ON Data'!E:E,'ON Data'!$B:$B,$A$4,'ON Data'!$C:$C,3),SUMIFS('ON Data'!E:E,'ON Data'!$C:$C,3))</f>
        <v>0</v>
      </c>
      <c r="D12" s="421">
        <f xml:space="preserve">
IF($A$4&lt;=12,SUMIFS('ON Data'!F:F,'ON Data'!$B:$B,$A$4,'ON Data'!$C:$C,3),SUMIFS('ON Data'!F:F,'ON Data'!$C:$C,3))</f>
        <v>0</v>
      </c>
      <c r="E12" s="421">
        <f xml:space="preserve">
IF($A$4&lt;=12,SUMIFS('ON Data'!H:H,'ON Data'!$B:$B,$A$4,'ON Data'!$C:$C,3),SUMIFS('ON Data'!H:H,'ON Data'!$C:$C,3))</f>
        <v>0</v>
      </c>
      <c r="F12" s="421">
        <f xml:space="preserve">
IF($A$4&lt;=12,SUMIFS('ON Data'!I:I,'ON Data'!$B:$B,$A$4,'ON Data'!$C:$C,3),SUMIFS('ON Data'!I:I,'ON Data'!$C:$C,3))</f>
        <v>0</v>
      </c>
      <c r="G12" s="421">
        <f xml:space="preserve">
IF($A$4&lt;=12,SUMIFS('ON Data'!J:J,'ON Data'!$B:$B,$A$4,'ON Data'!$C:$C,3),SUMIFS('ON Data'!J:J,'ON Data'!$C:$C,3))</f>
        <v>0</v>
      </c>
      <c r="H12" s="421">
        <f xml:space="preserve">
IF($A$4&lt;=12,SUMIFS('ON Data'!K:K,'ON Data'!$B:$B,$A$4,'ON Data'!$C:$C,3),SUMIFS('ON Data'!K:K,'ON Data'!$C:$C,3))</f>
        <v>0</v>
      </c>
      <c r="I12" s="421">
        <f xml:space="preserve">
IF($A$4&lt;=12,SUMIFS('ON Data'!L:L,'ON Data'!$B:$B,$A$4,'ON Data'!$C:$C,3),SUMIFS('ON Data'!L:L,'ON Data'!$C:$C,3))</f>
        <v>0</v>
      </c>
      <c r="J12" s="421">
        <f xml:space="preserve">
IF($A$4&lt;=12,SUMIFS('ON Data'!M:M,'ON Data'!$B:$B,$A$4,'ON Data'!$C:$C,3),SUMIFS('ON Data'!M:M,'ON Data'!$C:$C,3))</f>
        <v>0</v>
      </c>
      <c r="K12" s="421">
        <f xml:space="preserve">
IF($A$4&lt;=12,SUMIFS('ON Data'!N:N,'ON Data'!$B:$B,$A$4,'ON Data'!$C:$C,3),SUMIFS('ON Data'!N:N,'ON Data'!$C:$C,3))</f>
        <v>0</v>
      </c>
      <c r="L12" s="422">
        <f xml:space="preserve">
IF($A$4&lt;=12,SUMIFS('ON Data'!O:O,'ON Data'!$B:$B,$A$4,'ON Data'!$C:$C,3),SUMIFS('ON Data'!O:O,'ON Data'!$C:$C,3))</f>
        <v>0</v>
      </c>
    </row>
    <row r="13" spans="1:12" x14ac:dyDescent="0.3">
      <c r="A13" s="401" t="s">
        <v>293</v>
      </c>
      <c r="B13" s="419">
        <f xml:space="preserve">
IF($A$4&lt;=12,SUMIFS('ON Data'!D:D,'ON Data'!$B:$B,$A$4,'ON Data'!$C:$C,4),SUMIFS('ON Data'!D:D,'ON Data'!$C:$C,4))</f>
        <v>891</v>
      </c>
      <c r="C13" s="420">
        <f xml:space="preserve">
IF($A$4&lt;=12,SUMIFS('ON Data'!E:E,'ON Data'!$B:$B,$A$4,'ON Data'!$C:$C,4),SUMIFS('ON Data'!E:E,'ON Data'!$C:$C,4))</f>
        <v>0</v>
      </c>
      <c r="D13" s="421">
        <f xml:space="preserve">
IF($A$4&lt;=12,SUMIFS('ON Data'!F:F,'ON Data'!$B:$B,$A$4,'ON Data'!$C:$C,4),SUMIFS('ON Data'!F:F,'ON Data'!$C:$C,4))</f>
        <v>428</v>
      </c>
      <c r="E13" s="421">
        <f xml:space="preserve">
IF($A$4&lt;=12,SUMIFS('ON Data'!H:H,'ON Data'!$B:$B,$A$4,'ON Data'!$C:$C,4),SUMIFS('ON Data'!H:H,'ON Data'!$C:$C,4))</f>
        <v>18</v>
      </c>
      <c r="F13" s="421">
        <f xml:space="preserve">
IF($A$4&lt;=12,SUMIFS('ON Data'!I:I,'ON Data'!$B:$B,$A$4,'ON Data'!$C:$C,4),SUMIFS('ON Data'!I:I,'ON Data'!$C:$C,4))</f>
        <v>44</v>
      </c>
      <c r="G13" s="421">
        <f xml:space="preserve">
IF($A$4&lt;=12,SUMIFS('ON Data'!J:J,'ON Data'!$B:$B,$A$4,'ON Data'!$C:$C,4),SUMIFS('ON Data'!J:J,'ON Data'!$C:$C,4))</f>
        <v>401</v>
      </c>
      <c r="H13" s="421">
        <f xml:space="preserve">
IF($A$4&lt;=12,SUMIFS('ON Data'!K:K,'ON Data'!$B:$B,$A$4,'ON Data'!$C:$C,4),SUMIFS('ON Data'!K:K,'ON Data'!$C:$C,4))</f>
        <v>0</v>
      </c>
      <c r="I13" s="421">
        <f xml:space="preserve">
IF($A$4&lt;=12,SUMIFS('ON Data'!L:L,'ON Data'!$B:$B,$A$4,'ON Data'!$C:$C,4),SUMIFS('ON Data'!L:L,'ON Data'!$C:$C,4))</f>
        <v>0</v>
      </c>
      <c r="J13" s="421">
        <f xml:space="preserve">
IF($A$4&lt;=12,SUMIFS('ON Data'!M:M,'ON Data'!$B:$B,$A$4,'ON Data'!$C:$C,4),SUMIFS('ON Data'!M:M,'ON Data'!$C:$C,4))</f>
        <v>0</v>
      </c>
      <c r="K13" s="421">
        <f xml:space="preserve">
IF($A$4&lt;=12,SUMIFS('ON Data'!N:N,'ON Data'!$B:$B,$A$4,'ON Data'!$C:$C,4),SUMIFS('ON Data'!N:N,'ON Data'!$C:$C,4))</f>
        <v>0</v>
      </c>
      <c r="L13" s="42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402" t="s">
        <v>285</v>
      </c>
      <c r="B14" s="423">
        <f xml:space="preserve">
IF($A$4&lt;=12,SUMIFS('ON Data'!D:D,'ON Data'!$B:$B,$A$4,'ON Data'!$C:$C,5),SUMIFS('ON Data'!D:D,'ON Data'!$C:$C,5))</f>
        <v>0</v>
      </c>
      <c r="C14" s="424">
        <f xml:space="preserve">
IF($A$4&lt;=12,SUMIFS('ON Data'!E:E,'ON Data'!$B:$B,$A$4,'ON Data'!$C:$C,5),SUMIFS('ON Data'!E:E,'ON Data'!$C:$C,5))</f>
        <v>0</v>
      </c>
      <c r="D14" s="425">
        <f xml:space="preserve">
IF($A$4&lt;=12,SUMIFS('ON Data'!F:F,'ON Data'!$B:$B,$A$4,'ON Data'!$C:$C,5),SUMIFS('ON Data'!F:F,'ON Data'!$C:$C,5))</f>
        <v>0</v>
      </c>
      <c r="E14" s="425">
        <f xml:space="preserve">
IF($A$4&lt;=12,SUMIFS('ON Data'!H:H,'ON Data'!$B:$B,$A$4,'ON Data'!$C:$C,5),SUMIFS('ON Data'!H:H,'ON Data'!$C:$C,5))</f>
        <v>0</v>
      </c>
      <c r="F14" s="425">
        <f xml:space="preserve">
IF($A$4&lt;=12,SUMIFS('ON Data'!I:I,'ON Data'!$B:$B,$A$4,'ON Data'!$C:$C,5),SUMIFS('ON Data'!I:I,'ON Data'!$C:$C,5))</f>
        <v>0</v>
      </c>
      <c r="G14" s="425">
        <f xml:space="preserve">
IF($A$4&lt;=12,SUMIFS('ON Data'!J:J,'ON Data'!$B:$B,$A$4,'ON Data'!$C:$C,5),SUMIFS('ON Data'!J:J,'ON Data'!$C:$C,5))</f>
        <v>0</v>
      </c>
      <c r="H14" s="425">
        <f xml:space="preserve">
IF($A$4&lt;=12,SUMIFS('ON Data'!K:K,'ON Data'!$B:$B,$A$4,'ON Data'!$C:$C,5),SUMIFS('ON Data'!K:K,'ON Data'!$C:$C,5))</f>
        <v>0</v>
      </c>
      <c r="I14" s="425">
        <f xml:space="preserve">
IF($A$4&lt;=12,SUMIFS('ON Data'!L:L,'ON Data'!$B:$B,$A$4,'ON Data'!$C:$C,5),SUMIFS('ON Data'!L:L,'ON Data'!$C:$C,5))</f>
        <v>0</v>
      </c>
      <c r="J14" s="425">
        <f xml:space="preserve">
IF($A$4&lt;=12,SUMIFS('ON Data'!M:M,'ON Data'!$B:$B,$A$4,'ON Data'!$C:$C,5),SUMIFS('ON Data'!M:M,'ON Data'!$C:$C,5))</f>
        <v>0</v>
      </c>
      <c r="K14" s="425">
        <f xml:space="preserve">
IF($A$4&lt;=12,SUMIFS('ON Data'!N:N,'ON Data'!$B:$B,$A$4,'ON Data'!$C:$C,5),SUMIFS('ON Data'!N:N,'ON Data'!$C:$C,5))</f>
        <v>0</v>
      </c>
      <c r="L14" s="426">
        <f xml:space="preserve">
IF($A$4&lt;=12,SUMIFS('ON Data'!O:O,'ON Data'!$B:$B,$A$4,'ON Data'!$C:$C,5),SUMIFS('ON Data'!O:O,'ON Data'!$C:$C,5))</f>
        <v>0</v>
      </c>
    </row>
    <row r="15" spans="1:12" x14ac:dyDescent="0.3">
      <c r="A15" s="295" t="s">
        <v>297</v>
      </c>
      <c r="B15" s="427"/>
      <c r="C15" s="428"/>
      <c r="D15" s="429"/>
      <c r="E15" s="429"/>
      <c r="F15" s="429"/>
      <c r="G15" s="429"/>
      <c r="H15" s="429"/>
      <c r="I15" s="429"/>
      <c r="J15" s="429"/>
      <c r="K15" s="429"/>
      <c r="L15" s="430"/>
    </row>
    <row r="16" spans="1:12" x14ac:dyDescent="0.3">
      <c r="A16" s="403" t="s">
        <v>286</v>
      </c>
      <c r="B16" s="419">
        <f xml:space="preserve">
IF($A$4&lt;=12,SUMIFS('ON Data'!D:D,'ON Data'!$B:$B,$A$4,'ON Data'!$C:$C,7),SUMIFS('ON Data'!D:D,'ON Data'!$C:$C,7))</f>
        <v>0</v>
      </c>
      <c r="C16" s="420">
        <f xml:space="preserve">
IF($A$4&lt;=12,SUMIFS('ON Data'!E:E,'ON Data'!$B:$B,$A$4,'ON Data'!$C:$C,7),SUMIFS('ON Data'!E:E,'ON Data'!$C:$C,7))</f>
        <v>0</v>
      </c>
      <c r="D16" s="421">
        <f xml:space="preserve">
IF($A$4&lt;=12,SUMIFS('ON Data'!F:F,'ON Data'!$B:$B,$A$4,'ON Data'!$C:$C,7),SUMIFS('ON Data'!F:F,'ON Data'!$C:$C,7))</f>
        <v>0</v>
      </c>
      <c r="E16" s="421">
        <f xml:space="preserve">
IF($A$4&lt;=12,SUMIFS('ON Data'!H:H,'ON Data'!$B:$B,$A$4,'ON Data'!$C:$C,7),SUMIFS('ON Data'!H:H,'ON Data'!$C:$C,7))</f>
        <v>0</v>
      </c>
      <c r="F16" s="421">
        <f xml:space="preserve">
IF($A$4&lt;=12,SUMIFS('ON Data'!I:I,'ON Data'!$B:$B,$A$4,'ON Data'!$C:$C,7),SUMIFS('ON Data'!I:I,'ON Data'!$C:$C,7))</f>
        <v>0</v>
      </c>
      <c r="G16" s="421">
        <f xml:space="preserve">
IF($A$4&lt;=12,SUMIFS('ON Data'!J:J,'ON Data'!$B:$B,$A$4,'ON Data'!$C:$C,7),SUMIFS('ON Data'!J:J,'ON Data'!$C:$C,7))</f>
        <v>0</v>
      </c>
      <c r="H16" s="421">
        <f xml:space="preserve">
IF($A$4&lt;=12,SUMIFS('ON Data'!K:K,'ON Data'!$B:$B,$A$4,'ON Data'!$C:$C,7),SUMIFS('ON Data'!K:K,'ON Data'!$C:$C,7))</f>
        <v>0</v>
      </c>
      <c r="I16" s="421">
        <f xml:space="preserve">
IF($A$4&lt;=12,SUMIFS('ON Data'!L:L,'ON Data'!$B:$B,$A$4,'ON Data'!$C:$C,7),SUMIFS('ON Data'!L:L,'ON Data'!$C:$C,7))</f>
        <v>0</v>
      </c>
      <c r="J16" s="421">
        <f xml:space="preserve">
IF($A$4&lt;=12,SUMIFS('ON Data'!M:M,'ON Data'!$B:$B,$A$4,'ON Data'!$C:$C,7),SUMIFS('ON Data'!M:M,'ON Data'!$C:$C,7))</f>
        <v>0</v>
      </c>
      <c r="K16" s="421">
        <f xml:space="preserve">
IF($A$4&lt;=12,SUMIFS('ON Data'!N:N,'ON Data'!$B:$B,$A$4,'ON Data'!$C:$C,7),SUMIFS('ON Data'!N:N,'ON Data'!$C:$C,7))</f>
        <v>0</v>
      </c>
      <c r="L16" s="422">
        <f xml:space="preserve">
IF($A$4&lt;=12,SUMIFS('ON Data'!O:O,'ON Data'!$B:$B,$A$4,'ON Data'!$C:$C,7),SUMIFS('ON Data'!O:O,'ON Data'!$C:$C,7))</f>
        <v>0</v>
      </c>
    </row>
    <row r="17" spans="1:12" x14ac:dyDescent="0.3">
      <c r="A17" s="403" t="s">
        <v>287</v>
      </c>
      <c r="B17" s="419">
        <f xml:space="preserve">
IF($A$4&lt;=12,SUMIFS('ON Data'!D:D,'ON Data'!$B:$B,$A$4,'ON Data'!$C:$C,8),SUMIFS('ON Data'!D:D,'ON Data'!$C:$C,8))</f>
        <v>0</v>
      </c>
      <c r="C17" s="420">
        <f xml:space="preserve">
IF($A$4&lt;=12,SUMIFS('ON Data'!E:E,'ON Data'!$B:$B,$A$4,'ON Data'!$C:$C,8),SUMIFS('ON Data'!E:E,'ON Data'!$C:$C,8))</f>
        <v>0</v>
      </c>
      <c r="D17" s="421">
        <f xml:space="preserve">
IF($A$4&lt;=12,SUMIFS('ON Data'!F:F,'ON Data'!$B:$B,$A$4,'ON Data'!$C:$C,8),SUMIFS('ON Data'!F:F,'ON Data'!$C:$C,8))</f>
        <v>0</v>
      </c>
      <c r="E17" s="421">
        <f xml:space="preserve">
IF($A$4&lt;=12,SUMIFS('ON Data'!H:H,'ON Data'!$B:$B,$A$4,'ON Data'!$C:$C,8),SUMIFS('ON Data'!H:H,'ON Data'!$C:$C,8))</f>
        <v>0</v>
      </c>
      <c r="F17" s="421">
        <f xml:space="preserve">
IF($A$4&lt;=12,SUMIFS('ON Data'!I:I,'ON Data'!$B:$B,$A$4,'ON Data'!$C:$C,8),SUMIFS('ON Data'!I:I,'ON Data'!$C:$C,8))</f>
        <v>0</v>
      </c>
      <c r="G17" s="421">
        <f xml:space="preserve">
IF($A$4&lt;=12,SUMIFS('ON Data'!J:J,'ON Data'!$B:$B,$A$4,'ON Data'!$C:$C,8),SUMIFS('ON Data'!J:J,'ON Data'!$C:$C,8))</f>
        <v>0</v>
      </c>
      <c r="H17" s="421">
        <f xml:space="preserve">
IF($A$4&lt;=12,SUMIFS('ON Data'!K:K,'ON Data'!$B:$B,$A$4,'ON Data'!$C:$C,8),SUMIFS('ON Data'!K:K,'ON Data'!$C:$C,8))</f>
        <v>0</v>
      </c>
      <c r="I17" s="421">
        <f xml:space="preserve">
IF($A$4&lt;=12,SUMIFS('ON Data'!L:L,'ON Data'!$B:$B,$A$4,'ON Data'!$C:$C,8),SUMIFS('ON Data'!L:L,'ON Data'!$C:$C,8))</f>
        <v>0</v>
      </c>
      <c r="J17" s="421">
        <f xml:space="preserve">
IF($A$4&lt;=12,SUMIFS('ON Data'!M:M,'ON Data'!$B:$B,$A$4,'ON Data'!$C:$C,8),SUMIFS('ON Data'!M:M,'ON Data'!$C:$C,8))</f>
        <v>0</v>
      </c>
      <c r="K17" s="421">
        <f xml:space="preserve">
IF($A$4&lt;=12,SUMIFS('ON Data'!N:N,'ON Data'!$B:$B,$A$4,'ON Data'!$C:$C,8),SUMIFS('ON Data'!N:N,'ON Data'!$C:$C,8))</f>
        <v>0</v>
      </c>
      <c r="L17" s="422">
        <f xml:space="preserve">
IF($A$4&lt;=12,SUMIFS('ON Data'!O:O,'ON Data'!$B:$B,$A$4,'ON Data'!$C:$C,8),SUMIFS('ON Data'!O:O,'ON Data'!$C:$C,8))</f>
        <v>0</v>
      </c>
    </row>
    <row r="18" spans="1:12" x14ac:dyDescent="0.3">
      <c r="A18" s="403" t="s">
        <v>288</v>
      </c>
      <c r="B18" s="419">
        <f xml:space="preserve">
B19-B16-B17</f>
        <v>30104</v>
      </c>
      <c r="C18" s="420">
        <f t="shared" ref="C18:L18" si="0" xml:space="preserve">
C19-C16-C17</f>
        <v>0</v>
      </c>
      <c r="D18" s="421">
        <f t="shared" si="0"/>
        <v>0</v>
      </c>
      <c r="E18" s="421">
        <f t="shared" si="0"/>
        <v>0</v>
      </c>
      <c r="F18" s="421">
        <f t="shared" si="0"/>
        <v>8352</v>
      </c>
      <c r="G18" s="421">
        <f t="shared" si="0"/>
        <v>14352</v>
      </c>
      <c r="H18" s="421">
        <f t="shared" si="0"/>
        <v>0</v>
      </c>
      <c r="I18" s="421">
        <f t="shared" si="0"/>
        <v>0</v>
      </c>
      <c r="J18" s="421">
        <f t="shared" si="0"/>
        <v>0</v>
      </c>
      <c r="K18" s="421">
        <f t="shared" si="0"/>
        <v>7400</v>
      </c>
      <c r="L18" s="422">
        <f t="shared" si="0"/>
        <v>0</v>
      </c>
    </row>
    <row r="19" spans="1:12" ht="15" thickBot="1" x14ac:dyDescent="0.35">
      <c r="A19" s="404" t="s">
        <v>289</v>
      </c>
      <c r="B19" s="431">
        <f xml:space="preserve">
IF($A$4&lt;=12,SUMIFS('ON Data'!D:D,'ON Data'!$B:$B,$A$4,'ON Data'!$C:$C,9),SUMIFS('ON Data'!D:D,'ON Data'!$C:$C,9))</f>
        <v>30104</v>
      </c>
      <c r="C19" s="432">
        <f xml:space="preserve">
IF($A$4&lt;=12,SUMIFS('ON Data'!E:E,'ON Data'!$B:$B,$A$4,'ON Data'!$C:$C,9),SUMIFS('ON Data'!E:E,'ON Data'!$C:$C,9))</f>
        <v>0</v>
      </c>
      <c r="D19" s="433">
        <f xml:space="preserve">
IF($A$4&lt;=12,SUMIFS('ON Data'!F:F,'ON Data'!$B:$B,$A$4,'ON Data'!$C:$C,9),SUMIFS('ON Data'!F:F,'ON Data'!$C:$C,9))</f>
        <v>0</v>
      </c>
      <c r="E19" s="433">
        <f xml:space="preserve">
IF($A$4&lt;=12,SUMIFS('ON Data'!H:H,'ON Data'!$B:$B,$A$4,'ON Data'!$C:$C,9),SUMIFS('ON Data'!H:H,'ON Data'!$C:$C,9))</f>
        <v>0</v>
      </c>
      <c r="F19" s="433">
        <f xml:space="preserve">
IF($A$4&lt;=12,SUMIFS('ON Data'!I:I,'ON Data'!$B:$B,$A$4,'ON Data'!$C:$C,9),SUMIFS('ON Data'!I:I,'ON Data'!$C:$C,9))</f>
        <v>8352</v>
      </c>
      <c r="G19" s="433">
        <f xml:space="preserve">
IF($A$4&lt;=12,SUMIFS('ON Data'!J:J,'ON Data'!$B:$B,$A$4,'ON Data'!$C:$C,9),SUMIFS('ON Data'!J:J,'ON Data'!$C:$C,9))</f>
        <v>14352</v>
      </c>
      <c r="H19" s="433">
        <f xml:space="preserve">
IF($A$4&lt;=12,SUMIFS('ON Data'!K:K,'ON Data'!$B:$B,$A$4,'ON Data'!$C:$C,9),SUMIFS('ON Data'!K:K,'ON Data'!$C:$C,9))</f>
        <v>0</v>
      </c>
      <c r="I19" s="433">
        <f xml:space="preserve">
IF($A$4&lt;=12,SUMIFS('ON Data'!L:L,'ON Data'!$B:$B,$A$4,'ON Data'!$C:$C,9),SUMIFS('ON Data'!L:L,'ON Data'!$C:$C,9))</f>
        <v>0</v>
      </c>
      <c r="J19" s="433">
        <f xml:space="preserve">
IF($A$4&lt;=12,SUMIFS('ON Data'!M:M,'ON Data'!$B:$B,$A$4,'ON Data'!$C:$C,9),SUMIFS('ON Data'!M:M,'ON Data'!$C:$C,9))</f>
        <v>0</v>
      </c>
      <c r="K19" s="433">
        <f xml:space="preserve">
IF($A$4&lt;=12,SUMIFS('ON Data'!N:N,'ON Data'!$B:$B,$A$4,'ON Data'!$C:$C,9),SUMIFS('ON Data'!N:N,'ON Data'!$C:$C,9))</f>
        <v>7400</v>
      </c>
      <c r="L19" s="43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405" t="s">
        <v>97</v>
      </c>
      <c r="B20" s="435">
        <f xml:space="preserve">
IF($A$4&lt;=12,SUMIFS('ON Data'!D:D,'ON Data'!$B:$B,$A$4,'ON Data'!$C:$C,6),SUMIFS('ON Data'!D:D,'ON Data'!$C:$C,6))</f>
        <v>2699619</v>
      </c>
      <c r="C20" s="436">
        <f xml:space="preserve">
IF($A$4&lt;=12,SUMIFS('ON Data'!E:E,'ON Data'!$B:$B,$A$4,'ON Data'!$C:$C,6),SUMIFS('ON Data'!E:E,'ON Data'!$C:$C,6))</f>
        <v>0</v>
      </c>
      <c r="D20" s="437">
        <f xml:space="preserve">
IF($A$4&lt;=12,SUMIFS('ON Data'!F:F,'ON Data'!$B:$B,$A$4,'ON Data'!$C:$C,6),SUMIFS('ON Data'!F:F,'ON Data'!$C:$C,6))</f>
        <v>1278988</v>
      </c>
      <c r="E20" s="437">
        <f xml:space="preserve">
IF($A$4&lt;=12,SUMIFS('ON Data'!H:H,'ON Data'!$B:$B,$A$4,'ON Data'!$C:$C,6),SUMIFS('ON Data'!H:H,'ON Data'!$C:$C,6))</f>
        <v>93354</v>
      </c>
      <c r="F20" s="437">
        <f xml:space="preserve">
IF($A$4&lt;=12,SUMIFS('ON Data'!I:I,'ON Data'!$B:$B,$A$4,'ON Data'!$C:$C,6),SUMIFS('ON Data'!I:I,'ON Data'!$C:$C,6))</f>
        <v>400031</v>
      </c>
      <c r="G20" s="437">
        <f xml:space="preserve">
IF($A$4&lt;=12,SUMIFS('ON Data'!J:J,'ON Data'!$B:$B,$A$4,'ON Data'!$C:$C,6),SUMIFS('ON Data'!J:J,'ON Data'!$C:$C,6))</f>
        <v>732171</v>
      </c>
      <c r="H20" s="437">
        <f xml:space="preserve">
IF($A$4&lt;=12,SUMIFS('ON Data'!K:K,'ON Data'!$B:$B,$A$4,'ON Data'!$C:$C,6),SUMIFS('ON Data'!K:K,'ON Data'!$C:$C,6))</f>
        <v>0</v>
      </c>
      <c r="I20" s="437">
        <f xml:space="preserve">
IF($A$4&lt;=12,SUMIFS('ON Data'!L:L,'ON Data'!$B:$B,$A$4,'ON Data'!$C:$C,6),SUMIFS('ON Data'!L:L,'ON Data'!$C:$C,6))</f>
        <v>61783</v>
      </c>
      <c r="J20" s="437">
        <f xml:space="preserve">
IF($A$4&lt;=12,SUMIFS('ON Data'!M:M,'ON Data'!$B:$B,$A$4,'ON Data'!$C:$C,6),SUMIFS('ON Data'!M:M,'ON Data'!$C:$C,6))</f>
        <v>0</v>
      </c>
      <c r="K20" s="437">
        <f xml:space="preserve">
IF($A$4&lt;=12,SUMIFS('ON Data'!N:N,'ON Data'!$B:$B,$A$4,'ON Data'!$C:$C,6),SUMIFS('ON Data'!N:N,'ON Data'!$C:$C,6))</f>
        <v>133292</v>
      </c>
      <c r="L20" s="43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398" t="s">
        <v>135</v>
      </c>
      <c r="B21" s="419"/>
      <c r="C21" s="420"/>
      <c r="D21" s="421"/>
      <c r="E21" s="421"/>
      <c r="F21" s="421"/>
      <c r="G21" s="421"/>
      <c r="H21" s="421"/>
      <c r="I21" s="421"/>
      <c r="J21" s="421"/>
      <c r="K21" s="421"/>
      <c r="L21" s="422"/>
    </row>
    <row r="22" spans="1:12" ht="15" hidden="1" outlineLevel="1" thickBot="1" x14ac:dyDescent="0.35">
      <c r="A22" s="398" t="s">
        <v>99</v>
      </c>
      <c r="B22" s="419"/>
      <c r="C22" s="420"/>
      <c r="D22" s="421"/>
      <c r="E22" s="421"/>
      <c r="F22" s="421"/>
      <c r="G22" s="421"/>
      <c r="H22" s="421"/>
      <c r="I22" s="421"/>
      <c r="J22" s="421"/>
      <c r="K22" s="421"/>
      <c r="L22" s="422"/>
    </row>
    <row r="23" spans="1:12" ht="15" hidden="1" outlineLevel="1" thickBot="1" x14ac:dyDescent="0.35">
      <c r="A23" s="406" t="s">
        <v>72</v>
      </c>
      <c r="B23" s="423"/>
      <c r="C23" s="424"/>
      <c r="D23" s="425"/>
      <c r="E23" s="425"/>
      <c r="F23" s="425"/>
      <c r="G23" s="425"/>
      <c r="H23" s="425"/>
      <c r="I23" s="425"/>
      <c r="J23" s="425"/>
      <c r="K23" s="425"/>
      <c r="L23" s="426"/>
    </row>
    <row r="24" spans="1:12" x14ac:dyDescent="0.3">
      <c r="A24" s="400" t="s">
        <v>290</v>
      </c>
      <c r="B24" s="415"/>
      <c r="C24" s="416"/>
      <c r="D24" s="726" t="s">
        <v>272</v>
      </c>
      <c r="E24" s="525" t="s">
        <v>291</v>
      </c>
      <c r="F24" s="525"/>
      <c r="G24" s="525"/>
      <c r="H24" s="525"/>
      <c r="I24" s="417"/>
      <c r="J24" s="417"/>
      <c r="K24" s="417"/>
      <c r="L24" s="418"/>
    </row>
    <row r="25" spans="1:12" ht="15" collapsed="1" thickBot="1" x14ac:dyDescent="0.35">
      <c r="A25" s="401" t="s">
        <v>97</v>
      </c>
      <c r="B25" s="419">
        <f>SUM(D25:H25)</f>
        <v>0</v>
      </c>
      <c r="C25" s="439">
        <v>0</v>
      </c>
      <c r="D25" s="727">
        <v>0</v>
      </c>
      <c r="E25" s="524">
        <v>0</v>
      </c>
      <c r="F25" s="524"/>
      <c r="G25" s="524"/>
      <c r="H25" s="524"/>
      <c r="I25" s="421">
        <v>0</v>
      </c>
      <c r="J25" s="421">
        <v>0</v>
      </c>
      <c r="K25" s="421">
        <v>0</v>
      </c>
      <c r="L25" s="422">
        <v>0</v>
      </c>
    </row>
    <row r="26" spans="1:12" ht="14.4" hidden="1" customHeight="1" outlineLevel="1" x14ac:dyDescent="0.35">
      <c r="A26" s="407" t="s">
        <v>135</v>
      </c>
      <c r="B26" s="431">
        <f t="shared" ref="B26:B28" si="1">SUM(D26:H26)</f>
        <v>0</v>
      </c>
      <c r="C26" s="439">
        <v>0</v>
      </c>
      <c r="D26" s="727">
        <v>0</v>
      </c>
      <c r="E26" s="524">
        <v>0</v>
      </c>
      <c r="F26" s="524"/>
      <c r="G26" s="524"/>
      <c r="H26" s="524"/>
      <c r="I26" s="421">
        <v>0</v>
      </c>
      <c r="J26" s="421">
        <v>0</v>
      </c>
      <c r="K26" s="421">
        <v>0</v>
      </c>
      <c r="L26" s="422">
        <v>0</v>
      </c>
    </row>
    <row r="27" spans="1:12" ht="14.4" hidden="1" customHeight="1" outlineLevel="1" x14ac:dyDescent="0.35">
      <c r="A27" s="407" t="s">
        <v>99</v>
      </c>
      <c r="B27" s="431">
        <f t="shared" si="1"/>
        <v>0</v>
      </c>
      <c r="C27" s="439">
        <v>0</v>
      </c>
      <c r="D27" s="727">
        <v>0</v>
      </c>
      <c r="E27" s="524">
        <v>0</v>
      </c>
      <c r="F27" s="524"/>
      <c r="G27" s="524"/>
      <c r="H27" s="524"/>
      <c r="I27" s="421">
        <v>0</v>
      </c>
      <c r="J27" s="421">
        <v>0</v>
      </c>
      <c r="K27" s="421">
        <v>0</v>
      </c>
      <c r="L27" s="422">
        <v>0</v>
      </c>
    </row>
    <row r="28" spans="1:12" ht="15" hidden="1" customHeight="1" outlineLevel="1" thickBot="1" x14ac:dyDescent="0.35">
      <c r="A28" s="407" t="s">
        <v>72</v>
      </c>
      <c r="B28" s="431">
        <f t="shared" si="1"/>
        <v>0</v>
      </c>
      <c r="C28" s="440">
        <v>0</v>
      </c>
      <c r="D28" s="728">
        <v>0</v>
      </c>
      <c r="E28" s="519">
        <v>0</v>
      </c>
      <c r="F28" s="519"/>
      <c r="G28" s="519"/>
      <c r="H28" s="519"/>
      <c r="I28" s="425">
        <v>0</v>
      </c>
      <c r="J28" s="425">
        <v>0</v>
      </c>
      <c r="K28" s="425">
        <v>0</v>
      </c>
      <c r="L28" s="426">
        <v>0</v>
      </c>
    </row>
    <row r="29" spans="1:12" x14ac:dyDescent="0.3">
      <c r="A29" s="408"/>
      <c r="B29" s="408"/>
      <c r="C29" s="409"/>
      <c r="D29" s="408"/>
      <c r="E29" s="409"/>
      <c r="F29" s="408"/>
      <c r="G29" s="408"/>
      <c r="H29" s="408"/>
      <c r="I29" s="408"/>
      <c r="J29" s="408"/>
      <c r="K29" s="408"/>
      <c r="L29" s="408"/>
    </row>
    <row r="30" spans="1:12" x14ac:dyDescent="0.3">
      <c r="A30" s="232" t="s">
        <v>207</v>
      </c>
      <c r="B30" s="260"/>
      <c r="C30" s="260"/>
      <c r="D30" s="260"/>
      <c r="E30" s="260"/>
      <c r="F30" s="260"/>
      <c r="G30" s="260"/>
      <c r="H30" s="283"/>
      <c r="I30" s="283"/>
      <c r="J30" s="283"/>
      <c r="K30" s="283"/>
      <c r="L30" s="283"/>
    </row>
    <row r="31" spans="1:12" ht="14.4" customHeight="1" x14ac:dyDescent="0.3">
      <c r="A31" s="456" t="s">
        <v>296</v>
      </c>
      <c r="B31" s="457"/>
      <c r="C31" s="457"/>
      <c r="D31" s="457"/>
      <c r="E31" s="457"/>
      <c r="F31" s="457"/>
      <c r="G31" s="45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385"/>
  </cols>
  <sheetData>
    <row r="1" spans="1:18" x14ac:dyDescent="0.3">
      <c r="A1" s="385" t="s">
        <v>1045</v>
      </c>
    </row>
    <row r="2" spans="1:18" x14ac:dyDescent="0.3">
      <c r="A2" s="389" t="s">
        <v>298</v>
      </c>
    </row>
    <row r="3" spans="1:18" x14ac:dyDescent="0.3">
      <c r="B3" s="386">
        <f>MAX(B5:B1048576)</f>
        <v>2</v>
      </c>
      <c r="D3" s="386">
        <f t="shared" ref="D3:G3" si="0">SUM(D5:D1048576)</f>
        <v>2741602.15</v>
      </c>
      <c r="E3" s="386">
        <f t="shared" si="0"/>
        <v>0</v>
      </c>
      <c r="F3" s="386">
        <f t="shared" si="0"/>
        <v>1282353.75</v>
      </c>
      <c r="G3" s="386">
        <f t="shared" si="0"/>
        <v>0</v>
      </c>
      <c r="H3" s="386">
        <f t="shared" ref="H3:O3" si="1">SUM(H5:H1048576)</f>
        <v>93718</v>
      </c>
      <c r="I3" s="386">
        <f t="shared" si="1"/>
        <v>410172</v>
      </c>
      <c r="J3" s="386">
        <f t="shared" si="1"/>
        <v>751102</v>
      </c>
      <c r="K3" s="386">
        <f t="shared" si="1"/>
        <v>0</v>
      </c>
      <c r="L3" s="386">
        <f t="shared" si="1"/>
        <v>62443</v>
      </c>
      <c r="M3" s="386">
        <f t="shared" si="1"/>
        <v>0</v>
      </c>
      <c r="N3" s="386">
        <f t="shared" si="1"/>
        <v>141813.4</v>
      </c>
      <c r="O3" s="386">
        <f t="shared" si="1"/>
        <v>0</v>
      </c>
      <c r="Q3" s="385" t="s">
        <v>257</v>
      </c>
      <c r="R3" s="412">
        <v>2014</v>
      </c>
    </row>
    <row r="4" spans="1:18" x14ac:dyDescent="0.3">
      <c r="A4" s="387" t="s">
        <v>8</v>
      </c>
      <c r="B4" s="388" t="s">
        <v>71</v>
      </c>
      <c r="C4" s="388" t="s">
        <v>245</v>
      </c>
      <c r="D4" s="388" t="s">
        <v>6</v>
      </c>
      <c r="E4" s="388" t="s">
        <v>246</v>
      </c>
      <c r="F4" s="388" t="s">
        <v>247</v>
      </c>
      <c r="G4" s="388" t="s">
        <v>248</v>
      </c>
      <c r="H4" s="388" t="s">
        <v>249</v>
      </c>
      <c r="I4" s="388" t="s">
        <v>250</v>
      </c>
      <c r="J4" s="388" t="s">
        <v>251</v>
      </c>
      <c r="K4" s="388" t="s">
        <v>252</v>
      </c>
      <c r="L4" s="388" t="s">
        <v>253</v>
      </c>
      <c r="M4" s="388" t="s">
        <v>254</v>
      </c>
      <c r="N4" s="388" t="s">
        <v>255</v>
      </c>
      <c r="O4" s="388" t="s">
        <v>256</v>
      </c>
      <c r="Q4" s="385" t="s">
        <v>258</v>
      </c>
      <c r="R4" s="412">
        <v>1</v>
      </c>
    </row>
    <row r="5" spans="1:18" x14ac:dyDescent="0.3">
      <c r="A5" s="385">
        <v>22</v>
      </c>
      <c r="B5" s="385">
        <v>1</v>
      </c>
      <c r="C5" s="385">
        <v>1</v>
      </c>
      <c r="D5" s="385">
        <v>35.9</v>
      </c>
      <c r="E5" s="385">
        <v>0</v>
      </c>
      <c r="F5" s="385">
        <v>10</v>
      </c>
      <c r="G5" s="385">
        <v>0</v>
      </c>
      <c r="H5" s="385">
        <v>1</v>
      </c>
      <c r="I5" s="385">
        <v>6</v>
      </c>
      <c r="J5" s="385">
        <v>13</v>
      </c>
      <c r="K5" s="385">
        <v>0</v>
      </c>
      <c r="L5" s="385">
        <v>2</v>
      </c>
      <c r="M5" s="385">
        <v>0</v>
      </c>
      <c r="N5" s="385">
        <v>3.9</v>
      </c>
      <c r="O5" s="385">
        <v>0</v>
      </c>
      <c r="Q5" s="385" t="s">
        <v>259</v>
      </c>
      <c r="R5" s="412">
        <v>2</v>
      </c>
    </row>
    <row r="6" spans="1:18" x14ac:dyDescent="0.3">
      <c r="A6" s="385">
        <v>22</v>
      </c>
      <c r="B6" s="385">
        <v>1</v>
      </c>
      <c r="C6" s="385">
        <v>2</v>
      </c>
      <c r="D6" s="385">
        <v>5873.4</v>
      </c>
      <c r="E6" s="385">
        <v>0</v>
      </c>
      <c r="F6" s="385">
        <v>1552</v>
      </c>
      <c r="G6" s="385">
        <v>0</v>
      </c>
      <c r="H6" s="385">
        <v>184</v>
      </c>
      <c r="I6" s="385">
        <v>883</v>
      </c>
      <c r="J6" s="385">
        <v>2216</v>
      </c>
      <c r="K6" s="385">
        <v>0</v>
      </c>
      <c r="L6" s="385">
        <v>352</v>
      </c>
      <c r="M6" s="385">
        <v>0</v>
      </c>
      <c r="N6" s="385">
        <v>686.4</v>
      </c>
      <c r="O6" s="385">
        <v>0</v>
      </c>
      <c r="Q6" s="385" t="s">
        <v>260</v>
      </c>
      <c r="R6" s="412">
        <v>3</v>
      </c>
    </row>
    <row r="7" spans="1:18" x14ac:dyDescent="0.3">
      <c r="A7" s="385">
        <v>22</v>
      </c>
      <c r="B7" s="385">
        <v>1</v>
      </c>
      <c r="C7" s="385">
        <v>4</v>
      </c>
      <c r="D7" s="385">
        <v>431</v>
      </c>
      <c r="E7" s="385">
        <v>0</v>
      </c>
      <c r="F7" s="385">
        <v>214</v>
      </c>
      <c r="G7" s="385">
        <v>0</v>
      </c>
      <c r="H7" s="385">
        <v>5</v>
      </c>
      <c r="I7" s="385">
        <v>24</v>
      </c>
      <c r="J7" s="385">
        <v>188</v>
      </c>
      <c r="K7" s="385">
        <v>0</v>
      </c>
      <c r="L7" s="385">
        <v>0</v>
      </c>
      <c r="M7" s="385">
        <v>0</v>
      </c>
      <c r="N7" s="385">
        <v>0</v>
      </c>
      <c r="O7" s="385">
        <v>0</v>
      </c>
      <c r="Q7" s="385" t="s">
        <v>261</v>
      </c>
      <c r="R7" s="412">
        <v>4</v>
      </c>
    </row>
    <row r="8" spans="1:18" x14ac:dyDescent="0.3">
      <c r="A8" s="385">
        <v>22</v>
      </c>
      <c r="B8" s="385">
        <v>1</v>
      </c>
      <c r="C8" s="385">
        <v>6</v>
      </c>
      <c r="D8" s="385">
        <v>1357997</v>
      </c>
      <c r="E8" s="385">
        <v>0</v>
      </c>
      <c r="F8" s="385">
        <v>641139</v>
      </c>
      <c r="G8" s="385">
        <v>0</v>
      </c>
      <c r="H8" s="385">
        <v>44499</v>
      </c>
      <c r="I8" s="385">
        <v>204445</v>
      </c>
      <c r="J8" s="385">
        <v>366658</v>
      </c>
      <c r="K8" s="385">
        <v>0</v>
      </c>
      <c r="L8" s="385">
        <v>30996</v>
      </c>
      <c r="M8" s="385">
        <v>0</v>
      </c>
      <c r="N8" s="385">
        <v>70260</v>
      </c>
      <c r="O8" s="385">
        <v>0</v>
      </c>
      <c r="Q8" s="385" t="s">
        <v>262</v>
      </c>
      <c r="R8" s="412">
        <v>5</v>
      </c>
    </row>
    <row r="9" spans="1:18" x14ac:dyDescent="0.3">
      <c r="A9" s="385">
        <v>22</v>
      </c>
      <c r="B9" s="385">
        <v>1</v>
      </c>
      <c r="C9" s="385">
        <v>9</v>
      </c>
      <c r="D9" s="385">
        <v>16552</v>
      </c>
      <c r="E9" s="385">
        <v>0</v>
      </c>
      <c r="F9" s="385">
        <v>0</v>
      </c>
      <c r="G9" s="385">
        <v>0</v>
      </c>
      <c r="H9" s="385">
        <v>0</v>
      </c>
      <c r="I9" s="385">
        <v>6000</v>
      </c>
      <c r="J9" s="385">
        <v>8352</v>
      </c>
      <c r="K9" s="385">
        <v>0</v>
      </c>
      <c r="L9" s="385">
        <v>0</v>
      </c>
      <c r="M9" s="385">
        <v>0</v>
      </c>
      <c r="N9" s="385">
        <v>2200</v>
      </c>
      <c r="O9" s="385">
        <v>0</v>
      </c>
      <c r="Q9" s="385" t="s">
        <v>263</v>
      </c>
      <c r="R9" s="412">
        <v>6</v>
      </c>
    </row>
    <row r="10" spans="1:18" x14ac:dyDescent="0.3">
      <c r="A10" s="385">
        <v>22</v>
      </c>
      <c r="B10" s="385">
        <v>2</v>
      </c>
      <c r="C10" s="385">
        <v>1</v>
      </c>
      <c r="D10" s="385">
        <v>35.65</v>
      </c>
      <c r="E10" s="385">
        <v>0</v>
      </c>
      <c r="F10" s="385">
        <v>9.75</v>
      </c>
      <c r="G10" s="385">
        <v>0</v>
      </c>
      <c r="H10" s="385">
        <v>1</v>
      </c>
      <c r="I10" s="385">
        <v>6</v>
      </c>
      <c r="J10" s="385">
        <v>13</v>
      </c>
      <c r="K10" s="385">
        <v>0</v>
      </c>
      <c r="L10" s="385">
        <v>2</v>
      </c>
      <c r="M10" s="385">
        <v>0</v>
      </c>
      <c r="N10" s="385">
        <v>3.9</v>
      </c>
      <c r="O10" s="385">
        <v>0</v>
      </c>
      <c r="Q10" s="385" t="s">
        <v>264</v>
      </c>
      <c r="R10" s="412">
        <v>7</v>
      </c>
    </row>
    <row r="11" spans="1:18" x14ac:dyDescent="0.3">
      <c r="A11" s="385">
        <v>22</v>
      </c>
      <c r="B11" s="385">
        <v>2</v>
      </c>
      <c r="C11" s="385">
        <v>2</v>
      </c>
      <c r="D11" s="385">
        <v>5043.2</v>
      </c>
      <c r="E11" s="385">
        <v>0</v>
      </c>
      <c r="F11" s="385">
        <v>1366</v>
      </c>
      <c r="G11" s="385">
        <v>0</v>
      </c>
      <c r="H11" s="385">
        <v>160</v>
      </c>
      <c r="I11" s="385">
        <v>850</v>
      </c>
      <c r="J11" s="385">
        <v>1936</v>
      </c>
      <c r="K11" s="385">
        <v>0</v>
      </c>
      <c r="L11" s="385">
        <v>304</v>
      </c>
      <c r="M11" s="385">
        <v>0</v>
      </c>
      <c r="N11" s="385">
        <v>427.2</v>
      </c>
      <c r="O11" s="385">
        <v>0</v>
      </c>
      <c r="Q11" s="385" t="s">
        <v>265</v>
      </c>
      <c r="R11" s="412">
        <v>8</v>
      </c>
    </row>
    <row r="12" spans="1:18" x14ac:dyDescent="0.3">
      <c r="A12" s="385">
        <v>22</v>
      </c>
      <c r="B12" s="385">
        <v>2</v>
      </c>
      <c r="C12" s="385">
        <v>4</v>
      </c>
      <c r="D12" s="385">
        <v>460</v>
      </c>
      <c r="E12" s="385">
        <v>0</v>
      </c>
      <c r="F12" s="385">
        <v>214</v>
      </c>
      <c r="G12" s="385">
        <v>0</v>
      </c>
      <c r="H12" s="385">
        <v>13</v>
      </c>
      <c r="I12" s="385">
        <v>20</v>
      </c>
      <c r="J12" s="385">
        <v>213</v>
      </c>
      <c r="K12" s="385">
        <v>0</v>
      </c>
      <c r="L12" s="385">
        <v>0</v>
      </c>
      <c r="M12" s="385">
        <v>0</v>
      </c>
      <c r="N12" s="385">
        <v>0</v>
      </c>
      <c r="O12" s="385">
        <v>0</v>
      </c>
      <c r="Q12" s="385" t="s">
        <v>266</v>
      </c>
      <c r="R12" s="412">
        <v>9</v>
      </c>
    </row>
    <row r="13" spans="1:18" x14ac:dyDescent="0.3">
      <c r="A13" s="385">
        <v>22</v>
      </c>
      <c r="B13" s="385">
        <v>2</v>
      </c>
      <c r="C13" s="385">
        <v>6</v>
      </c>
      <c r="D13" s="385">
        <v>1341622</v>
      </c>
      <c r="E13" s="385">
        <v>0</v>
      </c>
      <c r="F13" s="385">
        <v>637849</v>
      </c>
      <c r="G13" s="385">
        <v>0</v>
      </c>
      <c r="H13" s="385">
        <v>48855</v>
      </c>
      <c r="I13" s="385">
        <v>195586</v>
      </c>
      <c r="J13" s="385">
        <v>365513</v>
      </c>
      <c r="K13" s="385">
        <v>0</v>
      </c>
      <c r="L13" s="385">
        <v>30787</v>
      </c>
      <c r="M13" s="385">
        <v>0</v>
      </c>
      <c r="N13" s="385">
        <v>63032</v>
      </c>
      <c r="O13" s="385">
        <v>0</v>
      </c>
      <c r="Q13" s="385" t="s">
        <v>267</v>
      </c>
      <c r="R13" s="412">
        <v>10</v>
      </c>
    </row>
    <row r="14" spans="1:18" x14ac:dyDescent="0.3">
      <c r="A14" s="385">
        <v>22</v>
      </c>
      <c r="B14" s="385">
        <v>2</v>
      </c>
      <c r="C14" s="385">
        <v>9</v>
      </c>
      <c r="D14" s="385">
        <v>13552</v>
      </c>
      <c r="E14" s="385">
        <v>0</v>
      </c>
      <c r="F14" s="385">
        <v>0</v>
      </c>
      <c r="G14" s="385">
        <v>0</v>
      </c>
      <c r="H14" s="385">
        <v>0</v>
      </c>
      <c r="I14" s="385">
        <v>2352</v>
      </c>
      <c r="J14" s="385">
        <v>6000</v>
      </c>
      <c r="K14" s="385">
        <v>0</v>
      </c>
      <c r="L14" s="385">
        <v>0</v>
      </c>
      <c r="M14" s="385">
        <v>0</v>
      </c>
      <c r="N14" s="385">
        <v>5200</v>
      </c>
      <c r="O14" s="385">
        <v>0</v>
      </c>
      <c r="Q14" s="385" t="s">
        <v>268</v>
      </c>
      <c r="R14" s="412">
        <v>11</v>
      </c>
    </row>
    <row r="15" spans="1:18" x14ac:dyDescent="0.3">
      <c r="Q15" s="385" t="s">
        <v>269</v>
      </c>
      <c r="R15" s="412">
        <v>12</v>
      </c>
    </row>
    <row r="16" spans="1:18" x14ac:dyDescent="0.3">
      <c r="Q16" s="385" t="s">
        <v>257</v>
      </c>
      <c r="R16" s="412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3" bestFit="1" customWidth="1"/>
    <col min="2" max="2" width="11.6640625" style="283" hidden="1" customWidth="1"/>
    <col min="3" max="4" width="11" style="285" customWidth="1"/>
    <col min="5" max="5" width="11" style="286" customWidth="1"/>
    <col min="6" max="16384" width="8.88671875" style="283"/>
  </cols>
  <sheetData>
    <row r="1" spans="1:5" ht="18.600000000000001" thickBot="1" x14ac:dyDescent="0.4">
      <c r="A1" s="462" t="s">
        <v>155</v>
      </c>
      <c r="B1" s="462"/>
      <c r="C1" s="463"/>
      <c r="D1" s="463"/>
      <c r="E1" s="463"/>
    </row>
    <row r="2" spans="1:5" ht="14.4" customHeight="1" thickBot="1" x14ac:dyDescent="0.35">
      <c r="A2" s="389" t="s">
        <v>298</v>
      </c>
      <c r="B2" s="284"/>
    </row>
    <row r="3" spans="1:5" ht="14.4" customHeight="1" thickBot="1" x14ac:dyDescent="0.35">
      <c r="A3" s="287"/>
      <c r="C3" s="288" t="s">
        <v>135</v>
      </c>
      <c r="D3" s="289" t="s">
        <v>97</v>
      </c>
      <c r="E3" s="290" t="s">
        <v>99</v>
      </c>
    </row>
    <row r="4" spans="1:5" ht="14.4" customHeight="1" thickBot="1" x14ac:dyDescent="0.35">
      <c r="A4" s="291" t="str">
        <f>HYPERLINK("#HI!A1","NÁKLADY CELKEM (v tisících Kč)")</f>
        <v>NÁKLADY CELKEM (v tisících Kč)</v>
      </c>
      <c r="B4" s="292"/>
      <c r="C4" s="293">
        <f ca="1">IF(ISERROR(VLOOKUP("Náklady celkem",INDIRECT("HI!$A:$G"),6,0)),0,VLOOKUP("Náklady celkem",INDIRECT("HI!$A:$G"),6,0))</f>
        <v>15182</v>
      </c>
      <c r="D4" s="293">
        <f ca="1">IF(ISERROR(VLOOKUP("Náklady celkem",INDIRECT("HI!$A:$G"),5,0)),0,VLOOKUP("Náklady celkem",INDIRECT("HI!$A:$G"),5,0))</f>
        <v>13533.05502</v>
      </c>
      <c r="E4" s="294">
        <f ca="1">IF(C4=0,0,D4/C4)</f>
        <v>0.89138815834540908</v>
      </c>
    </row>
    <row r="5" spans="1:5" ht="14.4" customHeight="1" x14ac:dyDescent="0.3">
      <c r="A5" s="295" t="s">
        <v>199</v>
      </c>
      <c r="B5" s="296"/>
      <c r="C5" s="297"/>
      <c r="D5" s="297"/>
      <c r="E5" s="298"/>
    </row>
    <row r="6" spans="1:5" ht="14.4" customHeight="1" x14ac:dyDescent="0.3">
      <c r="A6" s="299" t="s">
        <v>204</v>
      </c>
      <c r="B6" s="300"/>
      <c r="C6" s="301"/>
      <c r="D6" s="301"/>
      <c r="E6" s="29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00" t="s">
        <v>140</v>
      </c>
      <c r="C7" s="301">
        <f>IF(ISERROR(HI!F5),"",HI!F5)</f>
        <v>7564</v>
      </c>
      <c r="D7" s="301">
        <f>IF(ISERROR(HI!E5),"",HI!E5)</f>
        <v>6426.9659900000197</v>
      </c>
      <c r="E7" s="298">
        <f t="shared" ref="E7:E14" si="0">IF(C7=0,0,D7/C7)</f>
        <v>0.8496782112638841</v>
      </c>
    </row>
    <row r="8" spans="1:5" ht="14.4" customHeight="1" x14ac:dyDescent="0.3">
      <c r="A8" s="302" t="str">
        <f>HYPERLINK("#'LŽ PL'!A1","% plnění pozitivního listu")</f>
        <v>% plnění pozitivního listu</v>
      </c>
      <c r="B8" s="300" t="s">
        <v>191</v>
      </c>
      <c r="C8" s="303">
        <v>0.9</v>
      </c>
      <c r="D8" s="303">
        <f>IF(ISERROR(VLOOKUP("celkem",'LŽ PL'!$A:$F,5,0)),0,VLOOKUP("celkem",'LŽ PL'!$A:$F,5,0))</f>
        <v>1</v>
      </c>
      <c r="E8" s="298">
        <f t="shared" si="0"/>
        <v>1.1111111111111112</v>
      </c>
    </row>
    <row r="9" spans="1:5" ht="14.4" customHeight="1" x14ac:dyDescent="0.3">
      <c r="A9" s="304" t="s">
        <v>200</v>
      </c>
      <c r="B9" s="300"/>
      <c r="C9" s="301"/>
      <c r="D9" s="301"/>
      <c r="E9" s="298"/>
    </row>
    <row r="10" spans="1:5" ht="14.4" customHeight="1" x14ac:dyDescent="0.3">
      <c r="A10" s="302" t="str">
        <f>HYPERLINK("#'Léky Recepty'!A1","% záchytu v lékárně (Úhrada Kč)")</f>
        <v>% záchytu v lékárně (Úhrada Kč)</v>
      </c>
      <c r="B10" s="300" t="s">
        <v>145</v>
      </c>
      <c r="C10" s="303">
        <v>0.6</v>
      </c>
      <c r="D10" s="303">
        <f>IF(ISERROR(VLOOKUP("Celkem",'Léky Recepty'!B:H,5,0)),0,VLOOKUP("Celkem",'Léky Recepty'!B:H,5,0))</f>
        <v>0.33128364441128633</v>
      </c>
      <c r="E10" s="298">
        <f t="shared" si="0"/>
        <v>0.55213940735214395</v>
      </c>
    </row>
    <row r="11" spans="1:5" ht="14.4" customHeight="1" x14ac:dyDescent="0.3">
      <c r="A11" s="302" t="str">
        <f>HYPERLINK("#'LRp PL'!A1","% plnění pozitivního listu")</f>
        <v>% plnění pozitivního listu</v>
      </c>
      <c r="B11" s="300" t="s">
        <v>192</v>
      </c>
      <c r="C11" s="303">
        <v>0.8</v>
      </c>
      <c r="D11" s="303">
        <f>IF(ISERROR(VLOOKUP("Celkem",'LRp PL'!A:F,5,0)),0,VLOOKUP("Celkem",'LRp PL'!A:F,5,0))</f>
        <v>0.91988118636039162</v>
      </c>
      <c r="E11" s="298">
        <f t="shared" si="0"/>
        <v>1.1498514829504896</v>
      </c>
    </row>
    <row r="12" spans="1:5" ht="14.4" customHeight="1" x14ac:dyDescent="0.3">
      <c r="A12" s="304" t="s">
        <v>201</v>
      </c>
      <c r="B12" s="300"/>
      <c r="C12" s="301"/>
      <c r="D12" s="301"/>
      <c r="E12" s="298"/>
    </row>
    <row r="13" spans="1:5" ht="14.4" customHeight="1" x14ac:dyDescent="0.3">
      <c r="A13" s="305" t="s">
        <v>205</v>
      </c>
      <c r="B13" s="300"/>
      <c r="C13" s="297"/>
      <c r="D13" s="297"/>
      <c r="E13" s="298"/>
    </row>
    <row r="14" spans="1:5" ht="14.4" customHeight="1" x14ac:dyDescent="0.3">
      <c r="A14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00" t="s">
        <v>140</v>
      </c>
      <c r="C14" s="301">
        <f>IF(ISERROR(HI!F6),"",HI!F6)</f>
        <v>279</v>
      </c>
      <c r="D14" s="301">
        <f>IF(ISERROR(HI!E6),"",HI!E6)</f>
        <v>251.604870000001</v>
      </c>
      <c r="E14" s="298">
        <f t="shared" si="0"/>
        <v>0.90180956989247674</v>
      </c>
    </row>
    <row r="15" spans="1:5" ht="14.4" customHeight="1" thickBot="1" x14ac:dyDescent="0.35">
      <c r="A15" s="307" t="str">
        <f>HYPERLINK("#HI!A1","Osobní náklady")</f>
        <v>Osobní náklady</v>
      </c>
      <c r="B15" s="300"/>
      <c r="C15" s="297">
        <f ca="1">IF(ISERROR(VLOOKUP("Osobní náklady (Kč)",INDIRECT("HI!$A:$G"),6,0)),0,VLOOKUP("Osobní náklady (Kč)",INDIRECT("HI!$A:$G"),6,0))</f>
        <v>0</v>
      </c>
      <c r="D15" s="297">
        <f ca="1">IF(ISERROR(VLOOKUP("Osobní náklady (Kč)",INDIRECT("HI!$A:$G"),5,0)),0,VLOOKUP("Osobní náklady (Kč)",INDIRECT("HI!$A:$G"),5,0))</f>
        <v>0</v>
      </c>
      <c r="E15" s="298">
        <f ca="1">IF(C15=0,0,D15/C15)</f>
        <v>0</v>
      </c>
    </row>
    <row r="16" spans="1:5" ht="14.4" customHeight="1" thickBot="1" x14ac:dyDescent="0.35">
      <c r="A16" s="311"/>
      <c r="B16" s="312"/>
      <c r="C16" s="313"/>
      <c r="D16" s="313"/>
      <c r="E16" s="314"/>
    </row>
    <row r="17" spans="1:5" ht="14.4" customHeight="1" thickBot="1" x14ac:dyDescent="0.35">
      <c r="A17" s="315" t="str">
        <f>HYPERLINK("#HI!A1","VÝNOSY CELKEM (v tisících)")</f>
        <v>VÝNOSY CELKEM (v tisících)</v>
      </c>
      <c r="B17" s="316"/>
      <c r="C17" s="317">
        <f ca="1">IF(ISERROR(VLOOKUP("Výnosy celkem",INDIRECT("HI!$A:$G"),6,0)),0,VLOOKUP("Výnosy celkem",INDIRECT("HI!$A:$G"),6,0))</f>
        <v>11872.418000000001</v>
      </c>
      <c r="D17" s="317">
        <f ca="1">IF(ISERROR(VLOOKUP("Výnosy celkem",INDIRECT("HI!$A:$G"),5,0)),0,VLOOKUP("Výnosy celkem",INDIRECT("HI!$A:$G"),5,0))</f>
        <v>11543.333999999999</v>
      </c>
      <c r="E17" s="318">
        <f t="shared" ref="E17:E27" ca="1" si="1">IF(C17=0,0,D17/C17)</f>
        <v>0.97228163631031161</v>
      </c>
    </row>
    <row r="18" spans="1:5" ht="14.4" customHeight="1" x14ac:dyDescent="0.3">
      <c r="A18" s="319" t="str">
        <f>HYPERLINK("#HI!A1","Ambulance (body za výkony + Kč za ZUM a ZULP)")</f>
        <v>Ambulance (body za výkony + Kč za ZUM a ZULP)</v>
      </c>
      <c r="B18" s="296"/>
      <c r="C18" s="297">
        <f ca="1">IF(ISERROR(VLOOKUP("Ambulance *",INDIRECT("HI!$A:$G"),6,0)),0,VLOOKUP("Ambulance *",INDIRECT("HI!$A:$G"),6,0))</f>
        <v>9574.6280000000006</v>
      </c>
      <c r="D18" s="297">
        <f ca="1">IF(ISERROR(VLOOKUP("Ambulance *",INDIRECT("HI!$A:$G"),5,0)),0,VLOOKUP("Ambulance *",INDIRECT("HI!$A:$G"),5,0))</f>
        <v>10307.843999999999</v>
      </c>
      <c r="E18" s="298">
        <f t="shared" ca="1" si="1"/>
        <v>1.076579058737321</v>
      </c>
    </row>
    <row r="19" spans="1:5" ht="14.4" customHeight="1" x14ac:dyDescent="0.3">
      <c r="A19" s="320" t="str">
        <f>HYPERLINK("#'ZV Vykáz.-A'!A1","Zdravotní výkony vykázané u ambulantních pacientů (min. 100 %)")</f>
        <v>Zdravotní výkony vykázané u ambulantních pacientů (min. 100 %)</v>
      </c>
      <c r="B19" s="283" t="s">
        <v>157</v>
      </c>
      <c r="C19" s="303">
        <v>1</v>
      </c>
      <c r="D19" s="303">
        <f>IF(ISERROR(VLOOKUP("Celkem:",'ZV Vykáz.-A'!$A:$S,7,0)),"",VLOOKUP("Celkem:",'ZV Vykáz.-A'!$A:$S,7,0))</f>
        <v>1.0765790587373212</v>
      </c>
      <c r="E19" s="298">
        <f t="shared" si="1"/>
        <v>1.0765790587373212</v>
      </c>
    </row>
    <row r="20" spans="1:5" ht="14.4" customHeight="1" x14ac:dyDescent="0.3">
      <c r="A20" s="320" t="str">
        <f>HYPERLINK("#'ZV Vykáz.-H'!A1","Zdravotní výkony vykázané u hospitalizovaných pacientů (max. 85 %)")</f>
        <v>Zdravotní výkony vykázané u hospitalizovaných pacientů (max. 85 %)</v>
      </c>
      <c r="B20" s="283" t="s">
        <v>159</v>
      </c>
      <c r="C20" s="303">
        <v>0.85</v>
      </c>
      <c r="D20" s="303">
        <f>IF(ISERROR(VLOOKUP("Celkem:",'ZV Vykáz.-H'!$A:$S,7,0)),"",VLOOKUP("Celkem:",'ZV Vykáz.-H'!$A:$S,7,0))</f>
        <v>0.92346666304411507</v>
      </c>
      <c r="E20" s="298">
        <f t="shared" si="1"/>
        <v>1.0864313682871942</v>
      </c>
    </row>
    <row r="21" spans="1:5" ht="14.4" customHeight="1" x14ac:dyDescent="0.3">
      <c r="A21" s="321" t="str">
        <f>HYPERLINK("#HI!A1","Hospitalizace (casemix * 30000)")</f>
        <v>Hospitalizace (casemix * 30000)</v>
      </c>
      <c r="B21" s="300"/>
      <c r="C21" s="297">
        <f ca="1">IF(ISERROR(VLOOKUP("Hospitalizace *",INDIRECT("HI!$A:$G"),6,0)),0,VLOOKUP("Hospitalizace *",INDIRECT("HI!$A:$G"),6,0))</f>
        <v>2297.79</v>
      </c>
      <c r="D21" s="297">
        <f ca="1">IF(ISERROR(VLOOKUP("Hospitalizace *",INDIRECT("HI!$A:$G"),5,0)),0,VLOOKUP("Hospitalizace *",INDIRECT("HI!$A:$G"),5,0))</f>
        <v>1235.49</v>
      </c>
      <c r="E21" s="298">
        <f ca="1">IF(C21=0,0,D21/C21)</f>
        <v>0.53768621153369112</v>
      </c>
    </row>
    <row r="22" spans="1:5" ht="14.4" customHeight="1" x14ac:dyDescent="0.3">
      <c r="A22" s="320" t="str">
        <f>HYPERLINK("#'CaseMix'!A1","Casemix (min. 100 %)")</f>
        <v>Casemix (min. 100 %)</v>
      </c>
      <c r="B22" s="300" t="s">
        <v>74</v>
      </c>
      <c r="C22" s="303">
        <v>1</v>
      </c>
      <c r="D22" s="303">
        <f>IF(ISERROR(VLOOKUP("Celkem",CaseMix!A:M,5,0)),0,VLOOKUP("Celkem",CaseMix!A:M,5,0))</f>
        <v>0.53768621153369101</v>
      </c>
      <c r="E22" s="298">
        <f t="shared" si="1"/>
        <v>0.53768621153369101</v>
      </c>
    </row>
    <row r="23" spans="1:5" ht="14.4" customHeight="1" x14ac:dyDescent="0.3">
      <c r="A23" s="322" t="str">
        <f>HYPERLINK("#'CaseMix'!A1","DRG mimo vyjmenované baze")</f>
        <v>DRG mimo vyjmenované baze</v>
      </c>
      <c r="B23" s="300" t="s">
        <v>74</v>
      </c>
      <c r="C23" s="303">
        <v>1</v>
      </c>
      <c r="D23" s="303">
        <f>IF(ISERROR(CaseMix!E26),"",CaseMix!E26)</f>
        <v>0.53768621153369101</v>
      </c>
      <c r="E23" s="298">
        <f t="shared" si="1"/>
        <v>0.53768621153369101</v>
      </c>
    </row>
    <row r="24" spans="1:5" ht="14.4" customHeight="1" x14ac:dyDescent="0.3">
      <c r="A24" s="322" t="str">
        <f>HYPERLINK("#'CaseMix'!A1","Vyjmenované baze DRG")</f>
        <v>Vyjmenované baze DRG</v>
      </c>
      <c r="B24" s="300" t="s">
        <v>74</v>
      </c>
      <c r="C24" s="303">
        <v>1</v>
      </c>
      <c r="D24" s="303">
        <f>IF(ISERROR(CaseMix!E39),"",CaseMix!E39)</f>
        <v>0</v>
      </c>
      <c r="E24" s="298">
        <f t="shared" si="1"/>
        <v>0</v>
      </c>
    </row>
    <row r="25" spans="1:5" ht="14.4" customHeight="1" x14ac:dyDescent="0.3">
      <c r="A25" s="320" t="str">
        <f>HYPERLINK("#'CaseMix'!A1","Počet hospitalizací ukončených na pracovišti (min. 95 %)")</f>
        <v>Počet hospitalizací ukončených na pracovišti (min. 95 %)</v>
      </c>
      <c r="B25" s="300" t="s">
        <v>74</v>
      </c>
      <c r="C25" s="303">
        <v>0.95</v>
      </c>
      <c r="D25" s="303">
        <f>IF(ISERROR(CaseMix!I13),"",CaseMix!I13)</f>
        <v>0.75384615384615383</v>
      </c>
      <c r="E25" s="298">
        <f t="shared" si="1"/>
        <v>0.79352226720647778</v>
      </c>
    </row>
    <row r="26" spans="1:5" ht="14.4" customHeight="1" x14ac:dyDescent="0.3">
      <c r="A26" s="320" t="str">
        <f>HYPERLINK("#'ALOS'!A1","Průměrná délka hospitalizace (max. 100 % republikového průměru)")</f>
        <v>Průměrná délka hospitalizace (max. 100 % republikového průměru)</v>
      </c>
      <c r="B26" s="300" t="s">
        <v>89</v>
      </c>
      <c r="C26" s="303">
        <v>1</v>
      </c>
      <c r="D26" s="323">
        <f>IF(ISERROR(INDEX(ALOS!$E:$E,COUNT(ALOS!$E:$E)+32)),0,INDEX(ALOS!$E:$E,COUNT(ALOS!$E:$E)+32))</f>
        <v>1.1243474769107216</v>
      </c>
      <c r="E26" s="298">
        <f t="shared" si="1"/>
        <v>1.1243474769107216</v>
      </c>
    </row>
    <row r="27" spans="1:5" ht="27.6" x14ac:dyDescent="0.3">
      <c r="A27" s="324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300" t="s">
        <v>154</v>
      </c>
      <c r="C27" s="303">
        <f>IF(E22&gt;1,95%,95%-2*ABS(C22-D22))</f>
        <v>2.5372423067381966E-2</v>
      </c>
      <c r="D27" s="303">
        <f>IF(ISERROR(VLOOKUP("Celkem:",'ZV Vyžád.'!$A:$M,7,0)),"",VLOOKUP("Celkem:",'ZV Vyžád.'!$A:$M,7,0))</f>
        <v>0.99209300084148566</v>
      </c>
      <c r="E27" s="298">
        <f t="shared" si="1"/>
        <v>39.101232003217341</v>
      </c>
    </row>
    <row r="28" spans="1:5" ht="14.4" customHeight="1" thickBot="1" x14ac:dyDescent="0.35">
      <c r="A28" s="325" t="s">
        <v>202</v>
      </c>
      <c r="B28" s="308"/>
      <c r="C28" s="309"/>
      <c r="D28" s="309"/>
      <c r="E28" s="310"/>
    </row>
    <row r="29" spans="1:5" ht="14.4" customHeight="1" thickBot="1" x14ac:dyDescent="0.35">
      <c r="A29" s="326"/>
      <c r="B29" s="327"/>
      <c r="C29" s="328"/>
      <c r="D29" s="328"/>
      <c r="E29" s="329"/>
    </row>
    <row r="30" spans="1:5" ht="14.4" customHeight="1" thickBot="1" x14ac:dyDescent="0.35">
      <c r="A30" s="330" t="s">
        <v>203</v>
      </c>
      <c r="B30" s="331"/>
      <c r="C30" s="332"/>
      <c r="D30" s="332"/>
      <c r="E30" s="333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7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1" priority="16" operator="lessThan">
      <formula>1</formula>
    </cfRule>
  </conditionalFormatting>
  <conditionalFormatting sqref="E26:E27 E4 E7 E14 E20">
    <cfRule type="cellIs" dxfId="7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5.4414062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527" t="s">
        <v>1049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19" ht="14.4" customHeight="1" thickBot="1" x14ac:dyDescent="0.35">
      <c r="A3" s="356" t="s">
        <v>163</v>
      </c>
      <c r="B3" s="357">
        <f>SUBTOTAL(9,B6:B1048576)</f>
        <v>9574628</v>
      </c>
      <c r="C3" s="358">
        <f t="shared" ref="C3:R3" si="0">SUBTOTAL(9,C6:C1048576)</f>
        <v>1</v>
      </c>
      <c r="D3" s="358">
        <f t="shared" si="0"/>
        <v>10716287</v>
      </c>
      <c r="E3" s="358">
        <f t="shared" si="0"/>
        <v>1.1192379484612875</v>
      </c>
      <c r="F3" s="358">
        <f t="shared" si="0"/>
        <v>10307844</v>
      </c>
      <c r="G3" s="359">
        <f>IF(B3&lt;&gt;0,F3/B3,"")</f>
        <v>1.0765790587373212</v>
      </c>
      <c r="H3" s="360">
        <f t="shared" si="0"/>
        <v>5742164.9100000029</v>
      </c>
      <c r="I3" s="358">
        <f t="shared" si="0"/>
        <v>1</v>
      </c>
      <c r="J3" s="358">
        <f t="shared" si="0"/>
        <v>10704224.520000026</v>
      </c>
      <c r="K3" s="358">
        <f t="shared" si="0"/>
        <v>1.8641443928854389</v>
      </c>
      <c r="L3" s="358">
        <f t="shared" si="0"/>
        <v>10667137.570000021</v>
      </c>
      <c r="M3" s="361">
        <f>IF(H3&lt;&gt;0,L3/H3,"")</f>
        <v>1.8576856877487371</v>
      </c>
      <c r="N3" s="357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126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9"/>
      <c r="B5" s="730">
        <v>2012</v>
      </c>
      <c r="C5" s="731"/>
      <c r="D5" s="731">
        <v>2013</v>
      </c>
      <c r="E5" s="731"/>
      <c r="F5" s="731">
        <v>2014</v>
      </c>
      <c r="G5" s="732" t="s">
        <v>5</v>
      </c>
      <c r="H5" s="730">
        <v>2012</v>
      </c>
      <c r="I5" s="731"/>
      <c r="J5" s="731">
        <v>2013</v>
      </c>
      <c r="K5" s="731"/>
      <c r="L5" s="731">
        <v>2014</v>
      </c>
      <c r="M5" s="732" t="s">
        <v>5</v>
      </c>
      <c r="N5" s="730">
        <v>2012</v>
      </c>
      <c r="O5" s="731"/>
      <c r="P5" s="731">
        <v>2013</v>
      </c>
      <c r="Q5" s="731"/>
      <c r="R5" s="731">
        <v>2014</v>
      </c>
      <c r="S5" s="732" t="s">
        <v>5</v>
      </c>
    </row>
    <row r="6" spans="1:19" ht="14.4" customHeight="1" thickBot="1" x14ac:dyDescent="0.35">
      <c r="A6" s="736" t="s">
        <v>1046</v>
      </c>
      <c r="B6" s="733">
        <v>9574628</v>
      </c>
      <c r="C6" s="734">
        <v>1</v>
      </c>
      <c r="D6" s="733">
        <v>10716287</v>
      </c>
      <c r="E6" s="734">
        <v>1.1192379484612875</v>
      </c>
      <c r="F6" s="733">
        <v>10307844</v>
      </c>
      <c r="G6" s="653">
        <v>1.0765790587373212</v>
      </c>
      <c r="H6" s="733">
        <v>5742164.9100000029</v>
      </c>
      <c r="I6" s="734">
        <v>1</v>
      </c>
      <c r="J6" s="733">
        <v>10704224.520000026</v>
      </c>
      <c r="K6" s="734">
        <v>1.8641443928854389</v>
      </c>
      <c r="L6" s="733">
        <v>10667137.570000021</v>
      </c>
      <c r="M6" s="653">
        <v>1.8576856877487371</v>
      </c>
      <c r="N6" s="733"/>
      <c r="O6" s="734"/>
      <c r="P6" s="733"/>
      <c r="Q6" s="734"/>
      <c r="R6" s="733"/>
      <c r="S6" s="735"/>
    </row>
    <row r="7" spans="1:19" ht="14.4" customHeight="1" x14ac:dyDescent="0.3">
      <c r="A7" s="737" t="s">
        <v>1047</v>
      </c>
    </row>
    <row r="8" spans="1:19" ht="14.4" customHeight="1" x14ac:dyDescent="0.3">
      <c r="A8" s="738" t="s">
        <v>239</v>
      </c>
    </row>
    <row r="9" spans="1:19" ht="14.4" customHeight="1" x14ac:dyDescent="0.3">
      <c r="A9" s="737" t="s">
        <v>1048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60" bestFit="1" customWidth="1"/>
    <col min="2" max="2" width="2.109375" style="260" bestFit="1" customWidth="1"/>
    <col min="3" max="3" width="8" style="260" bestFit="1" customWidth="1"/>
    <col min="4" max="4" width="50.88671875" style="260" bestFit="1" customWidth="1"/>
    <col min="5" max="6" width="11.109375" style="343" customWidth="1"/>
    <col min="7" max="8" width="9.33203125" style="260" hidden="1" customWidth="1"/>
    <col min="9" max="10" width="11.109375" style="343" customWidth="1"/>
    <col min="11" max="12" width="9.33203125" style="260" hidden="1" customWidth="1"/>
    <col min="13" max="14" width="11.109375" style="343" customWidth="1"/>
    <col min="15" max="15" width="11.109375" style="346" customWidth="1"/>
    <col min="16" max="16" width="11.109375" style="343" customWidth="1"/>
    <col min="17" max="16384" width="8.88671875" style="260"/>
  </cols>
  <sheetData>
    <row r="1" spans="1:16" ht="18.600000000000001" customHeight="1" thickBot="1" x14ac:dyDescent="0.4">
      <c r="A1" s="462" t="s">
        <v>1180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4.4" customHeight="1" thickBot="1" x14ac:dyDescent="0.35">
      <c r="A2" s="389" t="s">
        <v>298</v>
      </c>
      <c r="B2" s="261"/>
      <c r="C2" s="261"/>
      <c r="D2" s="261"/>
      <c r="E2" s="364"/>
      <c r="F2" s="364"/>
      <c r="G2" s="261"/>
      <c r="H2" s="261"/>
      <c r="I2" s="364"/>
      <c r="J2" s="364"/>
      <c r="K2" s="261"/>
      <c r="L2" s="261"/>
      <c r="M2" s="364"/>
      <c r="N2" s="364"/>
      <c r="O2" s="365"/>
      <c r="P2" s="364"/>
    </row>
    <row r="3" spans="1:16" ht="14.4" customHeight="1" thickBot="1" x14ac:dyDescent="0.35">
      <c r="D3" s="112" t="s">
        <v>163</v>
      </c>
      <c r="E3" s="217">
        <f t="shared" ref="E3:N3" si="0">SUBTOTAL(9,E6:E1048576)</f>
        <v>520618.47</v>
      </c>
      <c r="F3" s="218">
        <f t="shared" si="0"/>
        <v>15316792.91</v>
      </c>
      <c r="G3" s="78"/>
      <c r="H3" s="78"/>
      <c r="I3" s="218">
        <f t="shared" si="0"/>
        <v>621104.53</v>
      </c>
      <c r="J3" s="218">
        <f t="shared" si="0"/>
        <v>21420511.520000003</v>
      </c>
      <c r="K3" s="78"/>
      <c r="L3" s="78"/>
      <c r="M3" s="218">
        <f t="shared" si="0"/>
        <v>586373.22</v>
      </c>
      <c r="N3" s="218">
        <f t="shared" si="0"/>
        <v>20974981.569999997</v>
      </c>
      <c r="O3" s="79">
        <f>IF(F3=0,0,N3/F3)</f>
        <v>1.3694107959314308</v>
      </c>
      <c r="P3" s="219">
        <f>IF(M3=0,0,N3/M3)</f>
        <v>35.770701755445103</v>
      </c>
    </row>
    <row r="4" spans="1:16" ht="14.4" customHeight="1" x14ac:dyDescent="0.3">
      <c r="A4" s="533" t="s">
        <v>122</v>
      </c>
      <c r="B4" s="534" t="s">
        <v>123</v>
      </c>
      <c r="C4" s="535" t="s">
        <v>124</v>
      </c>
      <c r="D4" s="536" t="s">
        <v>84</v>
      </c>
      <c r="E4" s="537">
        <v>2012</v>
      </c>
      <c r="F4" s="538"/>
      <c r="G4" s="216"/>
      <c r="H4" s="216"/>
      <c r="I4" s="537">
        <v>2013</v>
      </c>
      <c r="J4" s="538"/>
      <c r="K4" s="216"/>
      <c r="L4" s="216"/>
      <c r="M4" s="537">
        <v>2014</v>
      </c>
      <c r="N4" s="538"/>
      <c r="O4" s="539" t="s">
        <v>5</v>
      </c>
      <c r="P4" s="532" t="s">
        <v>125</v>
      </c>
    </row>
    <row r="5" spans="1:16" ht="14.4" customHeight="1" thickBot="1" x14ac:dyDescent="0.35">
      <c r="A5" s="739"/>
      <c r="B5" s="740"/>
      <c r="C5" s="741"/>
      <c r="D5" s="742"/>
      <c r="E5" s="743" t="s">
        <v>94</v>
      </c>
      <c r="F5" s="744" t="s">
        <v>17</v>
      </c>
      <c r="G5" s="745"/>
      <c r="H5" s="745"/>
      <c r="I5" s="743" t="s">
        <v>94</v>
      </c>
      <c r="J5" s="744" t="s">
        <v>17</v>
      </c>
      <c r="K5" s="745"/>
      <c r="L5" s="745"/>
      <c r="M5" s="743" t="s">
        <v>94</v>
      </c>
      <c r="N5" s="744" t="s">
        <v>17</v>
      </c>
      <c r="O5" s="746"/>
      <c r="P5" s="747"/>
    </row>
    <row r="6" spans="1:16" ht="14.4" customHeight="1" x14ac:dyDescent="0.3">
      <c r="A6" s="697" t="s">
        <v>1050</v>
      </c>
      <c r="B6" s="698" t="s">
        <v>1051</v>
      </c>
      <c r="C6" s="698" t="s">
        <v>1052</v>
      </c>
      <c r="D6" s="698" t="s">
        <v>626</v>
      </c>
      <c r="E6" s="235"/>
      <c r="F6" s="235"/>
      <c r="G6" s="698"/>
      <c r="H6" s="698"/>
      <c r="I6" s="235"/>
      <c r="J6" s="235"/>
      <c r="K6" s="698"/>
      <c r="L6" s="698"/>
      <c r="M6" s="235">
        <v>27.450000000000003</v>
      </c>
      <c r="N6" s="235">
        <v>54296.94</v>
      </c>
      <c r="O6" s="703"/>
      <c r="P6" s="713">
        <v>1978.0306010928959</v>
      </c>
    </row>
    <row r="7" spans="1:16" ht="14.4" customHeight="1" x14ac:dyDescent="0.3">
      <c r="A7" s="681" t="s">
        <v>1050</v>
      </c>
      <c r="B7" s="672" t="s">
        <v>1051</v>
      </c>
      <c r="C7" s="672" t="s">
        <v>1053</v>
      </c>
      <c r="D7" s="672" t="s">
        <v>634</v>
      </c>
      <c r="E7" s="238">
        <v>4.2</v>
      </c>
      <c r="F7" s="238">
        <v>4547.18</v>
      </c>
      <c r="G7" s="672">
        <v>1</v>
      </c>
      <c r="H7" s="672">
        <v>1082.6619047619047</v>
      </c>
      <c r="I7" s="238">
        <v>12.099999999999994</v>
      </c>
      <c r="J7" s="238">
        <v>13215.020000000002</v>
      </c>
      <c r="K7" s="672">
        <v>2.9062012060221942</v>
      </c>
      <c r="L7" s="672">
        <v>1092.1504132231412</v>
      </c>
      <c r="M7" s="238">
        <v>16.95</v>
      </c>
      <c r="N7" s="238">
        <v>18511.990000000005</v>
      </c>
      <c r="O7" s="683">
        <v>4.0710924133199047</v>
      </c>
      <c r="P7" s="714">
        <v>1092.1528023598823</v>
      </c>
    </row>
    <row r="8" spans="1:16" ht="14.4" customHeight="1" x14ac:dyDescent="0.3">
      <c r="A8" s="681" t="s">
        <v>1050</v>
      </c>
      <c r="B8" s="672" t="s">
        <v>1051</v>
      </c>
      <c r="C8" s="672" t="s">
        <v>1054</v>
      </c>
      <c r="D8" s="672" t="s">
        <v>634</v>
      </c>
      <c r="E8" s="238">
        <v>105.14999999999999</v>
      </c>
      <c r="F8" s="238">
        <v>227612.57000000004</v>
      </c>
      <c r="G8" s="672">
        <v>1</v>
      </c>
      <c r="H8" s="672">
        <v>2164.6464098906331</v>
      </c>
      <c r="I8" s="238">
        <v>227.60999999999996</v>
      </c>
      <c r="J8" s="238">
        <v>497167.73999999923</v>
      </c>
      <c r="K8" s="672">
        <v>2.1842718967585979</v>
      </c>
      <c r="L8" s="672">
        <v>2184.2965599050981</v>
      </c>
      <c r="M8" s="238">
        <v>231.51</v>
      </c>
      <c r="N8" s="238">
        <v>505669.07999999938</v>
      </c>
      <c r="O8" s="683">
        <v>2.2216219429357493</v>
      </c>
      <c r="P8" s="714">
        <v>2184.221329532199</v>
      </c>
    </row>
    <row r="9" spans="1:16" ht="14.4" customHeight="1" x14ac:dyDescent="0.3">
      <c r="A9" s="681" t="s">
        <v>1050</v>
      </c>
      <c r="B9" s="672" t="s">
        <v>1051</v>
      </c>
      <c r="C9" s="672" t="s">
        <v>1055</v>
      </c>
      <c r="D9" s="672" t="s">
        <v>630</v>
      </c>
      <c r="E9" s="238">
        <v>7.6099999999999923</v>
      </c>
      <c r="F9" s="238">
        <v>7118.1599999999944</v>
      </c>
      <c r="G9" s="672">
        <v>1</v>
      </c>
      <c r="H9" s="672">
        <v>935.36925098554559</v>
      </c>
      <c r="I9" s="238">
        <v>14.220000000000018</v>
      </c>
      <c r="J9" s="238">
        <v>13416.159999999978</v>
      </c>
      <c r="K9" s="672">
        <v>1.8847792126055032</v>
      </c>
      <c r="L9" s="672">
        <v>943.47116736989881</v>
      </c>
      <c r="M9" s="238">
        <v>14.330000000000009</v>
      </c>
      <c r="N9" s="238">
        <v>13510.639999999979</v>
      </c>
      <c r="O9" s="683">
        <v>1.8980523056520211</v>
      </c>
      <c r="P9" s="714">
        <v>942.82205163991421</v>
      </c>
    </row>
    <row r="10" spans="1:16" ht="14.4" customHeight="1" x14ac:dyDescent="0.3">
      <c r="A10" s="681" t="s">
        <v>1050</v>
      </c>
      <c r="B10" s="672" t="s">
        <v>1051</v>
      </c>
      <c r="C10" s="672" t="s">
        <v>1056</v>
      </c>
      <c r="D10" s="672" t="s">
        <v>1057</v>
      </c>
      <c r="E10" s="238"/>
      <c r="F10" s="238"/>
      <c r="G10" s="672"/>
      <c r="H10" s="672"/>
      <c r="I10" s="238"/>
      <c r="J10" s="238"/>
      <c r="K10" s="672"/>
      <c r="L10" s="672"/>
      <c r="M10" s="238">
        <v>2.5</v>
      </c>
      <c r="N10" s="238">
        <v>31015.05</v>
      </c>
      <c r="O10" s="683"/>
      <c r="P10" s="714">
        <v>12406.02</v>
      </c>
    </row>
    <row r="11" spans="1:16" ht="14.4" customHeight="1" x14ac:dyDescent="0.3">
      <c r="A11" s="681" t="s">
        <v>1050</v>
      </c>
      <c r="B11" s="672" t="s">
        <v>1058</v>
      </c>
      <c r="C11" s="672" t="s">
        <v>1059</v>
      </c>
      <c r="D11" s="672" t="s">
        <v>1060</v>
      </c>
      <c r="E11" s="238">
        <v>360</v>
      </c>
      <c r="F11" s="238">
        <v>7045.2</v>
      </c>
      <c r="G11" s="672">
        <v>1</v>
      </c>
      <c r="H11" s="672">
        <v>19.57</v>
      </c>
      <c r="I11" s="238"/>
      <c r="J11" s="238"/>
      <c r="K11" s="672"/>
      <c r="L11" s="672"/>
      <c r="M11" s="238">
        <v>720</v>
      </c>
      <c r="N11" s="238">
        <v>15069.6</v>
      </c>
      <c r="O11" s="683">
        <v>2.1389882473173225</v>
      </c>
      <c r="P11" s="714">
        <v>20.93</v>
      </c>
    </row>
    <row r="12" spans="1:16" ht="14.4" customHeight="1" x14ac:dyDescent="0.3">
      <c r="A12" s="681" t="s">
        <v>1050</v>
      </c>
      <c r="B12" s="672" t="s">
        <v>1058</v>
      </c>
      <c r="C12" s="672" t="s">
        <v>1061</v>
      </c>
      <c r="D12" s="672" t="s">
        <v>1062</v>
      </c>
      <c r="E12" s="238">
        <v>4190</v>
      </c>
      <c r="F12" s="238">
        <v>7625.8000000000011</v>
      </c>
      <c r="G12" s="672">
        <v>1</v>
      </c>
      <c r="H12" s="672">
        <v>1.8200000000000003</v>
      </c>
      <c r="I12" s="238">
        <v>3860</v>
      </c>
      <c r="J12" s="238">
        <v>7352.1</v>
      </c>
      <c r="K12" s="672">
        <v>0.96410868367908931</v>
      </c>
      <c r="L12" s="672">
        <v>1.9046891191709845</v>
      </c>
      <c r="M12" s="238">
        <v>2600</v>
      </c>
      <c r="N12" s="238">
        <v>5200</v>
      </c>
      <c r="O12" s="683">
        <v>0.68189566996249562</v>
      </c>
      <c r="P12" s="714">
        <v>2</v>
      </c>
    </row>
    <row r="13" spans="1:16" ht="14.4" customHeight="1" x14ac:dyDescent="0.3">
      <c r="A13" s="681" t="s">
        <v>1050</v>
      </c>
      <c r="B13" s="672" t="s">
        <v>1058</v>
      </c>
      <c r="C13" s="672" t="s">
        <v>1063</v>
      </c>
      <c r="D13" s="672" t="s">
        <v>1064</v>
      </c>
      <c r="E13" s="238">
        <v>8550</v>
      </c>
      <c r="F13" s="238">
        <v>38731.5</v>
      </c>
      <c r="G13" s="672">
        <v>1</v>
      </c>
      <c r="H13" s="672">
        <v>4.53</v>
      </c>
      <c r="I13" s="238">
        <v>5695</v>
      </c>
      <c r="J13" s="238">
        <v>27013.9</v>
      </c>
      <c r="K13" s="672">
        <v>0.69746588693957123</v>
      </c>
      <c r="L13" s="672">
        <v>4.7434416154521513</v>
      </c>
      <c r="M13" s="238">
        <v>6925</v>
      </c>
      <c r="N13" s="238">
        <v>35317.5</v>
      </c>
      <c r="O13" s="683">
        <v>0.91185469191743151</v>
      </c>
      <c r="P13" s="714">
        <v>5.0999999999999996</v>
      </c>
    </row>
    <row r="14" spans="1:16" ht="14.4" customHeight="1" x14ac:dyDescent="0.3">
      <c r="A14" s="681" t="s">
        <v>1050</v>
      </c>
      <c r="B14" s="672" t="s">
        <v>1058</v>
      </c>
      <c r="C14" s="672" t="s">
        <v>1065</v>
      </c>
      <c r="D14" s="672" t="s">
        <v>1066</v>
      </c>
      <c r="E14" s="238"/>
      <c r="F14" s="238"/>
      <c r="G14" s="672"/>
      <c r="H14" s="672"/>
      <c r="I14" s="238"/>
      <c r="J14" s="238"/>
      <c r="K14" s="672"/>
      <c r="L14" s="672"/>
      <c r="M14" s="238">
        <v>180</v>
      </c>
      <c r="N14" s="238">
        <v>1317.6</v>
      </c>
      <c r="O14" s="683"/>
      <c r="P14" s="714">
        <v>7.3199999999999994</v>
      </c>
    </row>
    <row r="15" spans="1:16" ht="14.4" customHeight="1" x14ac:dyDescent="0.3">
      <c r="A15" s="681" t="s">
        <v>1050</v>
      </c>
      <c r="B15" s="672" t="s">
        <v>1058</v>
      </c>
      <c r="C15" s="672" t="s">
        <v>1067</v>
      </c>
      <c r="D15" s="672" t="s">
        <v>1068</v>
      </c>
      <c r="E15" s="238"/>
      <c r="F15" s="238"/>
      <c r="G15" s="672"/>
      <c r="H15" s="672"/>
      <c r="I15" s="238">
        <v>1500</v>
      </c>
      <c r="J15" s="238">
        <v>8524</v>
      </c>
      <c r="K15" s="672"/>
      <c r="L15" s="672">
        <v>5.682666666666667</v>
      </c>
      <c r="M15" s="238"/>
      <c r="N15" s="238"/>
      <c r="O15" s="683"/>
      <c r="P15" s="714"/>
    </row>
    <row r="16" spans="1:16" ht="14.4" customHeight="1" x14ac:dyDescent="0.3">
      <c r="A16" s="681" t="s">
        <v>1050</v>
      </c>
      <c r="B16" s="672" t="s">
        <v>1058</v>
      </c>
      <c r="C16" s="672" t="s">
        <v>1069</v>
      </c>
      <c r="D16" s="672" t="s">
        <v>1070</v>
      </c>
      <c r="E16" s="238">
        <v>218300</v>
      </c>
      <c r="F16" s="238">
        <v>1159173</v>
      </c>
      <c r="G16" s="672">
        <v>1</v>
      </c>
      <c r="H16" s="672">
        <v>5.31</v>
      </c>
      <c r="I16" s="238">
        <v>126900</v>
      </c>
      <c r="J16" s="238">
        <v>703573.5</v>
      </c>
      <c r="K16" s="672">
        <v>0.60696160107248875</v>
      </c>
      <c r="L16" s="672">
        <v>5.5443144208037829</v>
      </c>
      <c r="M16" s="238">
        <v>126900</v>
      </c>
      <c r="N16" s="238">
        <v>704295</v>
      </c>
      <c r="O16" s="683">
        <v>0.60758402757828212</v>
      </c>
      <c r="P16" s="714">
        <v>5.55</v>
      </c>
    </row>
    <row r="17" spans="1:16" ht="14.4" customHeight="1" x14ac:dyDescent="0.3">
      <c r="A17" s="681" t="s">
        <v>1050</v>
      </c>
      <c r="B17" s="672" t="s">
        <v>1058</v>
      </c>
      <c r="C17" s="672" t="s">
        <v>1071</v>
      </c>
      <c r="D17" s="672" t="s">
        <v>1072</v>
      </c>
      <c r="E17" s="238">
        <v>1263</v>
      </c>
      <c r="F17" s="238">
        <v>9131.49</v>
      </c>
      <c r="G17" s="672">
        <v>1</v>
      </c>
      <c r="H17" s="672">
        <v>7.2299999999999995</v>
      </c>
      <c r="I17" s="238">
        <v>2545</v>
      </c>
      <c r="J17" s="238">
        <v>19775.45</v>
      </c>
      <c r="K17" s="672">
        <v>2.1656323338250387</v>
      </c>
      <c r="L17" s="672">
        <v>7.7703143418467588</v>
      </c>
      <c r="M17" s="238">
        <v>2505</v>
      </c>
      <c r="N17" s="238">
        <v>20591.100000000002</v>
      </c>
      <c r="O17" s="683">
        <v>2.254955105902761</v>
      </c>
      <c r="P17" s="714">
        <v>8.2200000000000006</v>
      </c>
    </row>
    <row r="18" spans="1:16" ht="14.4" customHeight="1" x14ac:dyDescent="0.3">
      <c r="A18" s="681" t="s">
        <v>1050</v>
      </c>
      <c r="B18" s="672" t="s">
        <v>1058</v>
      </c>
      <c r="C18" s="672" t="s">
        <v>1073</v>
      </c>
      <c r="D18" s="672" t="s">
        <v>1074</v>
      </c>
      <c r="E18" s="238">
        <v>1035</v>
      </c>
      <c r="F18" s="238">
        <v>7545.1500000000005</v>
      </c>
      <c r="G18" s="672">
        <v>1</v>
      </c>
      <c r="H18" s="672">
        <v>7.2900000000000009</v>
      </c>
      <c r="I18" s="238">
        <v>840</v>
      </c>
      <c r="J18" s="238">
        <v>6472.4</v>
      </c>
      <c r="K18" s="672">
        <v>0.85782257476657175</v>
      </c>
      <c r="L18" s="672">
        <v>7.7052380952380952</v>
      </c>
      <c r="M18" s="238">
        <v>2009</v>
      </c>
      <c r="N18" s="238">
        <v>15851.01</v>
      </c>
      <c r="O18" s="683">
        <v>2.1008210572354424</v>
      </c>
      <c r="P18" s="714">
        <v>7.89</v>
      </c>
    </row>
    <row r="19" spans="1:16" ht="14.4" customHeight="1" x14ac:dyDescent="0.3">
      <c r="A19" s="681" t="s">
        <v>1050</v>
      </c>
      <c r="B19" s="672" t="s">
        <v>1058</v>
      </c>
      <c r="C19" s="672" t="s">
        <v>1075</v>
      </c>
      <c r="D19" s="672" t="s">
        <v>1076</v>
      </c>
      <c r="E19" s="238">
        <v>3029</v>
      </c>
      <c r="F19" s="238">
        <v>25655.63</v>
      </c>
      <c r="G19" s="672">
        <v>1</v>
      </c>
      <c r="H19" s="672">
        <v>8.4700000000000006</v>
      </c>
      <c r="I19" s="238">
        <v>2484</v>
      </c>
      <c r="J19" s="238">
        <v>22436.880000000001</v>
      </c>
      <c r="K19" s="672">
        <v>0.8745402081336533</v>
      </c>
      <c r="L19" s="672">
        <v>9.0325603864734312</v>
      </c>
      <c r="M19" s="238">
        <v>2659</v>
      </c>
      <c r="N19" s="238">
        <v>25047.78</v>
      </c>
      <c r="O19" s="683">
        <v>0.97630734462572144</v>
      </c>
      <c r="P19" s="714">
        <v>9.42</v>
      </c>
    </row>
    <row r="20" spans="1:16" ht="14.4" customHeight="1" x14ac:dyDescent="0.3">
      <c r="A20" s="681" t="s">
        <v>1050</v>
      </c>
      <c r="B20" s="672" t="s">
        <v>1058</v>
      </c>
      <c r="C20" s="672" t="s">
        <v>1077</v>
      </c>
      <c r="D20" s="672" t="s">
        <v>1078</v>
      </c>
      <c r="E20" s="238">
        <v>0.21</v>
      </c>
      <c r="F20" s="238">
        <v>9.2799999999999994</v>
      </c>
      <c r="G20" s="672">
        <v>1</v>
      </c>
      <c r="H20" s="672">
        <v>44.19047619047619</v>
      </c>
      <c r="I20" s="238"/>
      <c r="J20" s="238"/>
      <c r="K20" s="672"/>
      <c r="L20" s="672"/>
      <c r="M20" s="238">
        <v>0.38</v>
      </c>
      <c r="N20" s="238">
        <v>14.65</v>
      </c>
      <c r="O20" s="683">
        <v>1.5786637931034484</v>
      </c>
      <c r="P20" s="714">
        <v>38.55263157894737</v>
      </c>
    </row>
    <row r="21" spans="1:16" ht="14.4" customHeight="1" x14ac:dyDescent="0.3">
      <c r="A21" s="681" t="s">
        <v>1050</v>
      </c>
      <c r="B21" s="672" t="s">
        <v>1058</v>
      </c>
      <c r="C21" s="672" t="s">
        <v>1079</v>
      </c>
      <c r="D21" s="672" t="s">
        <v>1080</v>
      </c>
      <c r="E21" s="238"/>
      <c r="F21" s="238"/>
      <c r="G21" s="672"/>
      <c r="H21" s="672"/>
      <c r="I21" s="238">
        <v>3000</v>
      </c>
      <c r="J21" s="238">
        <v>19150</v>
      </c>
      <c r="K21" s="672"/>
      <c r="L21" s="672">
        <v>6.3833333333333337</v>
      </c>
      <c r="M21" s="238">
        <v>1000</v>
      </c>
      <c r="N21" s="238">
        <v>6480</v>
      </c>
      <c r="O21" s="683"/>
      <c r="P21" s="714">
        <v>6.48</v>
      </c>
    </row>
    <row r="22" spans="1:16" ht="14.4" customHeight="1" x14ac:dyDescent="0.3">
      <c r="A22" s="681" t="s">
        <v>1050</v>
      </c>
      <c r="B22" s="672" t="s">
        <v>1058</v>
      </c>
      <c r="C22" s="672" t="s">
        <v>1081</v>
      </c>
      <c r="D22" s="672" t="s">
        <v>1082</v>
      </c>
      <c r="E22" s="238">
        <v>10858</v>
      </c>
      <c r="F22" s="238">
        <v>172967.93999999997</v>
      </c>
      <c r="G22" s="672">
        <v>1</v>
      </c>
      <c r="H22" s="672">
        <v>15.929999999999998</v>
      </c>
      <c r="I22" s="238">
        <v>7740</v>
      </c>
      <c r="J22" s="238">
        <v>132197.22</v>
      </c>
      <c r="K22" s="672">
        <v>0.76428741650042209</v>
      </c>
      <c r="L22" s="672">
        <v>17.079744186046511</v>
      </c>
      <c r="M22" s="238">
        <v>9703</v>
      </c>
      <c r="N22" s="238">
        <v>185521.36</v>
      </c>
      <c r="O22" s="683">
        <v>1.0725765711264181</v>
      </c>
      <c r="P22" s="714">
        <v>19.119999999999997</v>
      </c>
    </row>
    <row r="23" spans="1:16" ht="14.4" customHeight="1" x14ac:dyDescent="0.3">
      <c r="A23" s="681" t="s">
        <v>1050</v>
      </c>
      <c r="B23" s="672" t="s">
        <v>1058</v>
      </c>
      <c r="C23" s="672" t="s">
        <v>1083</v>
      </c>
      <c r="D23" s="672" t="s">
        <v>1084</v>
      </c>
      <c r="E23" s="238">
        <v>10.3</v>
      </c>
      <c r="F23" s="238">
        <v>9123.6200000000008</v>
      </c>
      <c r="G23" s="672">
        <v>1</v>
      </c>
      <c r="H23" s="672">
        <v>885.78834951456315</v>
      </c>
      <c r="I23" s="238">
        <v>13.6</v>
      </c>
      <c r="J23" s="238">
        <v>15921.33</v>
      </c>
      <c r="K23" s="672">
        <v>1.7450671992038247</v>
      </c>
      <c r="L23" s="672">
        <v>1170.6860294117648</v>
      </c>
      <c r="M23" s="238">
        <v>9.1</v>
      </c>
      <c r="N23" s="238">
        <v>14051.56</v>
      </c>
      <c r="O23" s="683">
        <v>1.5401299045773496</v>
      </c>
      <c r="P23" s="714">
        <v>1544.1274725274725</v>
      </c>
    </row>
    <row r="24" spans="1:16" ht="14.4" customHeight="1" x14ac:dyDescent="0.3">
      <c r="A24" s="681" t="s">
        <v>1050</v>
      </c>
      <c r="B24" s="672" t="s">
        <v>1058</v>
      </c>
      <c r="C24" s="672" t="s">
        <v>1085</v>
      </c>
      <c r="D24" s="672" t="s">
        <v>1086</v>
      </c>
      <c r="E24" s="238">
        <v>36</v>
      </c>
      <c r="F24" s="238">
        <v>76863.239999999962</v>
      </c>
      <c r="G24" s="672">
        <v>1</v>
      </c>
      <c r="H24" s="672">
        <v>2135.0899999999988</v>
      </c>
      <c r="I24" s="238">
        <v>31</v>
      </c>
      <c r="J24" s="238">
        <v>70644.98</v>
      </c>
      <c r="K24" s="672">
        <v>0.91909968926628682</v>
      </c>
      <c r="L24" s="672">
        <v>2278.8703225806448</v>
      </c>
      <c r="M24" s="238">
        <v>32</v>
      </c>
      <c r="N24" s="238">
        <v>70251.199999999997</v>
      </c>
      <c r="O24" s="683">
        <v>0.91397656408967454</v>
      </c>
      <c r="P24" s="714">
        <v>2195.35</v>
      </c>
    </row>
    <row r="25" spans="1:16" ht="14.4" customHeight="1" x14ac:dyDescent="0.3">
      <c r="A25" s="681" t="s">
        <v>1050</v>
      </c>
      <c r="B25" s="672" t="s">
        <v>1058</v>
      </c>
      <c r="C25" s="672" t="s">
        <v>1087</v>
      </c>
      <c r="D25" s="672" t="s">
        <v>1088</v>
      </c>
      <c r="E25" s="238">
        <v>185</v>
      </c>
      <c r="F25" s="238">
        <v>32983.65</v>
      </c>
      <c r="G25" s="672">
        <v>1</v>
      </c>
      <c r="H25" s="672">
        <v>178.29000000000002</v>
      </c>
      <c r="I25" s="238"/>
      <c r="J25" s="238"/>
      <c r="K25" s="672"/>
      <c r="L25" s="672"/>
      <c r="M25" s="238"/>
      <c r="N25" s="238"/>
      <c r="O25" s="683"/>
      <c r="P25" s="714"/>
    </row>
    <row r="26" spans="1:16" ht="14.4" customHeight="1" x14ac:dyDescent="0.3">
      <c r="A26" s="681" t="s">
        <v>1050</v>
      </c>
      <c r="B26" s="672" t="s">
        <v>1058</v>
      </c>
      <c r="C26" s="672" t="s">
        <v>1089</v>
      </c>
      <c r="D26" s="672" t="s">
        <v>1090</v>
      </c>
      <c r="E26" s="238">
        <v>156140</v>
      </c>
      <c r="F26" s="238">
        <v>459051.60000000009</v>
      </c>
      <c r="G26" s="672">
        <v>1</v>
      </c>
      <c r="H26" s="672">
        <v>2.9400000000000004</v>
      </c>
      <c r="I26" s="238">
        <v>215163</v>
      </c>
      <c r="J26" s="238">
        <v>665756.71000000008</v>
      </c>
      <c r="K26" s="672">
        <v>1.4502873097490565</v>
      </c>
      <c r="L26" s="672">
        <v>3.0941970041317517</v>
      </c>
      <c r="M26" s="238">
        <v>187877</v>
      </c>
      <c r="N26" s="238">
        <v>612479.02000000014</v>
      </c>
      <c r="O26" s="683">
        <v>1.3342269583637221</v>
      </c>
      <c r="P26" s="714">
        <v>3.2600000000000007</v>
      </c>
    </row>
    <row r="27" spans="1:16" ht="14.4" customHeight="1" x14ac:dyDescent="0.3">
      <c r="A27" s="681" t="s">
        <v>1050</v>
      </c>
      <c r="B27" s="672" t="s">
        <v>1058</v>
      </c>
      <c r="C27" s="672" t="s">
        <v>1091</v>
      </c>
      <c r="D27" s="672" t="s">
        <v>1092</v>
      </c>
      <c r="E27" s="238">
        <v>208</v>
      </c>
      <c r="F27" s="238">
        <v>46953.919999999998</v>
      </c>
      <c r="G27" s="672">
        <v>1</v>
      </c>
      <c r="H27" s="672">
        <v>225.73999999999998</v>
      </c>
      <c r="I27" s="238">
        <v>1100</v>
      </c>
      <c r="J27" s="238">
        <v>257661.80000000002</v>
      </c>
      <c r="K27" s="672">
        <v>5.4875460877387878</v>
      </c>
      <c r="L27" s="672">
        <v>234.23800000000003</v>
      </c>
      <c r="M27" s="238">
        <v>220</v>
      </c>
      <c r="N27" s="238">
        <v>53528.2</v>
      </c>
      <c r="O27" s="683">
        <v>1.1400155727146957</v>
      </c>
      <c r="P27" s="714">
        <v>243.30999999999997</v>
      </c>
    </row>
    <row r="28" spans="1:16" ht="14.4" customHeight="1" x14ac:dyDescent="0.3">
      <c r="A28" s="681" t="s">
        <v>1050</v>
      </c>
      <c r="B28" s="672" t="s">
        <v>1058</v>
      </c>
      <c r="C28" s="672" t="s">
        <v>1093</v>
      </c>
      <c r="D28" s="672" t="s">
        <v>1094</v>
      </c>
      <c r="E28" s="238">
        <v>105904</v>
      </c>
      <c r="F28" s="238">
        <v>3295732.4799999995</v>
      </c>
      <c r="G28" s="672">
        <v>1</v>
      </c>
      <c r="H28" s="672">
        <v>31.119999999999994</v>
      </c>
      <c r="I28" s="238">
        <v>244537</v>
      </c>
      <c r="J28" s="238">
        <v>8089378.6900000041</v>
      </c>
      <c r="K28" s="672">
        <v>2.4545010067079249</v>
      </c>
      <c r="L28" s="672">
        <v>33.080387385140099</v>
      </c>
      <c r="M28" s="238">
        <v>234848</v>
      </c>
      <c r="N28" s="238">
        <v>7820438.3999999966</v>
      </c>
      <c r="O28" s="683">
        <v>2.3728984216583009</v>
      </c>
      <c r="P28" s="714">
        <v>33.299999999999983</v>
      </c>
    </row>
    <row r="29" spans="1:16" ht="14.4" customHeight="1" x14ac:dyDescent="0.3">
      <c r="A29" s="681" t="s">
        <v>1050</v>
      </c>
      <c r="B29" s="672" t="s">
        <v>1058</v>
      </c>
      <c r="C29" s="672" t="s">
        <v>1095</v>
      </c>
      <c r="D29" s="672" t="s">
        <v>1096</v>
      </c>
      <c r="E29" s="238">
        <v>1500</v>
      </c>
      <c r="F29" s="238">
        <v>8760</v>
      </c>
      <c r="G29" s="672">
        <v>1</v>
      </c>
      <c r="H29" s="672">
        <v>5.84</v>
      </c>
      <c r="I29" s="238"/>
      <c r="J29" s="238"/>
      <c r="K29" s="672"/>
      <c r="L29" s="672"/>
      <c r="M29" s="238"/>
      <c r="N29" s="238"/>
      <c r="O29" s="683"/>
      <c r="P29" s="714"/>
    </row>
    <row r="30" spans="1:16" ht="14.4" customHeight="1" x14ac:dyDescent="0.3">
      <c r="A30" s="681" t="s">
        <v>1050</v>
      </c>
      <c r="B30" s="672" t="s">
        <v>1058</v>
      </c>
      <c r="C30" s="672" t="s">
        <v>1097</v>
      </c>
      <c r="D30" s="672" t="s">
        <v>1098</v>
      </c>
      <c r="E30" s="238">
        <v>465</v>
      </c>
      <c r="F30" s="238">
        <v>68596.799999999988</v>
      </c>
      <c r="G30" s="672">
        <v>1</v>
      </c>
      <c r="H30" s="672">
        <v>147.51999999999998</v>
      </c>
      <c r="I30" s="238">
        <v>656</v>
      </c>
      <c r="J30" s="238">
        <v>103227.13999999998</v>
      </c>
      <c r="K30" s="672">
        <v>1.5048390012362094</v>
      </c>
      <c r="L30" s="672">
        <v>157.35844512195121</v>
      </c>
      <c r="M30" s="238">
        <v>555</v>
      </c>
      <c r="N30" s="238">
        <v>88034.1</v>
      </c>
      <c r="O30" s="683">
        <v>1.283355783360157</v>
      </c>
      <c r="P30" s="714">
        <v>158.62</v>
      </c>
    </row>
    <row r="31" spans="1:16" ht="14.4" customHeight="1" x14ac:dyDescent="0.3">
      <c r="A31" s="681" t="s">
        <v>1050</v>
      </c>
      <c r="B31" s="672" t="s">
        <v>1058</v>
      </c>
      <c r="C31" s="672" t="s">
        <v>1099</v>
      </c>
      <c r="D31" s="672" t="s">
        <v>1100</v>
      </c>
      <c r="E31" s="238">
        <v>540</v>
      </c>
      <c r="F31" s="238">
        <v>9574.2000000000007</v>
      </c>
      <c r="G31" s="672">
        <v>1</v>
      </c>
      <c r="H31" s="672">
        <v>17.73</v>
      </c>
      <c r="I31" s="238">
        <v>1650</v>
      </c>
      <c r="J31" s="238">
        <v>31339.5</v>
      </c>
      <c r="K31" s="672">
        <v>3.2733283198596226</v>
      </c>
      <c r="L31" s="672">
        <v>18.993636363636362</v>
      </c>
      <c r="M31" s="238">
        <v>1970</v>
      </c>
      <c r="N31" s="238">
        <v>38099.800000000003</v>
      </c>
      <c r="O31" s="683">
        <v>3.9794238683127574</v>
      </c>
      <c r="P31" s="714">
        <v>19.34</v>
      </c>
    </row>
    <row r="32" spans="1:16" ht="14.4" customHeight="1" x14ac:dyDescent="0.3">
      <c r="A32" s="681" t="s">
        <v>1050</v>
      </c>
      <c r="B32" s="672" t="s">
        <v>1058</v>
      </c>
      <c r="C32" s="672" t="s">
        <v>1101</v>
      </c>
      <c r="D32" s="672" t="s">
        <v>1047</v>
      </c>
      <c r="E32" s="238">
        <v>5389</v>
      </c>
      <c r="F32" s="238">
        <v>67362.5</v>
      </c>
      <c r="G32" s="672">
        <v>1</v>
      </c>
      <c r="H32" s="672">
        <v>12.5</v>
      </c>
      <c r="I32" s="238"/>
      <c r="J32" s="238"/>
      <c r="K32" s="672"/>
      <c r="L32" s="672"/>
      <c r="M32" s="238"/>
      <c r="N32" s="238"/>
      <c r="O32" s="683"/>
      <c r="P32" s="714"/>
    </row>
    <row r="33" spans="1:16" ht="14.4" customHeight="1" x14ac:dyDescent="0.3">
      <c r="A33" s="681" t="s">
        <v>1050</v>
      </c>
      <c r="B33" s="672" t="s">
        <v>1058</v>
      </c>
      <c r="C33" s="672" t="s">
        <v>1102</v>
      </c>
      <c r="D33" s="672" t="s">
        <v>1103</v>
      </c>
      <c r="E33" s="238"/>
      <c r="F33" s="238"/>
      <c r="G33" s="672"/>
      <c r="H33" s="672"/>
      <c r="I33" s="238"/>
      <c r="J33" s="238"/>
      <c r="K33" s="672"/>
      <c r="L33" s="672"/>
      <c r="M33" s="238">
        <v>1193</v>
      </c>
      <c r="N33" s="238">
        <v>23699.200000000001</v>
      </c>
      <c r="O33" s="683"/>
      <c r="P33" s="714">
        <v>19.865213746856664</v>
      </c>
    </row>
    <row r="34" spans="1:16" ht="14.4" customHeight="1" x14ac:dyDescent="0.3">
      <c r="A34" s="681" t="s">
        <v>1050</v>
      </c>
      <c r="B34" s="672" t="s">
        <v>1058</v>
      </c>
      <c r="C34" s="672" t="s">
        <v>1104</v>
      </c>
      <c r="D34" s="672" t="s">
        <v>1105</v>
      </c>
      <c r="E34" s="238"/>
      <c r="F34" s="238"/>
      <c r="G34" s="672"/>
      <c r="H34" s="672"/>
      <c r="I34" s="238"/>
      <c r="J34" s="238"/>
      <c r="K34" s="672"/>
      <c r="L34" s="672"/>
      <c r="M34" s="238">
        <v>5</v>
      </c>
      <c r="N34" s="238">
        <v>286.39999999999998</v>
      </c>
      <c r="O34" s="683"/>
      <c r="P34" s="714">
        <v>57.279999999999994</v>
      </c>
    </row>
    <row r="35" spans="1:16" ht="14.4" customHeight="1" x14ac:dyDescent="0.3">
      <c r="A35" s="681" t="s">
        <v>1050</v>
      </c>
      <c r="B35" s="672" t="s">
        <v>1058</v>
      </c>
      <c r="C35" s="672" t="s">
        <v>1106</v>
      </c>
      <c r="D35" s="672" t="s">
        <v>1107</v>
      </c>
      <c r="E35" s="238"/>
      <c r="F35" s="238"/>
      <c r="G35" s="672"/>
      <c r="H35" s="672"/>
      <c r="I35" s="238"/>
      <c r="J35" s="238"/>
      <c r="K35" s="672"/>
      <c r="L35" s="672"/>
      <c r="M35" s="238">
        <v>900</v>
      </c>
      <c r="N35" s="238">
        <v>52938</v>
      </c>
      <c r="O35" s="683"/>
      <c r="P35" s="714">
        <v>58.82</v>
      </c>
    </row>
    <row r="36" spans="1:16" ht="14.4" customHeight="1" x14ac:dyDescent="0.3">
      <c r="A36" s="681" t="s">
        <v>1050</v>
      </c>
      <c r="B36" s="672" t="s">
        <v>1058</v>
      </c>
      <c r="C36" s="672" t="s">
        <v>1108</v>
      </c>
      <c r="D36" s="672" t="s">
        <v>1109</v>
      </c>
      <c r="E36" s="238"/>
      <c r="F36" s="238"/>
      <c r="G36" s="672"/>
      <c r="H36" s="672"/>
      <c r="I36" s="238"/>
      <c r="J36" s="238"/>
      <c r="K36" s="672"/>
      <c r="L36" s="672"/>
      <c r="M36" s="238">
        <v>1</v>
      </c>
      <c r="N36" s="238">
        <v>53.91</v>
      </c>
      <c r="O36" s="683"/>
      <c r="P36" s="714">
        <v>53.91</v>
      </c>
    </row>
    <row r="37" spans="1:16" ht="14.4" customHeight="1" x14ac:dyDescent="0.3">
      <c r="A37" s="681" t="s">
        <v>1050</v>
      </c>
      <c r="B37" s="672" t="s">
        <v>1110</v>
      </c>
      <c r="C37" s="672" t="s">
        <v>1111</v>
      </c>
      <c r="D37" s="672" t="s">
        <v>1112</v>
      </c>
      <c r="E37" s="238"/>
      <c r="F37" s="238"/>
      <c r="G37" s="672"/>
      <c r="H37" s="672"/>
      <c r="I37" s="238"/>
      <c r="J37" s="238"/>
      <c r="K37" s="672"/>
      <c r="L37" s="672"/>
      <c r="M37" s="238">
        <v>289</v>
      </c>
      <c r="N37" s="238">
        <v>255568.48000000051</v>
      </c>
      <c r="O37" s="683"/>
      <c r="P37" s="714">
        <v>884.32000000000176</v>
      </c>
    </row>
    <row r="38" spans="1:16" ht="14.4" customHeight="1" x14ac:dyDescent="0.3">
      <c r="A38" s="681" t="s">
        <v>1050</v>
      </c>
      <c r="B38" s="672" t="s">
        <v>1113</v>
      </c>
      <c r="C38" s="672" t="s">
        <v>1114</v>
      </c>
      <c r="D38" s="672" t="s">
        <v>1115</v>
      </c>
      <c r="E38" s="238">
        <v>40</v>
      </c>
      <c r="F38" s="238">
        <v>1360</v>
      </c>
      <c r="G38" s="672">
        <v>1</v>
      </c>
      <c r="H38" s="672">
        <v>34</v>
      </c>
      <c r="I38" s="238">
        <v>78</v>
      </c>
      <c r="J38" s="238">
        <v>2652</v>
      </c>
      <c r="K38" s="672">
        <v>1.95</v>
      </c>
      <c r="L38" s="672">
        <v>34</v>
      </c>
      <c r="M38" s="238">
        <v>86</v>
      </c>
      <c r="N38" s="238">
        <v>2924</v>
      </c>
      <c r="O38" s="683">
        <v>2.15</v>
      </c>
      <c r="P38" s="714">
        <v>34</v>
      </c>
    </row>
    <row r="39" spans="1:16" ht="14.4" customHeight="1" x14ac:dyDescent="0.3">
      <c r="A39" s="681" t="s">
        <v>1050</v>
      </c>
      <c r="B39" s="672" t="s">
        <v>1113</v>
      </c>
      <c r="C39" s="672" t="s">
        <v>1116</v>
      </c>
      <c r="D39" s="672" t="s">
        <v>1117</v>
      </c>
      <c r="E39" s="238">
        <v>34</v>
      </c>
      <c r="F39" s="238">
        <v>14246</v>
      </c>
      <c r="G39" s="672">
        <v>1</v>
      </c>
      <c r="H39" s="672">
        <v>419</v>
      </c>
      <c r="I39" s="238">
        <v>32</v>
      </c>
      <c r="J39" s="238">
        <v>13440</v>
      </c>
      <c r="K39" s="672">
        <v>0.94342271514811171</v>
      </c>
      <c r="L39" s="672">
        <v>420</v>
      </c>
      <c r="M39" s="238">
        <v>31</v>
      </c>
      <c r="N39" s="238">
        <v>13020</v>
      </c>
      <c r="O39" s="683">
        <v>0.91394075529973329</v>
      </c>
      <c r="P39" s="714">
        <v>420</v>
      </c>
    </row>
    <row r="40" spans="1:16" ht="14.4" customHeight="1" x14ac:dyDescent="0.3">
      <c r="A40" s="681" t="s">
        <v>1050</v>
      </c>
      <c r="B40" s="672" t="s">
        <v>1113</v>
      </c>
      <c r="C40" s="672" t="s">
        <v>1118</v>
      </c>
      <c r="D40" s="672" t="s">
        <v>1119</v>
      </c>
      <c r="E40" s="238">
        <v>150</v>
      </c>
      <c r="F40" s="238">
        <v>24300</v>
      </c>
      <c r="G40" s="672">
        <v>1</v>
      </c>
      <c r="H40" s="672">
        <v>162</v>
      </c>
      <c r="I40" s="238">
        <v>322</v>
      </c>
      <c r="J40" s="238">
        <v>52486</v>
      </c>
      <c r="K40" s="672">
        <v>2.1599176954732511</v>
      </c>
      <c r="L40" s="672">
        <v>163</v>
      </c>
      <c r="M40" s="238">
        <v>305</v>
      </c>
      <c r="N40" s="238">
        <v>49715</v>
      </c>
      <c r="O40" s="683">
        <v>2.0458847736625514</v>
      </c>
      <c r="P40" s="714">
        <v>163</v>
      </c>
    </row>
    <row r="41" spans="1:16" ht="14.4" customHeight="1" x14ac:dyDescent="0.3">
      <c r="A41" s="681" t="s">
        <v>1050</v>
      </c>
      <c r="B41" s="672" t="s">
        <v>1113</v>
      </c>
      <c r="C41" s="672" t="s">
        <v>1120</v>
      </c>
      <c r="D41" s="672" t="s">
        <v>1121</v>
      </c>
      <c r="E41" s="238">
        <v>2</v>
      </c>
      <c r="F41" s="238">
        <v>600</v>
      </c>
      <c r="G41" s="672">
        <v>1</v>
      </c>
      <c r="H41" s="672">
        <v>300</v>
      </c>
      <c r="I41" s="238"/>
      <c r="J41" s="238"/>
      <c r="K41" s="672"/>
      <c r="L41" s="672"/>
      <c r="M41" s="238">
        <v>5</v>
      </c>
      <c r="N41" s="238">
        <v>1505</v>
      </c>
      <c r="O41" s="683">
        <v>2.5083333333333333</v>
      </c>
      <c r="P41" s="714">
        <v>301</v>
      </c>
    </row>
    <row r="42" spans="1:16" ht="14.4" customHeight="1" x14ac:dyDescent="0.3">
      <c r="A42" s="681" t="s">
        <v>1050</v>
      </c>
      <c r="B42" s="672" t="s">
        <v>1113</v>
      </c>
      <c r="C42" s="672" t="s">
        <v>1122</v>
      </c>
      <c r="D42" s="672" t="s">
        <v>1123</v>
      </c>
      <c r="E42" s="238"/>
      <c r="F42" s="238"/>
      <c r="G42" s="672"/>
      <c r="H42" s="672"/>
      <c r="I42" s="238"/>
      <c r="J42" s="238"/>
      <c r="K42" s="672"/>
      <c r="L42" s="672"/>
      <c r="M42" s="238">
        <v>1</v>
      </c>
      <c r="N42" s="238">
        <v>1376</v>
      </c>
      <c r="O42" s="683"/>
      <c r="P42" s="714">
        <v>1376</v>
      </c>
    </row>
    <row r="43" spans="1:16" ht="14.4" customHeight="1" x14ac:dyDescent="0.3">
      <c r="A43" s="681" t="s">
        <v>1050</v>
      </c>
      <c r="B43" s="672" t="s">
        <v>1113</v>
      </c>
      <c r="C43" s="672" t="s">
        <v>674</v>
      </c>
      <c r="D43" s="672" t="s">
        <v>1124</v>
      </c>
      <c r="E43" s="238"/>
      <c r="F43" s="238"/>
      <c r="G43" s="672"/>
      <c r="H43" s="672"/>
      <c r="I43" s="238">
        <v>3</v>
      </c>
      <c r="J43" s="238">
        <v>4992</v>
      </c>
      <c r="K43" s="672"/>
      <c r="L43" s="672">
        <v>1664</v>
      </c>
      <c r="M43" s="238">
        <v>1</v>
      </c>
      <c r="N43" s="238">
        <v>1664</v>
      </c>
      <c r="O43" s="683"/>
      <c r="P43" s="714">
        <v>1664</v>
      </c>
    </row>
    <row r="44" spans="1:16" ht="14.4" customHeight="1" x14ac:dyDescent="0.3">
      <c r="A44" s="681" t="s">
        <v>1050</v>
      </c>
      <c r="B44" s="672" t="s">
        <v>1113</v>
      </c>
      <c r="C44" s="672" t="s">
        <v>1125</v>
      </c>
      <c r="D44" s="672" t="s">
        <v>1126</v>
      </c>
      <c r="E44" s="238">
        <v>9</v>
      </c>
      <c r="F44" s="238">
        <v>17649</v>
      </c>
      <c r="G44" s="672">
        <v>1</v>
      </c>
      <c r="H44" s="672">
        <v>1961</v>
      </c>
      <c r="I44" s="238">
        <v>19</v>
      </c>
      <c r="J44" s="238">
        <v>37335</v>
      </c>
      <c r="K44" s="672">
        <v>2.1154173040965496</v>
      </c>
      <c r="L44" s="672">
        <v>1965</v>
      </c>
      <c r="M44" s="238">
        <v>20</v>
      </c>
      <c r="N44" s="238">
        <v>39300</v>
      </c>
      <c r="O44" s="683">
        <v>2.2267550569437362</v>
      </c>
      <c r="P44" s="714">
        <v>1965</v>
      </c>
    </row>
    <row r="45" spans="1:16" ht="14.4" customHeight="1" x14ac:dyDescent="0.3">
      <c r="A45" s="681" t="s">
        <v>1050</v>
      </c>
      <c r="B45" s="672" t="s">
        <v>1113</v>
      </c>
      <c r="C45" s="672" t="s">
        <v>1127</v>
      </c>
      <c r="D45" s="672" t="s">
        <v>1128</v>
      </c>
      <c r="E45" s="238">
        <v>4</v>
      </c>
      <c r="F45" s="238">
        <v>5208</v>
      </c>
      <c r="G45" s="672">
        <v>1</v>
      </c>
      <c r="H45" s="672">
        <v>1302</v>
      </c>
      <c r="I45" s="238"/>
      <c r="J45" s="238"/>
      <c r="K45" s="672"/>
      <c r="L45" s="672"/>
      <c r="M45" s="238">
        <v>1</v>
      </c>
      <c r="N45" s="238">
        <v>1306</v>
      </c>
      <c r="O45" s="683">
        <v>0.25076804915514594</v>
      </c>
      <c r="P45" s="714">
        <v>1306</v>
      </c>
    </row>
    <row r="46" spans="1:16" ht="14.4" customHeight="1" x14ac:dyDescent="0.3">
      <c r="A46" s="681" t="s">
        <v>1050</v>
      </c>
      <c r="B46" s="672" t="s">
        <v>1113</v>
      </c>
      <c r="C46" s="672" t="s">
        <v>1129</v>
      </c>
      <c r="D46" s="672" t="s">
        <v>1130</v>
      </c>
      <c r="E46" s="238">
        <v>15</v>
      </c>
      <c r="F46" s="238">
        <v>20700</v>
      </c>
      <c r="G46" s="672">
        <v>1</v>
      </c>
      <c r="H46" s="672">
        <v>1380</v>
      </c>
      <c r="I46" s="238">
        <v>22</v>
      </c>
      <c r="J46" s="238">
        <v>30426</v>
      </c>
      <c r="K46" s="672">
        <v>1.469855072463768</v>
      </c>
      <c r="L46" s="672">
        <v>1383</v>
      </c>
      <c r="M46" s="238">
        <v>13</v>
      </c>
      <c r="N46" s="238">
        <v>17979</v>
      </c>
      <c r="O46" s="683">
        <v>0.86855072463768113</v>
      </c>
      <c r="P46" s="714">
        <v>1383</v>
      </c>
    </row>
    <row r="47" spans="1:16" ht="14.4" customHeight="1" x14ac:dyDescent="0.3">
      <c r="A47" s="681" t="s">
        <v>1050</v>
      </c>
      <c r="B47" s="672" t="s">
        <v>1113</v>
      </c>
      <c r="C47" s="672" t="s">
        <v>1131</v>
      </c>
      <c r="D47" s="672" t="s">
        <v>1132</v>
      </c>
      <c r="E47" s="238">
        <v>43</v>
      </c>
      <c r="F47" s="238">
        <v>78948</v>
      </c>
      <c r="G47" s="672">
        <v>1</v>
      </c>
      <c r="H47" s="672">
        <v>1836</v>
      </c>
      <c r="I47" s="238">
        <v>39</v>
      </c>
      <c r="J47" s="238">
        <v>71760</v>
      </c>
      <c r="K47" s="672">
        <v>0.90895272837817298</v>
      </c>
      <c r="L47" s="672">
        <v>1840</v>
      </c>
      <c r="M47" s="238">
        <v>36</v>
      </c>
      <c r="N47" s="238">
        <v>66240</v>
      </c>
      <c r="O47" s="683">
        <v>0.83903328773369812</v>
      </c>
      <c r="P47" s="714">
        <v>1840</v>
      </c>
    </row>
    <row r="48" spans="1:16" ht="14.4" customHeight="1" x14ac:dyDescent="0.3">
      <c r="A48" s="681" t="s">
        <v>1050</v>
      </c>
      <c r="B48" s="672" t="s">
        <v>1113</v>
      </c>
      <c r="C48" s="672" t="s">
        <v>1133</v>
      </c>
      <c r="D48" s="672" t="s">
        <v>1134</v>
      </c>
      <c r="E48" s="238">
        <v>17</v>
      </c>
      <c r="F48" s="238">
        <v>19822</v>
      </c>
      <c r="G48" s="672">
        <v>1</v>
      </c>
      <c r="H48" s="672">
        <v>1166</v>
      </c>
      <c r="I48" s="238">
        <v>9</v>
      </c>
      <c r="J48" s="238">
        <v>10521</v>
      </c>
      <c r="K48" s="672">
        <v>0.53077388759963673</v>
      </c>
      <c r="L48" s="672">
        <v>1169</v>
      </c>
      <c r="M48" s="238">
        <v>8</v>
      </c>
      <c r="N48" s="238">
        <v>9352</v>
      </c>
      <c r="O48" s="683">
        <v>0.47179901119967715</v>
      </c>
      <c r="P48" s="714">
        <v>1169</v>
      </c>
    </row>
    <row r="49" spans="1:16" ht="14.4" customHeight="1" x14ac:dyDescent="0.3">
      <c r="A49" s="681" t="s">
        <v>1050</v>
      </c>
      <c r="B49" s="672" t="s">
        <v>1113</v>
      </c>
      <c r="C49" s="672" t="s">
        <v>1135</v>
      </c>
      <c r="D49" s="672" t="s">
        <v>1136</v>
      </c>
      <c r="E49" s="238">
        <v>2</v>
      </c>
      <c r="F49" s="238">
        <v>3100</v>
      </c>
      <c r="G49" s="672">
        <v>1</v>
      </c>
      <c r="H49" s="672">
        <v>1550</v>
      </c>
      <c r="I49" s="238">
        <v>2</v>
      </c>
      <c r="J49" s="238">
        <v>3106</v>
      </c>
      <c r="K49" s="672">
        <v>1.0019354838709678</v>
      </c>
      <c r="L49" s="672">
        <v>1553</v>
      </c>
      <c r="M49" s="238"/>
      <c r="N49" s="238"/>
      <c r="O49" s="683"/>
      <c r="P49" s="714"/>
    </row>
    <row r="50" spans="1:16" ht="14.4" customHeight="1" x14ac:dyDescent="0.3">
      <c r="A50" s="681" t="s">
        <v>1050</v>
      </c>
      <c r="B50" s="672" t="s">
        <v>1113</v>
      </c>
      <c r="C50" s="672" t="s">
        <v>1137</v>
      </c>
      <c r="D50" s="672" t="s">
        <v>1138</v>
      </c>
      <c r="E50" s="238">
        <v>36</v>
      </c>
      <c r="F50" s="238">
        <v>23508</v>
      </c>
      <c r="G50" s="672">
        <v>1</v>
      </c>
      <c r="H50" s="672">
        <v>653</v>
      </c>
      <c r="I50" s="238">
        <v>31</v>
      </c>
      <c r="J50" s="238">
        <v>20274</v>
      </c>
      <c r="K50" s="672">
        <v>0.86242981112812656</v>
      </c>
      <c r="L50" s="672">
        <v>654</v>
      </c>
      <c r="M50" s="238">
        <v>32</v>
      </c>
      <c r="N50" s="238">
        <v>20928</v>
      </c>
      <c r="O50" s="683">
        <v>0.89025012761613065</v>
      </c>
      <c r="P50" s="714">
        <v>654</v>
      </c>
    </row>
    <row r="51" spans="1:16" ht="14.4" customHeight="1" x14ac:dyDescent="0.3">
      <c r="A51" s="681" t="s">
        <v>1050</v>
      </c>
      <c r="B51" s="672" t="s">
        <v>1113</v>
      </c>
      <c r="C51" s="672" t="s">
        <v>1139</v>
      </c>
      <c r="D51" s="672" t="s">
        <v>1140</v>
      </c>
      <c r="E51" s="238">
        <v>5</v>
      </c>
      <c r="F51" s="238">
        <v>3420</v>
      </c>
      <c r="G51" s="672">
        <v>1</v>
      </c>
      <c r="H51" s="672">
        <v>684</v>
      </c>
      <c r="I51" s="238">
        <v>16</v>
      </c>
      <c r="J51" s="238">
        <v>10960</v>
      </c>
      <c r="K51" s="672">
        <v>3.2046783625730995</v>
      </c>
      <c r="L51" s="672">
        <v>685</v>
      </c>
      <c r="M51" s="238">
        <v>16</v>
      </c>
      <c r="N51" s="238">
        <v>10960</v>
      </c>
      <c r="O51" s="683">
        <v>3.2046783625730995</v>
      </c>
      <c r="P51" s="714">
        <v>685</v>
      </c>
    </row>
    <row r="52" spans="1:16" ht="14.4" customHeight="1" x14ac:dyDescent="0.3">
      <c r="A52" s="681" t="s">
        <v>1050</v>
      </c>
      <c r="B52" s="672" t="s">
        <v>1113</v>
      </c>
      <c r="C52" s="672" t="s">
        <v>1141</v>
      </c>
      <c r="D52" s="672" t="s">
        <v>1142</v>
      </c>
      <c r="E52" s="238">
        <v>792</v>
      </c>
      <c r="F52" s="238">
        <v>1386792</v>
      </c>
      <c r="G52" s="672">
        <v>1</v>
      </c>
      <c r="H52" s="672">
        <v>1751</v>
      </c>
      <c r="I52" s="238">
        <v>915</v>
      </c>
      <c r="J52" s="238">
        <v>1604910</v>
      </c>
      <c r="K52" s="672">
        <v>1.1572824187044632</v>
      </c>
      <c r="L52" s="672">
        <v>1754</v>
      </c>
      <c r="M52" s="238">
        <v>851</v>
      </c>
      <c r="N52" s="238">
        <v>1492654</v>
      </c>
      <c r="O52" s="683">
        <v>1.0763358888715828</v>
      </c>
      <c r="P52" s="714">
        <v>1754</v>
      </c>
    </row>
    <row r="53" spans="1:16" ht="14.4" customHeight="1" x14ac:dyDescent="0.3">
      <c r="A53" s="681" t="s">
        <v>1050</v>
      </c>
      <c r="B53" s="672" t="s">
        <v>1113</v>
      </c>
      <c r="C53" s="672" t="s">
        <v>1143</v>
      </c>
      <c r="D53" s="672" t="s">
        <v>1144</v>
      </c>
      <c r="E53" s="238">
        <v>267</v>
      </c>
      <c r="F53" s="238">
        <v>109203</v>
      </c>
      <c r="G53" s="672">
        <v>1</v>
      </c>
      <c r="H53" s="672">
        <v>409</v>
      </c>
      <c r="I53" s="238">
        <v>245</v>
      </c>
      <c r="J53" s="238">
        <v>100450</v>
      </c>
      <c r="K53" s="672">
        <v>0.91984652436288383</v>
      </c>
      <c r="L53" s="672">
        <v>410</v>
      </c>
      <c r="M53" s="238">
        <v>240</v>
      </c>
      <c r="N53" s="238">
        <v>98400</v>
      </c>
      <c r="O53" s="683">
        <v>0.90107414631466165</v>
      </c>
      <c r="P53" s="714">
        <v>410</v>
      </c>
    </row>
    <row r="54" spans="1:16" ht="14.4" customHeight="1" x14ac:dyDescent="0.3">
      <c r="A54" s="681" t="s">
        <v>1050</v>
      </c>
      <c r="B54" s="672" t="s">
        <v>1113</v>
      </c>
      <c r="C54" s="672" t="s">
        <v>1145</v>
      </c>
      <c r="D54" s="672" t="s">
        <v>1146</v>
      </c>
      <c r="E54" s="238"/>
      <c r="F54" s="238"/>
      <c r="G54" s="672"/>
      <c r="H54" s="672"/>
      <c r="I54" s="238"/>
      <c r="J54" s="238"/>
      <c r="K54" s="672"/>
      <c r="L54" s="672"/>
      <c r="M54" s="238">
        <v>2</v>
      </c>
      <c r="N54" s="238">
        <v>6874</v>
      </c>
      <c r="O54" s="683"/>
      <c r="P54" s="714">
        <v>3437</v>
      </c>
    </row>
    <row r="55" spans="1:16" ht="14.4" customHeight="1" x14ac:dyDescent="0.3">
      <c r="A55" s="681" t="s">
        <v>1050</v>
      </c>
      <c r="B55" s="672" t="s">
        <v>1113</v>
      </c>
      <c r="C55" s="672" t="s">
        <v>1147</v>
      </c>
      <c r="D55" s="672" t="s">
        <v>1148</v>
      </c>
      <c r="E55" s="238"/>
      <c r="F55" s="238"/>
      <c r="G55" s="672"/>
      <c r="H55" s="672"/>
      <c r="I55" s="238">
        <v>572</v>
      </c>
      <c r="J55" s="238">
        <v>8195616</v>
      </c>
      <c r="K55" s="672"/>
      <c r="L55" s="672">
        <v>14328</v>
      </c>
      <c r="M55" s="238">
        <v>555</v>
      </c>
      <c r="N55" s="238">
        <v>7952040</v>
      </c>
      <c r="O55" s="683"/>
      <c r="P55" s="714">
        <v>14328</v>
      </c>
    </row>
    <row r="56" spans="1:16" ht="14.4" customHeight="1" x14ac:dyDescent="0.3">
      <c r="A56" s="681" t="s">
        <v>1050</v>
      </c>
      <c r="B56" s="672" t="s">
        <v>1113</v>
      </c>
      <c r="C56" s="672" t="s">
        <v>1149</v>
      </c>
      <c r="D56" s="672" t="s">
        <v>1150</v>
      </c>
      <c r="E56" s="238"/>
      <c r="F56" s="238"/>
      <c r="G56" s="672"/>
      <c r="H56" s="672"/>
      <c r="I56" s="238">
        <v>1</v>
      </c>
      <c r="J56" s="238">
        <v>0</v>
      </c>
      <c r="K56" s="672"/>
      <c r="L56" s="672">
        <v>0</v>
      </c>
      <c r="M56" s="238">
        <v>2</v>
      </c>
      <c r="N56" s="238">
        <v>0</v>
      </c>
      <c r="O56" s="683"/>
      <c r="P56" s="714">
        <v>0</v>
      </c>
    </row>
    <row r="57" spans="1:16" ht="14.4" customHeight="1" x14ac:dyDescent="0.3">
      <c r="A57" s="681" t="s">
        <v>1050</v>
      </c>
      <c r="B57" s="672" t="s">
        <v>1113</v>
      </c>
      <c r="C57" s="672" t="s">
        <v>1151</v>
      </c>
      <c r="D57" s="672" t="s">
        <v>1152</v>
      </c>
      <c r="E57" s="238">
        <v>149</v>
      </c>
      <c r="F57" s="238">
        <v>0</v>
      </c>
      <c r="G57" s="672"/>
      <c r="H57" s="672">
        <v>0</v>
      </c>
      <c r="I57" s="238">
        <v>316</v>
      </c>
      <c r="J57" s="238">
        <v>0</v>
      </c>
      <c r="K57" s="672"/>
      <c r="L57" s="672">
        <v>0</v>
      </c>
      <c r="M57" s="238">
        <v>298</v>
      </c>
      <c r="N57" s="238">
        <v>0</v>
      </c>
      <c r="O57" s="683"/>
      <c r="P57" s="714">
        <v>0</v>
      </c>
    </row>
    <row r="58" spans="1:16" ht="14.4" customHeight="1" x14ac:dyDescent="0.3">
      <c r="A58" s="681" t="s">
        <v>1050</v>
      </c>
      <c r="B58" s="672" t="s">
        <v>1113</v>
      </c>
      <c r="C58" s="672" t="s">
        <v>1153</v>
      </c>
      <c r="D58" s="672" t="s">
        <v>1047</v>
      </c>
      <c r="E58" s="238">
        <v>522</v>
      </c>
      <c r="F58" s="238">
        <v>7390476</v>
      </c>
      <c r="G58" s="672">
        <v>1</v>
      </c>
      <c r="H58" s="672">
        <v>14158</v>
      </c>
      <c r="I58" s="238"/>
      <c r="J58" s="238"/>
      <c r="K58" s="672"/>
      <c r="L58" s="672"/>
      <c r="M58" s="238"/>
      <c r="N58" s="238"/>
      <c r="O58" s="683"/>
      <c r="P58" s="714"/>
    </row>
    <row r="59" spans="1:16" ht="14.4" customHeight="1" x14ac:dyDescent="0.3">
      <c r="A59" s="681" t="s">
        <v>1050</v>
      </c>
      <c r="B59" s="672" t="s">
        <v>1113</v>
      </c>
      <c r="C59" s="672" t="s">
        <v>1154</v>
      </c>
      <c r="D59" s="672" t="s">
        <v>1155</v>
      </c>
      <c r="E59" s="238">
        <v>121</v>
      </c>
      <c r="F59" s="238">
        <v>69938</v>
      </c>
      <c r="G59" s="672">
        <v>1</v>
      </c>
      <c r="H59" s="672">
        <v>578</v>
      </c>
      <c r="I59" s="238">
        <v>118</v>
      </c>
      <c r="J59" s="238">
        <v>68440</v>
      </c>
      <c r="K59" s="672">
        <v>0.97858102891132148</v>
      </c>
      <c r="L59" s="672">
        <v>580</v>
      </c>
      <c r="M59" s="238">
        <v>109</v>
      </c>
      <c r="N59" s="238">
        <v>63220</v>
      </c>
      <c r="O59" s="683">
        <v>0.90394349280791553</v>
      </c>
      <c r="P59" s="714">
        <v>580</v>
      </c>
    </row>
    <row r="60" spans="1:16" ht="14.4" customHeight="1" x14ac:dyDescent="0.3">
      <c r="A60" s="681" t="s">
        <v>1050</v>
      </c>
      <c r="B60" s="672" t="s">
        <v>1113</v>
      </c>
      <c r="C60" s="672" t="s">
        <v>1156</v>
      </c>
      <c r="D60" s="672" t="s">
        <v>1157</v>
      </c>
      <c r="E60" s="238">
        <v>14</v>
      </c>
      <c r="F60" s="238">
        <v>5838</v>
      </c>
      <c r="G60" s="672">
        <v>1</v>
      </c>
      <c r="H60" s="672">
        <v>417</v>
      </c>
      <c r="I60" s="238">
        <v>11</v>
      </c>
      <c r="J60" s="238">
        <v>4598</v>
      </c>
      <c r="K60" s="672">
        <v>0.78759849263446391</v>
      </c>
      <c r="L60" s="672">
        <v>418</v>
      </c>
      <c r="M60" s="238">
        <v>3</v>
      </c>
      <c r="N60" s="238">
        <v>1254</v>
      </c>
      <c r="O60" s="683">
        <v>0.21479958890030831</v>
      </c>
      <c r="P60" s="714">
        <v>418</v>
      </c>
    </row>
    <row r="61" spans="1:16" ht="14.4" customHeight="1" x14ac:dyDescent="0.3">
      <c r="A61" s="681" t="s">
        <v>1050</v>
      </c>
      <c r="B61" s="672" t="s">
        <v>1113</v>
      </c>
      <c r="C61" s="672" t="s">
        <v>1158</v>
      </c>
      <c r="D61" s="672" t="s">
        <v>1159</v>
      </c>
      <c r="E61" s="238">
        <v>230</v>
      </c>
      <c r="F61" s="238">
        <v>295090</v>
      </c>
      <c r="G61" s="672">
        <v>1</v>
      </c>
      <c r="H61" s="672">
        <v>1283</v>
      </c>
      <c r="I61" s="238">
        <v>316</v>
      </c>
      <c r="J61" s="238">
        <v>406376</v>
      </c>
      <c r="K61" s="672">
        <v>1.3771256226913824</v>
      </c>
      <c r="L61" s="672">
        <v>1286</v>
      </c>
      <c r="M61" s="238">
        <v>275</v>
      </c>
      <c r="N61" s="238">
        <v>353650</v>
      </c>
      <c r="O61" s="683">
        <v>1.1984479311396523</v>
      </c>
      <c r="P61" s="714">
        <v>1286</v>
      </c>
    </row>
    <row r="62" spans="1:16" ht="14.4" customHeight="1" x14ac:dyDescent="0.3">
      <c r="A62" s="681" t="s">
        <v>1050</v>
      </c>
      <c r="B62" s="672" t="s">
        <v>1113</v>
      </c>
      <c r="C62" s="672" t="s">
        <v>1160</v>
      </c>
      <c r="D62" s="672" t="s">
        <v>1161</v>
      </c>
      <c r="E62" s="238">
        <v>47</v>
      </c>
      <c r="F62" s="238">
        <v>22842</v>
      </c>
      <c r="G62" s="672">
        <v>1</v>
      </c>
      <c r="H62" s="672">
        <v>486</v>
      </c>
      <c r="I62" s="238">
        <v>37</v>
      </c>
      <c r="J62" s="238">
        <v>18019</v>
      </c>
      <c r="K62" s="672">
        <v>0.78885386568601701</v>
      </c>
      <c r="L62" s="672">
        <v>487</v>
      </c>
      <c r="M62" s="238">
        <v>44</v>
      </c>
      <c r="N62" s="238">
        <v>21428</v>
      </c>
      <c r="O62" s="683">
        <v>0.93809648892391206</v>
      </c>
      <c r="P62" s="714">
        <v>487</v>
      </c>
    </row>
    <row r="63" spans="1:16" ht="14.4" customHeight="1" x14ac:dyDescent="0.3">
      <c r="A63" s="681" t="s">
        <v>1050</v>
      </c>
      <c r="B63" s="672" t="s">
        <v>1113</v>
      </c>
      <c r="C63" s="672" t="s">
        <v>1162</v>
      </c>
      <c r="D63" s="672" t="s">
        <v>1163</v>
      </c>
      <c r="E63" s="238">
        <v>22</v>
      </c>
      <c r="F63" s="238">
        <v>49192</v>
      </c>
      <c r="G63" s="672">
        <v>1</v>
      </c>
      <c r="H63" s="672">
        <v>2236</v>
      </c>
      <c r="I63" s="238">
        <v>15</v>
      </c>
      <c r="J63" s="238">
        <v>33630</v>
      </c>
      <c r="K63" s="672">
        <v>0.68364774760123592</v>
      </c>
      <c r="L63" s="672">
        <v>2242</v>
      </c>
      <c r="M63" s="238">
        <v>19</v>
      </c>
      <c r="N63" s="238">
        <v>42598</v>
      </c>
      <c r="O63" s="683">
        <v>0.86595381362823221</v>
      </c>
      <c r="P63" s="714">
        <v>2242</v>
      </c>
    </row>
    <row r="64" spans="1:16" ht="14.4" customHeight="1" x14ac:dyDescent="0.3">
      <c r="A64" s="681" t="s">
        <v>1050</v>
      </c>
      <c r="B64" s="672" t="s">
        <v>1113</v>
      </c>
      <c r="C64" s="672" t="s">
        <v>1164</v>
      </c>
      <c r="D64" s="672" t="s">
        <v>1165</v>
      </c>
      <c r="E64" s="238">
        <v>12</v>
      </c>
      <c r="F64" s="238">
        <v>30348</v>
      </c>
      <c r="G64" s="672">
        <v>1</v>
      </c>
      <c r="H64" s="672">
        <v>2529</v>
      </c>
      <c r="I64" s="238">
        <v>9</v>
      </c>
      <c r="J64" s="238">
        <v>22815</v>
      </c>
      <c r="K64" s="672">
        <v>0.75177935943060503</v>
      </c>
      <c r="L64" s="672">
        <v>2535</v>
      </c>
      <c r="M64" s="238">
        <v>13</v>
      </c>
      <c r="N64" s="238">
        <v>32955</v>
      </c>
      <c r="O64" s="683">
        <v>1.0859035191775406</v>
      </c>
      <c r="P64" s="714">
        <v>2535</v>
      </c>
    </row>
    <row r="65" spans="1:16" ht="14.4" customHeight="1" x14ac:dyDescent="0.3">
      <c r="A65" s="681" t="s">
        <v>1050</v>
      </c>
      <c r="B65" s="672" t="s">
        <v>1113</v>
      </c>
      <c r="C65" s="672" t="s">
        <v>1166</v>
      </c>
      <c r="D65" s="672" t="s">
        <v>1167</v>
      </c>
      <c r="E65" s="238"/>
      <c r="F65" s="238"/>
      <c r="G65" s="672"/>
      <c r="H65" s="672"/>
      <c r="I65" s="238"/>
      <c r="J65" s="238"/>
      <c r="K65" s="672"/>
      <c r="L65" s="672"/>
      <c r="M65" s="238">
        <v>1</v>
      </c>
      <c r="N65" s="238">
        <v>327</v>
      </c>
      <c r="O65" s="683"/>
      <c r="P65" s="714">
        <v>327</v>
      </c>
    </row>
    <row r="66" spans="1:16" ht="14.4" customHeight="1" x14ac:dyDescent="0.3">
      <c r="A66" s="681" t="s">
        <v>1050</v>
      </c>
      <c r="B66" s="672" t="s">
        <v>1113</v>
      </c>
      <c r="C66" s="672" t="s">
        <v>1168</v>
      </c>
      <c r="D66" s="672" t="s">
        <v>1169</v>
      </c>
      <c r="E66" s="238">
        <v>1</v>
      </c>
      <c r="F66" s="238">
        <v>183</v>
      </c>
      <c r="G66" s="672">
        <v>1</v>
      </c>
      <c r="H66" s="672">
        <v>183</v>
      </c>
      <c r="I66" s="238">
        <v>3</v>
      </c>
      <c r="J66" s="238">
        <v>552</v>
      </c>
      <c r="K66" s="672">
        <v>3.0163934426229506</v>
      </c>
      <c r="L66" s="672">
        <v>184</v>
      </c>
      <c r="M66" s="238">
        <v>3</v>
      </c>
      <c r="N66" s="238">
        <v>552</v>
      </c>
      <c r="O66" s="683">
        <v>3.0163934426229506</v>
      </c>
      <c r="P66" s="714">
        <v>184</v>
      </c>
    </row>
    <row r="67" spans="1:16" ht="14.4" customHeight="1" x14ac:dyDescent="0.3">
      <c r="A67" s="681" t="s">
        <v>1050</v>
      </c>
      <c r="B67" s="672" t="s">
        <v>1113</v>
      </c>
      <c r="C67" s="672" t="s">
        <v>1170</v>
      </c>
      <c r="D67" s="672" t="s">
        <v>1171</v>
      </c>
      <c r="E67" s="238">
        <v>1</v>
      </c>
      <c r="F67" s="238">
        <v>971</v>
      </c>
      <c r="G67" s="672">
        <v>1</v>
      </c>
      <c r="H67" s="672">
        <v>971</v>
      </c>
      <c r="I67" s="238"/>
      <c r="J67" s="238"/>
      <c r="K67" s="672"/>
      <c r="L67" s="672"/>
      <c r="M67" s="238">
        <v>2</v>
      </c>
      <c r="N67" s="238">
        <v>1964</v>
      </c>
      <c r="O67" s="683">
        <v>2.0226570545829041</v>
      </c>
      <c r="P67" s="714">
        <v>982</v>
      </c>
    </row>
    <row r="68" spans="1:16" ht="14.4" customHeight="1" x14ac:dyDescent="0.3">
      <c r="A68" s="681" t="s">
        <v>1050</v>
      </c>
      <c r="B68" s="672" t="s">
        <v>1113</v>
      </c>
      <c r="C68" s="672" t="s">
        <v>1172</v>
      </c>
      <c r="D68" s="672" t="s">
        <v>1173</v>
      </c>
      <c r="E68" s="238">
        <v>1</v>
      </c>
      <c r="F68" s="238">
        <v>498</v>
      </c>
      <c r="G68" s="672">
        <v>1</v>
      </c>
      <c r="H68" s="672">
        <v>498</v>
      </c>
      <c r="I68" s="238"/>
      <c r="J68" s="238"/>
      <c r="K68" s="672"/>
      <c r="L68" s="672"/>
      <c r="M68" s="238">
        <v>3</v>
      </c>
      <c r="N68" s="238">
        <v>1497</v>
      </c>
      <c r="O68" s="683">
        <v>3.0060240963855422</v>
      </c>
      <c r="P68" s="714">
        <v>499</v>
      </c>
    </row>
    <row r="69" spans="1:16" ht="14.4" customHeight="1" x14ac:dyDescent="0.3">
      <c r="A69" s="681" t="s">
        <v>1050</v>
      </c>
      <c r="B69" s="672" t="s">
        <v>1113</v>
      </c>
      <c r="C69" s="672" t="s">
        <v>1174</v>
      </c>
      <c r="D69" s="672" t="s">
        <v>1175</v>
      </c>
      <c r="E69" s="238">
        <v>3</v>
      </c>
      <c r="F69" s="238">
        <v>396</v>
      </c>
      <c r="G69" s="672">
        <v>1</v>
      </c>
      <c r="H69" s="672">
        <v>132</v>
      </c>
      <c r="I69" s="238">
        <v>4</v>
      </c>
      <c r="J69" s="238">
        <v>532</v>
      </c>
      <c r="K69" s="672">
        <v>1.3434343434343434</v>
      </c>
      <c r="L69" s="672">
        <v>133</v>
      </c>
      <c r="M69" s="238">
        <v>4</v>
      </c>
      <c r="N69" s="238">
        <v>532</v>
      </c>
      <c r="O69" s="683">
        <v>1.3434343434343434</v>
      </c>
      <c r="P69" s="714">
        <v>133</v>
      </c>
    </row>
    <row r="70" spans="1:16" ht="14.4" customHeight="1" x14ac:dyDescent="0.3">
      <c r="A70" s="681" t="s">
        <v>1050</v>
      </c>
      <c r="B70" s="672" t="s">
        <v>1113</v>
      </c>
      <c r="C70" s="672" t="s">
        <v>1176</v>
      </c>
      <c r="D70" s="672" t="s">
        <v>1177</v>
      </c>
      <c r="E70" s="238"/>
      <c r="F70" s="238"/>
      <c r="G70" s="672"/>
      <c r="H70" s="672"/>
      <c r="I70" s="238">
        <v>1</v>
      </c>
      <c r="J70" s="238">
        <v>2397</v>
      </c>
      <c r="K70" s="672"/>
      <c r="L70" s="672">
        <v>2397</v>
      </c>
      <c r="M70" s="238"/>
      <c r="N70" s="238"/>
      <c r="O70" s="683"/>
      <c r="P70" s="714"/>
    </row>
    <row r="71" spans="1:16" ht="14.4" customHeight="1" thickBot="1" x14ac:dyDescent="0.35">
      <c r="A71" s="637" t="s">
        <v>1050</v>
      </c>
      <c r="B71" s="674" t="s">
        <v>1113</v>
      </c>
      <c r="C71" s="674" t="s">
        <v>1178</v>
      </c>
      <c r="D71" s="674" t="s">
        <v>1179</v>
      </c>
      <c r="E71" s="675"/>
      <c r="F71" s="675"/>
      <c r="G71" s="674"/>
      <c r="H71" s="674"/>
      <c r="I71" s="675"/>
      <c r="J71" s="675"/>
      <c r="K71" s="674"/>
      <c r="L71" s="674"/>
      <c r="M71" s="675">
        <v>1</v>
      </c>
      <c r="N71" s="675">
        <v>1630</v>
      </c>
      <c r="O71" s="684"/>
      <c r="P71" s="715">
        <v>1630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0.10937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471" t="s">
        <v>161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  <c r="N2" s="362"/>
      <c r="O2" s="230"/>
      <c r="P2" s="362"/>
      <c r="Q2" s="230"/>
      <c r="R2" s="362"/>
      <c r="S2" s="363"/>
    </row>
    <row r="3" spans="1:19" ht="14.4" customHeight="1" thickBot="1" x14ac:dyDescent="0.35">
      <c r="A3" s="356" t="s">
        <v>163</v>
      </c>
      <c r="B3" s="357">
        <f>SUBTOTAL(9,B6:B1048576)</f>
        <v>2355614</v>
      </c>
      <c r="C3" s="358">
        <f t="shared" ref="C3:R3" si="0">SUBTOTAL(9,C6:C1048576)</f>
        <v>18</v>
      </c>
      <c r="D3" s="358">
        <f t="shared" si="0"/>
        <v>2132249</v>
      </c>
      <c r="E3" s="358">
        <f t="shared" si="0"/>
        <v>17.060077970323789</v>
      </c>
      <c r="F3" s="358">
        <f t="shared" si="0"/>
        <v>2175331</v>
      </c>
      <c r="G3" s="361">
        <f>IF(B3&lt;&gt;0,F3/B3,"")</f>
        <v>0.92346666304411507</v>
      </c>
      <c r="H3" s="357">
        <f t="shared" si="0"/>
        <v>1581874.6199999999</v>
      </c>
      <c r="I3" s="358">
        <f t="shared" si="0"/>
        <v>18</v>
      </c>
      <c r="J3" s="358">
        <f t="shared" si="0"/>
        <v>2063713.9100000006</v>
      </c>
      <c r="K3" s="358">
        <f t="shared" si="0"/>
        <v>29.731380815672711</v>
      </c>
      <c r="L3" s="358">
        <f t="shared" si="0"/>
        <v>2074761.4799999997</v>
      </c>
      <c r="M3" s="359">
        <f>IF(H3&lt;&gt;0,L3/H3,"")</f>
        <v>1.3115840242762096</v>
      </c>
      <c r="N3" s="360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133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9"/>
      <c r="B5" s="730">
        <v>2012</v>
      </c>
      <c r="C5" s="731"/>
      <c r="D5" s="731">
        <v>2013</v>
      </c>
      <c r="E5" s="731"/>
      <c r="F5" s="731">
        <v>2014</v>
      </c>
      <c r="G5" s="732" t="s">
        <v>5</v>
      </c>
      <c r="H5" s="730">
        <v>2012</v>
      </c>
      <c r="I5" s="731"/>
      <c r="J5" s="731">
        <v>2013</v>
      </c>
      <c r="K5" s="731"/>
      <c r="L5" s="731">
        <v>2014</v>
      </c>
      <c r="M5" s="732" t="s">
        <v>5</v>
      </c>
      <c r="N5" s="730">
        <v>2012</v>
      </c>
      <c r="O5" s="731"/>
      <c r="P5" s="731">
        <v>2013</v>
      </c>
      <c r="Q5" s="731"/>
      <c r="R5" s="731">
        <v>2014</v>
      </c>
      <c r="S5" s="732" t="s">
        <v>5</v>
      </c>
    </row>
    <row r="6" spans="1:19" ht="14.4" customHeight="1" x14ac:dyDescent="0.3">
      <c r="A6" s="717" t="s">
        <v>1181</v>
      </c>
      <c r="B6" s="748">
        <v>128991</v>
      </c>
      <c r="C6" s="698">
        <v>1</v>
      </c>
      <c r="D6" s="748">
        <v>164718</v>
      </c>
      <c r="E6" s="698">
        <v>1.276972812056655</v>
      </c>
      <c r="F6" s="748">
        <v>147223</v>
      </c>
      <c r="G6" s="703">
        <v>1.141343194486437</v>
      </c>
      <c r="H6" s="748">
        <v>246275.87000000002</v>
      </c>
      <c r="I6" s="698">
        <v>1</v>
      </c>
      <c r="J6" s="748">
        <v>275025.96000000002</v>
      </c>
      <c r="K6" s="698">
        <v>1.116739370365436</v>
      </c>
      <c r="L6" s="748">
        <v>177616.13</v>
      </c>
      <c r="M6" s="703">
        <v>0.7212080095382466</v>
      </c>
      <c r="N6" s="748"/>
      <c r="O6" s="698"/>
      <c r="P6" s="748"/>
      <c r="Q6" s="698"/>
      <c r="R6" s="748"/>
      <c r="S6" s="241"/>
    </row>
    <row r="7" spans="1:19" ht="14.4" customHeight="1" x14ac:dyDescent="0.3">
      <c r="A7" s="718" t="s">
        <v>1182</v>
      </c>
      <c r="B7" s="749">
        <v>26564</v>
      </c>
      <c r="C7" s="672">
        <v>1</v>
      </c>
      <c r="D7" s="749">
        <v>85209</v>
      </c>
      <c r="E7" s="672">
        <v>3.2076870953169703</v>
      </c>
      <c r="F7" s="749">
        <v>68681</v>
      </c>
      <c r="G7" s="683">
        <v>2.5854916428248758</v>
      </c>
      <c r="H7" s="749">
        <v>17470.45</v>
      </c>
      <c r="I7" s="672">
        <v>1</v>
      </c>
      <c r="J7" s="749">
        <v>99810.19</v>
      </c>
      <c r="K7" s="672">
        <v>5.7130863830067344</v>
      </c>
      <c r="L7" s="749">
        <v>91750.07</v>
      </c>
      <c r="M7" s="683">
        <v>5.2517290625026831</v>
      </c>
      <c r="N7" s="749"/>
      <c r="O7" s="672"/>
      <c r="P7" s="749"/>
      <c r="Q7" s="672"/>
      <c r="R7" s="749"/>
      <c r="S7" s="242"/>
    </row>
    <row r="8" spans="1:19" ht="14.4" customHeight="1" x14ac:dyDescent="0.3">
      <c r="A8" s="718" t="s">
        <v>1183</v>
      </c>
      <c r="B8" s="749">
        <v>322337</v>
      </c>
      <c r="C8" s="672">
        <v>1</v>
      </c>
      <c r="D8" s="749">
        <v>189308</v>
      </c>
      <c r="E8" s="672">
        <v>0.58729838647130173</v>
      </c>
      <c r="F8" s="749">
        <v>285475</v>
      </c>
      <c r="G8" s="683">
        <v>0.88564142496827858</v>
      </c>
      <c r="H8" s="749">
        <v>232008.30999999994</v>
      </c>
      <c r="I8" s="672">
        <v>1</v>
      </c>
      <c r="J8" s="749">
        <v>181041.34000000003</v>
      </c>
      <c r="K8" s="672">
        <v>0.78032265309807258</v>
      </c>
      <c r="L8" s="749">
        <v>309718.22000000003</v>
      </c>
      <c r="M8" s="683">
        <v>1.3349445112547913</v>
      </c>
      <c r="N8" s="749"/>
      <c r="O8" s="672"/>
      <c r="P8" s="749"/>
      <c r="Q8" s="672"/>
      <c r="R8" s="749"/>
      <c r="S8" s="242"/>
    </row>
    <row r="9" spans="1:19" ht="14.4" customHeight="1" x14ac:dyDescent="0.3">
      <c r="A9" s="718" t="s">
        <v>1184</v>
      </c>
      <c r="B9" s="749">
        <v>232155</v>
      </c>
      <c r="C9" s="672">
        <v>1</v>
      </c>
      <c r="D9" s="749">
        <v>187025</v>
      </c>
      <c r="E9" s="672">
        <v>0.80560401455923847</v>
      </c>
      <c r="F9" s="749">
        <v>237918</v>
      </c>
      <c r="G9" s="683">
        <v>1.0248239322866188</v>
      </c>
      <c r="H9" s="749">
        <v>145398.62999999998</v>
      </c>
      <c r="I9" s="672">
        <v>1</v>
      </c>
      <c r="J9" s="749">
        <v>153655.51</v>
      </c>
      <c r="K9" s="672">
        <v>1.0567878803259703</v>
      </c>
      <c r="L9" s="749">
        <v>196839.11</v>
      </c>
      <c r="M9" s="683">
        <v>1.3537893032417156</v>
      </c>
      <c r="N9" s="749"/>
      <c r="O9" s="672"/>
      <c r="P9" s="749"/>
      <c r="Q9" s="672"/>
      <c r="R9" s="749"/>
      <c r="S9" s="242"/>
    </row>
    <row r="10" spans="1:19" ht="14.4" customHeight="1" x14ac:dyDescent="0.3">
      <c r="A10" s="718" t="s">
        <v>1185</v>
      </c>
      <c r="B10" s="749">
        <v>34540</v>
      </c>
      <c r="C10" s="672">
        <v>1</v>
      </c>
      <c r="D10" s="749">
        <v>17072</v>
      </c>
      <c r="E10" s="672">
        <v>0.49426751592356688</v>
      </c>
      <c r="F10" s="749">
        <v>32652</v>
      </c>
      <c r="G10" s="683">
        <v>0.94533873769542565</v>
      </c>
      <c r="H10" s="749">
        <v>23156.34</v>
      </c>
      <c r="I10" s="672">
        <v>1</v>
      </c>
      <c r="J10" s="749">
        <v>15978.4</v>
      </c>
      <c r="K10" s="672">
        <v>0.69002268925054644</v>
      </c>
      <c r="L10" s="749">
        <v>40083.270000000004</v>
      </c>
      <c r="M10" s="683">
        <v>1.7309846892902767</v>
      </c>
      <c r="N10" s="749"/>
      <c r="O10" s="672"/>
      <c r="P10" s="749"/>
      <c r="Q10" s="672"/>
      <c r="R10" s="749"/>
      <c r="S10" s="242"/>
    </row>
    <row r="11" spans="1:19" ht="14.4" customHeight="1" x14ac:dyDescent="0.3">
      <c r="A11" s="718" t="s">
        <v>1186</v>
      </c>
      <c r="B11" s="749">
        <v>15297</v>
      </c>
      <c r="C11" s="672">
        <v>1</v>
      </c>
      <c r="D11" s="749">
        <v>2241</v>
      </c>
      <c r="E11" s="672">
        <v>0.14649931359090018</v>
      </c>
      <c r="F11" s="749"/>
      <c r="G11" s="683"/>
      <c r="H11" s="749">
        <v>18414.080000000002</v>
      </c>
      <c r="I11" s="672">
        <v>1</v>
      </c>
      <c r="J11" s="749">
        <v>871.2</v>
      </c>
      <c r="K11" s="672">
        <v>4.7311622410677046E-2</v>
      </c>
      <c r="L11" s="749"/>
      <c r="M11" s="683"/>
      <c r="N11" s="749"/>
      <c r="O11" s="672"/>
      <c r="P11" s="749"/>
      <c r="Q11" s="672"/>
      <c r="R11" s="749"/>
      <c r="S11" s="242"/>
    </row>
    <row r="12" spans="1:19" ht="14.4" customHeight="1" x14ac:dyDescent="0.3">
      <c r="A12" s="718" t="s">
        <v>1187</v>
      </c>
      <c r="B12" s="749">
        <v>48906</v>
      </c>
      <c r="C12" s="672">
        <v>1</v>
      </c>
      <c r="D12" s="749">
        <v>22080</v>
      </c>
      <c r="E12" s="672">
        <v>0.45147834621518834</v>
      </c>
      <c r="F12" s="749">
        <v>42984</v>
      </c>
      <c r="G12" s="683">
        <v>0.87891056312108939</v>
      </c>
      <c r="H12" s="749">
        <v>25034.640000000003</v>
      </c>
      <c r="I12" s="672">
        <v>1</v>
      </c>
      <c r="J12" s="749">
        <v>15450.369999999999</v>
      </c>
      <c r="K12" s="672">
        <v>0.61715966357015706</v>
      </c>
      <c r="L12" s="749">
        <v>24642.47</v>
      </c>
      <c r="M12" s="683">
        <v>0.98433490555486314</v>
      </c>
      <c r="N12" s="749"/>
      <c r="O12" s="672"/>
      <c r="P12" s="749"/>
      <c r="Q12" s="672"/>
      <c r="R12" s="749"/>
      <c r="S12" s="242"/>
    </row>
    <row r="13" spans="1:19" ht="14.4" customHeight="1" x14ac:dyDescent="0.3">
      <c r="A13" s="718" t="s">
        <v>1188</v>
      </c>
      <c r="B13" s="749">
        <v>5738</v>
      </c>
      <c r="C13" s="672">
        <v>1</v>
      </c>
      <c r="D13" s="749"/>
      <c r="E13" s="672"/>
      <c r="F13" s="749"/>
      <c r="G13" s="683"/>
      <c r="H13" s="749">
        <v>7343.73</v>
      </c>
      <c r="I13" s="672">
        <v>1</v>
      </c>
      <c r="J13" s="749"/>
      <c r="K13" s="672"/>
      <c r="L13" s="749"/>
      <c r="M13" s="683"/>
      <c r="N13" s="749"/>
      <c r="O13" s="672"/>
      <c r="P13" s="749"/>
      <c r="Q13" s="672"/>
      <c r="R13" s="749"/>
      <c r="S13" s="242"/>
    </row>
    <row r="14" spans="1:19" ht="14.4" customHeight="1" x14ac:dyDescent="0.3">
      <c r="A14" s="718" t="s">
        <v>1189</v>
      </c>
      <c r="B14" s="749">
        <v>15746</v>
      </c>
      <c r="C14" s="672">
        <v>1</v>
      </c>
      <c r="D14" s="749">
        <v>4794</v>
      </c>
      <c r="E14" s="672">
        <v>0.30445827511749013</v>
      </c>
      <c r="F14" s="749">
        <v>18751</v>
      </c>
      <c r="G14" s="683">
        <v>1.1908421186333038</v>
      </c>
      <c r="H14" s="749">
        <v>8842.44</v>
      </c>
      <c r="I14" s="672">
        <v>1</v>
      </c>
      <c r="J14" s="749">
        <v>2006.16</v>
      </c>
      <c r="K14" s="672">
        <v>0.22687855388331726</v>
      </c>
      <c r="L14" s="749">
        <v>19544.14</v>
      </c>
      <c r="M14" s="683">
        <v>2.210265492330171</v>
      </c>
      <c r="N14" s="749"/>
      <c r="O14" s="672"/>
      <c r="P14" s="749"/>
      <c r="Q14" s="672"/>
      <c r="R14" s="749"/>
      <c r="S14" s="242"/>
    </row>
    <row r="15" spans="1:19" ht="14.4" customHeight="1" x14ac:dyDescent="0.3">
      <c r="A15" s="718" t="s">
        <v>1190</v>
      </c>
      <c r="B15" s="749">
        <v>14158</v>
      </c>
      <c r="C15" s="672">
        <v>1</v>
      </c>
      <c r="D15" s="749">
        <v>14362</v>
      </c>
      <c r="E15" s="672">
        <v>1.0144088148043509</v>
      </c>
      <c r="F15" s="749">
        <v>32093</v>
      </c>
      <c r="G15" s="683">
        <v>2.2667749682158496</v>
      </c>
      <c r="H15" s="749">
        <v>12650.43</v>
      </c>
      <c r="I15" s="672">
        <v>1</v>
      </c>
      <c r="J15" s="749">
        <v>14834.119999999999</v>
      </c>
      <c r="K15" s="672">
        <v>1.1726178477727633</v>
      </c>
      <c r="L15" s="749">
        <v>33354.76</v>
      </c>
      <c r="M15" s="683">
        <v>2.6366502956816489</v>
      </c>
      <c r="N15" s="749"/>
      <c r="O15" s="672"/>
      <c r="P15" s="749"/>
      <c r="Q15" s="672"/>
      <c r="R15" s="749"/>
      <c r="S15" s="242"/>
    </row>
    <row r="16" spans="1:19" ht="14.4" customHeight="1" x14ac:dyDescent="0.3">
      <c r="A16" s="718" t="s">
        <v>1191</v>
      </c>
      <c r="B16" s="749">
        <v>14158</v>
      </c>
      <c r="C16" s="672">
        <v>1</v>
      </c>
      <c r="D16" s="749"/>
      <c r="E16" s="672"/>
      <c r="F16" s="749"/>
      <c r="G16" s="683"/>
      <c r="H16" s="749">
        <v>14370.91</v>
      </c>
      <c r="I16" s="672">
        <v>1</v>
      </c>
      <c r="J16" s="749"/>
      <c r="K16" s="672"/>
      <c r="L16" s="749"/>
      <c r="M16" s="683"/>
      <c r="N16" s="749"/>
      <c r="O16" s="672"/>
      <c r="P16" s="749"/>
      <c r="Q16" s="672"/>
      <c r="R16" s="749"/>
      <c r="S16" s="242"/>
    </row>
    <row r="17" spans="1:19" ht="14.4" customHeight="1" x14ac:dyDescent="0.3">
      <c r="A17" s="718" t="s">
        <v>1192</v>
      </c>
      <c r="B17" s="749">
        <v>410978</v>
      </c>
      <c r="C17" s="672">
        <v>1</v>
      </c>
      <c r="D17" s="749">
        <v>418393</v>
      </c>
      <c r="E17" s="672">
        <v>1.0180423282998117</v>
      </c>
      <c r="F17" s="749">
        <v>319725</v>
      </c>
      <c r="G17" s="683">
        <v>0.77796135072923611</v>
      </c>
      <c r="H17" s="749">
        <v>216776.92</v>
      </c>
      <c r="I17" s="672">
        <v>1</v>
      </c>
      <c r="J17" s="749">
        <v>434466.26999999996</v>
      </c>
      <c r="K17" s="672">
        <v>2.0042090735489735</v>
      </c>
      <c r="L17" s="749">
        <v>411698.31</v>
      </c>
      <c r="M17" s="683">
        <v>1.8991796266871952</v>
      </c>
      <c r="N17" s="749"/>
      <c r="O17" s="672"/>
      <c r="P17" s="749"/>
      <c r="Q17" s="672"/>
      <c r="R17" s="749"/>
      <c r="S17" s="242"/>
    </row>
    <row r="18" spans="1:19" ht="14.4" customHeight="1" x14ac:dyDescent="0.3">
      <c r="A18" s="718" t="s">
        <v>1193</v>
      </c>
      <c r="B18" s="749">
        <v>4785</v>
      </c>
      <c r="C18" s="672">
        <v>1</v>
      </c>
      <c r="D18" s="749">
        <v>17368</v>
      </c>
      <c r="E18" s="672">
        <v>3.6296760710553815</v>
      </c>
      <c r="F18" s="749">
        <v>36490</v>
      </c>
      <c r="G18" s="683">
        <v>7.6259143155694877</v>
      </c>
      <c r="H18" s="749">
        <v>2293.1999999999998</v>
      </c>
      <c r="I18" s="672">
        <v>1</v>
      </c>
      <c r="J18" s="749">
        <v>16061.119999999999</v>
      </c>
      <c r="K18" s="672">
        <v>7.0038025466596894</v>
      </c>
      <c r="L18" s="749">
        <v>42234.14</v>
      </c>
      <c r="M18" s="683">
        <v>18.417120181405895</v>
      </c>
      <c r="N18" s="749"/>
      <c r="O18" s="672"/>
      <c r="P18" s="749"/>
      <c r="Q18" s="672"/>
      <c r="R18" s="749"/>
      <c r="S18" s="242"/>
    </row>
    <row r="19" spans="1:19" ht="14.4" customHeight="1" x14ac:dyDescent="0.3">
      <c r="A19" s="718" t="s">
        <v>1194</v>
      </c>
      <c r="B19" s="749"/>
      <c r="C19" s="672"/>
      <c r="D19" s="749">
        <v>1141</v>
      </c>
      <c r="E19" s="672"/>
      <c r="F19" s="749"/>
      <c r="G19" s="683"/>
      <c r="H19" s="749"/>
      <c r="I19" s="672"/>
      <c r="J19" s="749">
        <v>2960.84</v>
      </c>
      <c r="K19" s="672"/>
      <c r="L19" s="749"/>
      <c r="M19" s="683"/>
      <c r="N19" s="749"/>
      <c r="O19" s="672"/>
      <c r="P19" s="749"/>
      <c r="Q19" s="672"/>
      <c r="R19" s="749"/>
      <c r="S19" s="242"/>
    </row>
    <row r="20" spans="1:19" ht="14.4" customHeight="1" x14ac:dyDescent="0.3">
      <c r="A20" s="718" t="s">
        <v>1195</v>
      </c>
      <c r="B20" s="749">
        <v>162634</v>
      </c>
      <c r="C20" s="672">
        <v>1</v>
      </c>
      <c r="D20" s="749">
        <v>198350</v>
      </c>
      <c r="E20" s="672">
        <v>1.2196096757135655</v>
      </c>
      <c r="F20" s="749">
        <v>166562</v>
      </c>
      <c r="G20" s="683">
        <v>1.0241523912589003</v>
      </c>
      <c r="H20" s="749">
        <v>92303.58</v>
      </c>
      <c r="I20" s="672">
        <v>1</v>
      </c>
      <c r="J20" s="749">
        <v>251574.35</v>
      </c>
      <c r="K20" s="672">
        <v>2.7255102131466624</v>
      </c>
      <c r="L20" s="749">
        <v>160011.46</v>
      </c>
      <c r="M20" s="683">
        <v>1.7335347123047664</v>
      </c>
      <c r="N20" s="749"/>
      <c r="O20" s="672"/>
      <c r="P20" s="749"/>
      <c r="Q20" s="672"/>
      <c r="R20" s="749"/>
      <c r="S20" s="242"/>
    </row>
    <row r="21" spans="1:19" ht="14.4" customHeight="1" x14ac:dyDescent="0.3">
      <c r="A21" s="718" t="s">
        <v>1196</v>
      </c>
      <c r="B21" s="749">
        <v>647183</v>
      </c>
      <c r="C21" s="672">
        <v>1</v>
      </c>
      <c r="D21" s="749">
        <v>549593</v>
      </c>
      <c r="E21" s="672">
        <v>0.84920802925911221</v>
      </c>
      <c r="F21" s="749">
        <v>498725</v>
      </c>
      <c r="G21" s="683">
        <v>0.77060893132236163</v>
      </c>
      <c r="H21" s="749">
        <v>404106.28</v>
      </c>
      <c r="I21" s="672">
        <v>1</v>
      </c>
      <c r="J21" s="749">
        <v>300705.84000000003</v>
      </c>
      <c r="K21" s="672">
        <v>0.7441256295249854</v>
      </c>
      <c r="L21" s="749">
        <v>244251.96000000002</v>
      </c>
      <c r="M21" s="683">
        <v>0.60442505372596533</v>
      </c>
      <c r="N21" s="749"/>
      <c r="O21" s="672"/>
      <c r="P21" s="749"/>
      <c r="Q21" s="672"/>
      <c r="R21" s="749"/>
      <c r="S21" s="242"/>
    </row>
    <row r="22" spans="1:19" ht="14.4" customHeight="1" x14ac:dyDescent="0.3">
      <c r="A22" s="718" t="s">
        <v>1197</v>
      </c>
      <c r="B22" s="749">
        <v>51068</v>
      </c>
      <c r="C22" s="672">
        <v>1</v>
      </c>
      <c r="D22" s="749"/>
      <c r="E22" s="672"/>
      <c r="F22" s="749"/>
      <c r="G22" s="683"/>
      <c r="H22" s="749">
        <v>24645.050000000003</v>
      </c>
      <c r="I22" s="672">
        <v>1</v>
      </c>
      <c r="J22" s="749"/>
      <c r="K22" s="672"/>
      <c r="L22" s="749"/>
      <c r="M22" s="683"/>
      <c r="N22" s="749"/>
      <c r="O22" s="672"/>
      <c r="P22" s="749"/>
      <c r="Q22" s="672"/>
      <c r="R22" s="749"/>
      <c r="S22" s="242"/>
    </row>
    <row r="23" spans="1:19" ht="14.4" customHeight="1" x14ac:dyDescent="0.3">
      <c r="A23" s="718" t="s">
        <v>1198</v>
      </c>
      <c r="B23" s="749"/>
      <c r="C23" s="672"/>
      <c r="D23" s="749">
        <v>4860</v>
      </c>
      <c r="E23" s="672"/>
      <c r="F23" s="749">
        <v>7076</v>
      </c>
      <c r="G23" s="683"/>
      <c r="H23" s="749"/>
      <c r="I23" s="672"/>
      <c r="J23" s="749">
        <v>7574.84</v>
      </c>
      <c r="K23" s="672"/>
      <c r="L23" s="749">
        <v>8463.5</v>
      </c>
      <c r="M23" s="683"/>
      <c r="N23" s="749"/>
      <c r="O23" s="672"/>
      <c r="P23" s="749"/>
      <c r="Q23" s="672"/>
      <c r="R23" s="749"/>
      <c r="S23" s="242"/>
    </row>
    <row r="24" spans="1:19" ht="14.4" customHeight="1" x14ac:dyDescent="0.3">
      <c r="A24" s="718" t="s">
        <v>1199</v>
      </c>
      <c r="B24" s="749">
        <v>43311</v>
      </c>
      <c r="C24" s="672">
        <v>1</v>
      </c>
      <c r="D24" s="749">
        <v>35060</v>
      </c>
      <c r="E24" s="672">
        <v>0.80949412389462261</v>
      </c>
      <c r="F24" s="749">
        <v>18324</v>
      </c>
      <c r="G24" s="683">
        <v>0.42307958717185012</v>
      </c>
      <c r="H24" s="749">
        <v>27662.43</v>
      </c>
      <c r="I24" s="672">
        <v>1</v>
      </c>
      <c r="J24" s="749">
        <v>59661.83</v>
      </c>
      <c r="K24" s="672">
        <v>2.1567819602254756</v>
      </c>
      <c r="L24" s="749">
        <v>23119.5</v>
      </c>
      <c r="M24" s="683">
        <v>0.83577256228032026</v>
      </c>
      <c r="N24" s="749"/>
      <c r="O24" s="672"/>
      <c r="P24" s="749"/>
      <c r="Q24" s="672"/>
      <c r="R24" s="749"/>
      <c r="S24" s="242"/>
    </row>
    <row r="25" spans="1:19" ht="14.4" customHeight="1" x14ac:dyDescent="0.3">
      <c r="A25" s="718" t="s">
        <v>1200</v>
      </c>
      <c r="B25" s="749">
        <v>177065</v>
      </c>
      <c r="C25" s="672">
        <v>1</v>
      </c>
      <c r="D25" s="749">
        <v>220512</v>
      </c>
      <c r="E25" s="672">
        <v>1.245373168045633</v>
      </c>
      <c r="F25" s="749">
        <v>257904</v>
      </c>
      <c r="G25" s="683">
        <v>1.4565498545731794</v>
      </c>
      <c r="H25" s="749">
        <v>63121.329999999994</v>
      </c>
      <c r="I25" s="672">
        <v>1</v>
      </c>
      <c r="J25" s="749">
        <v>232035.56999999998</v>
      </c>
      <c r="K25" s="672">
        <v>3.6760247288832475</v>
      </c>
      <c r="L25" s="749">
        <v>285884.44</v>
      </c>
      <c r="M25" s="683">
        <v>4.5291257329337009</v>
      </c>
      <c r="N25" s="749"/>
      <c r="O25" s="672"/>
      <c r="P25" s="749"/>
      <c r="Q25" s="672"/>
      <c r="R25" s="749"/>
      <c r="S25" s="242"/>
    </row>
    <row r="26" spans="1:19" ht="14.4" customHeight="1" thickBot="1" x14ac:dyDescent="0.35">
      <c r="A26" s="751" t="s">
        <v>1201</v>
      </c>
      <c r="B26" s="750"/>
      <c r="C26" s="674"/>
      <c r="D26" s="750">
        <v>163</v>
      </c>
      <c r="E26" s="674"/>
      <c r="F26" s="750">
        <v>4748</v>
      </c>
      <c r="G26" s="684"/>
      <c r="H26" s="750"/>
      <c r="I26" s="674"/>
      <c r="J26" s="750"/>
      <c r="K26" s="674"/>
      <c r="L26" s="750">
        <v>5550</v>
      </c>
      <c r="M26" s="684"/>
      <c r="N26" s="750"/>
      <c r="O26" s="674"/>
      <c r="P26" s="750"/>
      <c r="Q26" s="674"/>
      <c r="R26" s="750"/>
      <c r="S26" s="68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62" t="s">
        <v>1260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61"/>
      <c r="C2" s="261"/>
      <c r="D2" s="261"/>
      <c r="E2" s="261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  <c r="Q2" s="364"/>
    </row>
    <row r="3" spans="1:17" ht="14.4" customHeight="1" thickBot="1" x14ac:dyDescent="0.35">
      <c r="E3" s="112" t="s">
        <v>163</v>
      </c>
      <c r="F3" s="217">
        <f t="shared" ref="F3:O3" si="0">SUBTOTAL(9,F6:F1048576)</f>
        <v>206465.58000000005</v>
      </c>
      <c r="G3" s="218">
        <f t="shared" si="0"/>
        <v>3937488.6199999996</v>
      </c>
      <c r="H3" s="218"/>
      <c r="I3" s="218"/>
      <c r="J3" s="218">
        <f t="shared" si="0"/>
        <v>191068.25</v>
      </c>
      <c r="K3" s="218">
        <f t="shared" si="0"/>
        <v>4195962.91</v>
      </c>
      <c r="L3" s="218"/>
      <c r="M3" s="218"/>
      <c r="N3" s="218">
        <f t="shared" si="0"/>
        <v>153455.66</v>
      </c>
      <c r="O3" s="218">
        <f t="shared" si="0"/>
        <v>4250092.4800000004</v>
      </c>
      <c r="P3" s="79">
        <f>IF(G3=0,0,O3/G3)</f>
        <v>1.079391685962511</v>
      </c>
      <c r="Q3" s="219">
        <f>IF(N3=0,0,O3/N3)</f>
        <v>27.695899128126005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124</v>
      </c>
      <c r="E4" s="536" t="s">
        <v>84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40"/>
      <c r="B5" s="739"/>
      <c r="C5" s="740"/>
      <c r="D5" s="741"/>
      <c r="E5" s="742"/>
      <c r="F5" s="752" t="s">
        <v>94</v>
      </c>
      <c r="G5" s="753" t="s">
        <v>17</v>
      </c>
      <c r="H5" s="754"/>
      <c r="I5" s="754"/>
      <c r="J5" s="752" t="s">
        <v>94</v>
      </c>
      <c r="K5" s="753" t="s">
        <v>17</v>
      </c>
      <c r="L5" s="754"/>
      <c r="M5" s="754"/>
      <c r="N5" s="752" t="s">
        <v>94</v>
      </c>
      <c r="O5" s="753" t="s">
        <v>17</v>
      </c>
      <c r="P5" s="755"/>
      <c r="Q5" s="747"/>
    </row>
    <row r="6" spans="1:17" ht="14.4" customHeight="1" x14ac:dyDescent="0.3">
      <c r="A6" s="697" t="s">
        <v>1202</v>
      </c>
      <c r="B6" s="698" t="s">
        <v>1050</v>
      </c>
      <c r="C6" s="698" t="s">
        <v>1051</v>
      </c>
      <c r="D6" s="698" t="s">
        <v>1054</v>
      </c>
      <c r="E6" s="698" t="s">
        <v>634</v>
      </c>
      <c r="F6" s="235">
        <v>0.55000000000000004</v>
      </c>
      <c r="G6" s="235">
        <v>1190.93</v>
      </c>
      <c r="H6" s="235">
        <v>1</v>
      </c>
      <c r="I6" s="235">
        <v>2165.3272727272729</v>
      </c>
      <c r="J6" s="235">
        <v>1.4500000000000002</v>
      </c>
      <c r="K6" s="235">
        <v>3167.25</v>
      </c>
      <c r="L6" s="235">
        <v>2.6594762076696363</v>
      </c>
      <c r="M6" s="235">
        <v>2184.3103448275861</v>
      </c>
      <c r="N6" s="235">
        <v>0.5</v>
      </c>
      <c r="O6" s="235">
        <v>1092.1600000000001</v>
      </c>
      <c r="P6" s="703">
        <v>0.91706481489256297</v>
      </c>
      <c r="Q6" s="713">
        <v>2184.3200000000002</v>
      </c>
    </row>
    <row r="7" spans="1:17" ht="14.4" customHeight="1" x14ac:dyDescent="0.3">
      <c r="A7" s="681" t="s">
        <v>1202</v>
      </c>
      <c r="B7" s="672" t="s">
        <v>1050</v>
      </c>
      <c r="C7" s="672" t="s">
        <v>1058</v>
      </c>
      <c r="D7" s="672" t="s">
        <v>1063</v>
      </c>
      <c r="E7" s="672" t="s">
        <v>1064</v>
      </c>
      <c r="F7" s="238">
        <v>2560</v>
      </c>
      <c r="G7" s="238">
        <v>11596.8</v>
      </c>
      <c r="H7" s="238">
        <v>1</v>
      </c>
      <c r="I7" s="238">
        <v>4.5299999999999994</v>
      </c>
      <c r="J7" s="238">
        <v>2940</v>
      </c>
      <c r="K7" s="238">
        <v>14094.599999999999</v>
      </c>
      <c r="L7" s="238">
        <v>1.2153870033112582</v>
      </c>
      <c r="M7" s="238">
        <v>4.7940816326530609</v>
      </c>
      <c r="N7" s="238">
        <v>2010</v>
      </c>
      <c r="O7" s="238">
        <v>10251</v>
      </c>
      <c r="P7" s="683">
        <v>0.88395074503311266</v>
      </c>
      <c r="Q7" s="714">
        <v>5.0999999999999996</v>
      </c>
    </row>
    <row r="8" spans="1:17" ht="14.4" customHeight="1" x14ac:dyDescent="0.3">
      <c r="A8" s="681" t="s">
        <v>1202</v>
      </c>
      <c r="B8" s="672" t="s">
        <v>1050</v>
      </c>
      <c r="C8" s="672" t="s">
        <v>1058</v>
      </c>
      <c r="D8" s="672" t="s">
        <v>1069</v>
      </c>
      <c r="E8" s="672" t="s">
        <v>1070</v>
      </c>
      <c r="F8" s="238">
        <v>24950</v>
      </c>
      <c r="G8" s="238">
        <v>132484.5</v>
      </c>
      <c r="H8" s="238">
        <v>1</v>
      </c>
      <c r="I8" s="238">
        <v>5.31</v>
      </c>
      <c r="J8" s="238">
        <v>16600</v>
      </c>
      <c r="K8" s="238">
        <v>92024.5</v>
      </c>
      <c r="L8" s="238">
        <v>0.69460578407285378</v>
      </c>
      <c r="M8" s="238">
        <v>5.5436445783132529</v>
      </c>
      <c r="N8" s="238">
        <v>23200</v>
      </c>
      <c r="O8" s="238">
        <v>128760</v>
      </c>
      <c r="P8" s="683">
        <v>0.971887277379618</v>
      </c>
      <c r="Q8" s="714">
        <v>5.55</v>
      </c>
    </row>
    <row r="9" spans="1:17" ht="14.4" customHeight="1" x14ac:dyDescent="0.3">
      <c r="A9" s="681" t="s">
        <v>1202</v>
      </c>
      <c r="B9" s="672" t="s">
        <v>1050</v>
      </c>
      <c r="C9" s="672" t="s">
        <v>1058</v>
      </c>
      <c r="D9" s="672" t="s">
        <v>1073</v>
      </c>
      <c r="E9" s="672" t="s">
        <v>1074</v>
      </c>
      <c r="F9" s="238"/>
      <c r="G9" s="238"/>
      <c r="H9" s="238"/>
      <c r="I9" s="238"/>
      <c r="J9" s="238"/>
      <c r="K9" s="238"/>
      <c r="L9" s="238"/>
      <c r="M9" s="238"/>
      <c r="N9" s="238">
        <v>450</v>
      </c>
      <c r="O9" s="238">
        <v>3550.5</v>
      </c>
      <c r="P9" s="683"/>
      <c r="Q9" s="714">
        <v>7.89</v>
      </c>
    </row>
    <row r="10" spans="1:17" ht="14.4" customHeight="1" x14ac:dyDescent="0.3">
      <c r="A10" s="681" t="s">
        <v>1202</v>
      </c>
      <c r="B10" s="672" t="s">
        <v>1050</v>
      </c>
      <c r="C10" s="672" t="s">
        <v>1058</v>
      </c>
      <c r="D10" s="672" t="s">
        <v>1085</v>
      </c>
      <c r="E10" s="672" t="s">
        <v>1086</v>
      </c>
      <c r="F10" s="238">
        <v>12</v>
      </c>
      <c r="G10" s="238">
        <v>25621.08</v>
      </c>
      <c r="H10" s="238">
        <v>1</v>
      </c>
      <c r="I10" s="238">
        <v>2135.09</v>
      </c>
      <c r="J10" s="238">
        <v>17</v>
      </c>
      <c r="K10" s="238">
        <v>38903.80000000001</v>
      </c>
      <c r="L10" s="238">
        <v>1.5184293558273112</v>
      </c>
      <c r="M10" s="238">
        <v>2288.4588235294123</v>
      </c>
      <c r="N10" s="238">
        <v>9</v>
      </c>
      <c r="O10" s="238">
        <v>19758.150000000001</v>
      </c>
      <c r="P10" s="683">
        <v>0.77116772595066252</v>
      </c>
      <c r="Q10" s="714">
        <v>2195.3500000000004</v>
      </c>
    </row>
    <row r="11" spans="1:17" ht="14.4" customHeight="1" x14ac:dyDescent="0.3">
      <c r="A11" s="681" t="s">
        <v>1202</v>
      </c>
      <c r="B11" s="672" t="s">
        <v>1050</v>
      </c>
      <c r="C11" s="672" t="s">
        <v>1058</v>
      </c>
      <c r="D11" s="672" t="s">
        <v>1087</v>
      </c>
      <c r="E11" s="672" t="s">
        <v>1088</v>
      </c>
      <c r="F11" s="238">
        <v>272</v>
      </c>
      <c r="G11" s="238">
        <v>48494.879999999997</v>
      </c>
      <c r="H11" s="238">
        <v>1</v>
      </c>
      <c r="I11" s="238">
        <v>178.29</v>
      </c>
      <c r="J11" s="238">
        <v>347</v>
      </c>
      <c r="K11" s="238">
        <v>67252.070000000007</v>
      </c>
      <c r="L11" s="238">
        <v>1.3867870175160761</v>
      </c>
      <c r="M11" s="238">
        <v>193.81000000000003</v>
      </c>
      <c r="N11" s="238"/>
      <c r="O11" s="238"/>
      <c r="P11" s="683"/>
      <c r="Q11" s="714"/>
    </row>
    <row r="12" spans="1:17" ht="14.4" customHeight="1" x14ac:dyDescent="0.3">
      <c r="A12" s="681" t="s">
        <v>1202</v>
      </c>
      <c r="B12" s="672" t="s">
        <v>1050</v>
      </c>
      <c r="C12" s="672" t="s">
        <v>1058</v>
      </c>
      <c r="D12" s="672" t="s">
        <v>1089</v>
      </c>
      <c r="E12" s="672" t="s">
        <v>1090</v>
      </c>
      <c r="F12" s="238"/>
      <c r="G12" s="238"/>
      <c r="H12" s="238"/>
      <c r="I12" s="238"/>
      <c r="J12" s="238">
        <v>1452</v>
      </c>
      <c r="K12" s="238">
        <v>4457.6399999999994</v>
      </c>
      <c r="L12" s="238"/>
      <c r="M12" s="238">
        <v>3.0699999999999994</v>
      </c>
      <c r="N12" s="238"/>
      <c r="O12" s="238"/>
      <c r="P12" s="683"/>
      <c r="Q12" s="714"/>
    </row>
    <row r="13" spans="1:17" ht="14.4" customHeight="1" x14ac:dyDescent="0.3">
      <c r="A13" s="681" t="s">
        <v>1202</v>
      </c>
      <c r="B13" s="672" t="s">
        <v>1050</v>
      </c>
      <c r="C13" s="672" t="s">
        <v>1058</v>
      </c>
      <c r="D13" s="672" t="s">
        <v>1093</v>
      </c>
      <c r="E13" s="672" t="s">
        <v>1094</v>
      </c>
      <c r="F13" s="238">
        <v>864</v>
      </c>
      <c r="G13" s="238">
        <v>26887.68</v>
      </c>
      <c r="H13" s="238">
        <v>1</v>
      </c>
      <c r="I13" s="238">
        <v>31.12</v>
      </c>
      <c r="J13" s="238">
        <v>1665</v>
      </c>
      <c r="K13" s="238">
        <v>55126.1</v>
      </c>
      <c r="L13" s="238">
        <v>2.0502363907931067</v>
      </c>
      <c r="M13" s="238">
        <v>33.108768768768769</v>
      </c>
      <c r="N13" s="238">
        <v>400</v>
      </c>
      <c r="O13" s="238">
        <v>13320</v>
      </c>
      <c r="P13" s="683">
        <v>0.49539417309340189</v>
      </c>
      <c r="Q13" s="714">
        <v>33.299999999999997</v>
      </c>
    </row>
    <row r="14" spans="1:17" ht="14.4" customHeight="1" x14ac:dyDescent="0.3">
      <c r="A14" s="681" t="s">
        <v>1202</v>
      </c>
      <c r="B14" s="672" t="s">
        <v>1050</v>
      </c>
      <c r="C14" s="672" t="s">
        <v>1110</v>
      </c>
      <c r="D14" s="672" t="s">
        <v>1111</v>
      </c>
      <c r="E14" s="672" t="s">
        <v>1112</v>
      </c>
      <c r="F14" s="238"/>
      <c r="G14" s="238"/>
      <c r="H14" s="238"/>
      <c r="I14" s="238"/>
      <c r="J14" s="238"/>
      <c r="K14" s="238"/>
      <c r="L14" s="238"/>
      <c r="M14" s="238"/>
      <c r="N14" s="238">
        <v>1</v>
      </c>
      <c r="O14" s="238">
        <v>884.32</v>
      </c>
      <c r="P14" s="683"/>
      <c r="Q14" s="714">
        <v>884.32</v>
      </c>
    </row>
    <row r="15" spans="1:17" ht="14.4" customHeight="1" x14ac:dyDescent="0.3">
      <c r="A15" s="681" t="s">
        <v>1202</v>
      </c>
      <c r="B15" s="672" t="s">
        <v>1050</v>
      </c>
      <c r="C15" s="672" t="s">
        <v>1113</v>
      </c>
      <c r="D15" s="672" t="s">
        <v>1116</v>
      </c>
      <c r="E15" s="672" t="s">
        <v>1117</v>
      </c>
      <c r="F15" s="238">
        <v>2</v>
      </c>
      <c r="G15" s="238">
        <v>838</v>
      </c>
      <c r="H15" s="238">
        <v>1</v>
      </c>
      <c r="I15" s="238">
        <v>419</v>
      </c>
      <c r="J15" s="238">
        <v>2</v>
      </c>
      <c r="K15" s="238">
        <v>840</v>
      </c>
      <c r="L15" s="238">
        <v>1.0023866348448687</v>
      </c>
      <c r="M15" s="238">
        <v>420</v>
      </c>
      <c r="N15" s="238">
        <v>1</v>
      </c>
      <c r="O15" s="238">
        <v>420</v>
      </c>
      <c r="P15" s="683">
        <v>0.50119331742243434</v>
      </c>
      <c r="Q15" s="714">
        <v>420</v>
      </c>
    </row>
    <row r="16" spans="1:17" ht="14.4" customHeight="1" x14ac:dyDescent="0.3">
      <c r="A16" s="681" t="s">
        <v>1202</v>
      </c>
      <c r="B16" s="672" t="s">
        <v>1050</v>
      </c>
      <c r="C16" s="672" t="s">
        <v>1113</v>
      </c>
      <c r="D16" s="672" t="s">
        <v>1122</v>
      </c>
      <c r="E16" s="672" t="s">
        <v>1123</v>
      </c>
      <c r="F16" s="238"/>
      <c r="G16" s="238"/>
      <c r="H16" s="238"/>
      <c r="I16" s="238"/>
      <c r="J16" s="238"/>
      <c r="K16" s="238"/>
      <c r="L16" s="238"/>
      <c r="M16" s="238"/>
      <c r="N16" s="238">
        <v>1</v>
      </c>
      <c r="O16" s="238">
        <v>1376</v>
      </c>
      <c r="P16" s="683"/>
      <c r="Q16" s="714">
        <v>1376</v>
      </c>
    </row>
    <row r="17" spans="1:17" ht="14.4" customHeight="1" x14ac:dyDescent="0.3">
      <c r="A17" s="681" t="s">
        <v>1202</v>
      </c>
      <c r="B17" s="672" t="s">
        <v>1050</v>
      </c>
      <c r="C17" s="672" t="s">
        <v>1113</v>
      </c>
      <c r="D17" s="672" t="s">
        <v>1133</v>
      </c>
      <c r="E17" s="672" t="s">
        <v>1134</v>
      </c>
      <c r="F17" s="238"/>
      <c r="G17" s="238"/>
      <c r="H17" s="238"/>
      <c r="I17" s="238"/>
      <c r="J17" s="238">
        <v>1</v>
      </c>
      <c r="K17" s="238">
        <v>1169</v>
      </c>
      <c r="L17" s="238"/>
      <c r="M17" s="238">
        <v>1169</v>
      </c>
      <c r="N17" s="238"/>
      <c r="O17" s="238"/>
      <c r="P17" s="683"/>
      <c r="Q17" s="714"/>
    </row>
    <row r="18" spans="1:17" ht="14.4" customHeight="1" x14ac:dyDescent="0.3">
      <c r="A18" s="681" t="s">
        <v>1202</v>
      </c>
      <c r="B18" s="672" t="s">
        <v>1050</v>
      </c>
      <c r="C18" s="672" t="s">
        <v>1113</v>
      </c>
      <c r="D18" s="672" t="s">
        <v>1137</v>
      </c>
      <c r="E18" s="672" t="s">
        <v>1138</v>
      </c>
      <c r="F18" s="238">
        <v>12</v>
      </c>
      <c r="G18" s="238">
        <v>7836</v>
      </c>
      <c r="H18" s="238">
        <v>1</v>
      </c>
      <c r="I18" s="238">
        <v>653</v>
      </c>
      <c r="J18" s="238">
        <v>17</v>
      </c>
      <c r="K18" s="238">
        <v>11118</v>
      </c>
      <c r="L18" s="238">
        <v>1.4188361408882082</v>
      </c>
      <c r="M18" s="238">
        <v>654</v>
      </c>
      <c r="N18" s="238">
        <v>9</v>
      </c>
      <c r="O18" s="238">
        <v>5886</v>
      </c>
      <c r="P18" s="683">
        <v>0.75114854517611029</v>
      </c>
      <c r="Q18" s="714">
        <v>654</v>
      </c>
    </row>
    <row r="19" spans="1:17" ht="14.4" customHeight="1" x14ac:dyDescent="0.3">
      <c r="A19" s="681" t="s">
        <v>1202</v>
      </c>
      <c r="B19" s="672" t="s">
        <v>1050</v>
      </c>
      <c r="C19" s="672" t="s">
        <v>1113</v>
      </c>
      <c r="D19" s="672" t="s">
        <v>1141</v>
      </c>
      <c r="E19" s="672" t="s">
        <v>1142</v>
      </c>
      <c r="F19" s="238">
        <v>37</v>
      </c>
      <c r="G19" s="238">
        <v>64787</v>
      </c>
      <c r="H19" s="238">
        <v>1</v>
      </c>
      <c r="I19" s="238">
        <v>1751</v>
      </c>
      <c r="J19" s="238">
        <v>39</v>
      </c>
      <c r="K19" s="238">
        <v>68406</v>
      </c>
      <c r="L19" s="238">
        <v>1.0558599719079445</v>
      </c>
      <c r="M19" s="238">
        <v>1754</v>
      </c>
      <c r="N19" s="238">
        <v>53</v>
      </c>
      <c r="O19" s="238">
        <v>92962</v>
      </c>
      <c r="P19" s="683">
        <v>1.4348866284902835</v>
      </c>
      <c r="Q19" s="714">
        <v>1754</v>
      </c>
    </row>
    <row r="20" spans="1:17" ht="14.4" customHeight="1" x14ac:dyDescent="0.3">
      <c r="A20" s="681" t="s">
        <v>1202</v>
      </c>
      <c r="B20" s="672" t="s">
        <v>1050</v>
      </c>
      <c r="C20" s="672" t="s">
        <v>1113</v>
      </c>
      <c r="D20" s="672" t="s">
        <v>1143</v>
      </c>
      <c r="E20" s="672" t="s">
        <v>1144</v>
      </c>
      <c r="F20" s="238">
        <v>31</v>
      </c>
      <c r="G20" s="238">
        <v>12679</v>
      </c>
      <c r="H20" s="238">
        <v>1</v>
      </c>
      <c r="I20" s="238">
        <v>409</v>
      </c>
      <c r="J20" s="238">
        <v>31</v>
      </c>
      <c r="K20" s="238">
        <v>12710</v>
      </c>
      <c r="L20" s="238">
        <v>1.0024449877750612</v>
      </c>
      <c r="M20" s="238">
        <v>410</v>
      </c>
      <c r="N20" s="238">
        <v>42</v>
      </c>
      <c r="O20" s="238">
        <v>17220</v>
      </c>
      <c r="P20" s="683">
        <v>1.3581512737597603</v>
      </c>
      <c r="Q20" s="714">
        <v>410</v>
      </c>
    </row>
    <row r="21" spans="1:17" ht="14.4" customHeight="1" x14ac:dyDescent="0.3">
      <c r="A21" s="681" t="s">
        <v>1202</v>
      </c>
      <c r="B21" s="672" t="s">
        <v>1050</v>
      </c>
      <c r="C21" s="672" t="s">
        <v>1113</v>
      </c>
      <c r="D21" s="672" t="s">
        <v>1203</v>
      </c>
      <c r="E21" s="672" t="s">
        <v>1204</v>
      </c>
      <c r="F21" s="238"/>
      <c r="G21" s="238"/>
      <c r="H21" s="238"/>
      <c r="I21" s="238"/>
      <c r="J21" s="238">
        <v>1</v>
      </c>
      <c r="K21" s="238">
        <v>8491</v>
      </c>
      <c r="L21" s="238"/>
      <c r="M21" s="238">
        <v>8491</v>
      </c>
      <c r="N21" s="238"/>
      <c r="O21" s="238"/>
      <c r="P21" s="683"/>
      <c r="Q21" s="714"/>
    </row>
    <row r="22" spans="1:17" ht="14.4" customHeight="1" x14ac:dyDescent="0.3">
      <c r="A22" s="681" t="s">
        <v>1202</v>
      </c>
      <c r="B22" s="672" t="s">
        <v>1050</v>
      </c>
      <c r="C22" s="672" t="s">
        <v>1113</v>
      </c>
      <c r="D22" s="672" t="s">
        <v>1147</v>
      </c>
      <c r="E22" s="672" t="s">
        <v>1148</v>
      </c>
      <c r="F22" s="238"/>
      <c r="G22" s="238"/>
      <c r="H22" s="238"/>
      <c r="I22" s="238"/>
      <c r="J22" s="238">
        <v>3</v>
      </c>
      <c r="K22" s="238">
        <v>42984</v>
      </c>
      <c r="L22" s="238"/>
      <c r="M22" s="238">
        <v>14328</v>
      </c>
      <c r="N22" s="238">
        <v>1</v>
      </c>
      <c r="O22" s="238">
        <v>14328</v>
      </c>
      <c r="P22" s="683"/>
      <c r="Q22" s="714">
        <v>14328</v>
      </c>
    </row>
    <row r="23" spans="1:17" ht="14.4" customHeight="1" x14ac:dyDescent="0.3">
      <c r="A23" s="681" t="s">
        <v>1202</v>
      </c>
      <c r="B23" s="672" t="s">
        <v>1050</v>
      </c>
      <c r="C23" s="672" t="s">
        <v>1113</v>
      </c>
      <c r="D23" s="672" t="s">
        <v>1153</v>
      </c>
      <c r="E23" s="672" t="s">
        <v>1047</v>
      </c>
      <c r="F23" s="238">
        <v>2</v>
      </c>
      <c r="G23" s="238">
        <v>28316</v>
      </c>
      <c r="H23" s="238">
        <v>1</v>
      </c>
      <c r="I23" s="238">
        <v>14158</v>
      </c>
      <c r="J23" s="238"/>
      <c r="K23" s="238"/>
      <c r="L23" s="238"/>
      <c r="M23" s="238"/>
      <c r="N23" s="238"/>
      <c r="O23" s="238"/>
      <c r="P23" s="683"/>
      <c r="Q23" s="714"/>
    </row>
    <row r="24" spans="1:17" ht="14.4" customHeight="1" x14ac:dyDescent="0.3">
      <c r="A24" s="681" t="s">
        <v>1202</v>
      </c>
      <c r="B24" s="672" t="s">
        <v>1050</v>
      </c>
      <c r="C24" s="672" t="s">
        <v>1113</v>
      </c>
      <c r="D24" s="672" t="s">
        <v>1154</v>
      </c>
      <c r="E24" s="672" t="s">
        <v>1155</v>
      </c>
      <c r="F24" s="238">
        <v>9</v>
      </c>
      <c r="G24" s="238">
        <v>5202</v>
      </c>
      <c r="H24" s="238">
        <v>1</v>
      </c>
      <c r="I24" s="238">
        <v>578</v>
      </c>
      <c r="J24" s="238">
        <v>8</v>
      </c>
      <c r="K24" s="238">
        <v>4640</v>
      </c>
      <c r="L24" s="238">
        <v>0.89196462898885043</v>
      </c>
      <c r="M24" s="238">
        <v>580</v>
      </c>
      <c r="N24" s="238">
        <v>15</v>
      </c>
      <c r="O24" s="238">
        <v>8700</v>
      </c>
      <c r="P24" s="683">
        <v>1.6724336793540946</v>
      </c>
      <c r="Q24" s="714">
        <v>580</v>
      </c>
    </row>
    <row r="25" spans="1:17" ht="14.4" customHeight="1" x14ac:dyDescent="0.3">
      <c r="A25" s="681" t="s">
        <v>1202</v>
      </c>
      <c r="B25" s="672" t="s">
        <v>1050</v>
      </c>
      <c r="C25" s="672" t="s">
        <v>1113</v>
      </c>
      <c r="D25" s="672" t="s">
        <v>1158</v>
      </c>
      <c r="E25" s="672" t="s">
        <v>1159</v>
      </c>
      <c r="F25" s="238"/>
      <c r="G25" s="238"/>
      <c r="H25" s="238"/>
      <c r="I25" s="238"/>
      <c r="J25" s="238">
        <v>2</v>
      </c>
      <c r="K25" s="238">
        <v>2572</v>
      </c>
      <c r="L25" s="238"/>
      <c r="M25" s="238">
        <v>1286</v>
      </c>
      <c r="N25" s="238"/>
      <c r="O25" s="238"/>
      <c r="P25" s="683"/>
      <c r="Q25" s="714"/>
    </row>
    <row r="26" spans="1:17" ht="14.4" customHeight="1" x14ac:dyDescent="0.3">
      <c r="A26" s="681" t="s">
        <v>1202</v>
      </c>
      <c r="B26" s="672" t="s">
        <v>1050</v>
      </c>
      <c r="C26" s="672" t="s">
        <v>1113</v>
      </c>
      <c r="D26" s="672" t="s">
        <v>1160</v>
      </c>
      <c r="E26" s="672" t="s">
        <v>1161</v>
      </c>
      <c r="F26" s="238">
        <v>14</v>
      </c>
      <c r="G26" s="238">
        <v>6804</v>
      </c>
      <c r="H26" s="238">
        <v>1</v>
      </c>
      <c r="I26" s="238">
        <v>486</v>
      </c>
      <c r="J26" s="238">
        <v>19</v>
      </c>
      <c r="K26" s="238">
        <v>9253</v>
      </c>
      <c r="L26" s="238">
        <v>1.3599353321575545</v>
      </c>
      <c r="M26" s="238">
        <v>487</v>
      </c>
      <c r="N26" s="238">
        <v>13</v>
      </c>
      <c r="O26" s="238">
        <v>6331</v>
      </c>
      <c r="P26" s="683">
        <v>0.93048206937095823</v>
      </c>
      <c r="Q26" s="714">
        <v>487</v>
      </c>
    </row>
    <row r="27" spans="1:17" ht="14.4" customHeight="1" x14ac:dyDescent="0.3">
      <c r="A27" s="681" t="s">
        <v>1202</v>
      </c>
      <c r="B27" s="672" t="s">
        <v>1050</v>
      </c>
      <c r="C27" s="672" t="s">
        <v>1113</v>
      </c>
      <c r="D27" s="672" t="s">
        <v>1164</v>
      </c>
      <c r="E27" s="672" t="s">
        <v>1165</v>
      </c>
      <c r="F27" s="238">
        <v>1</v>
      </c>
      <c r="G27" s="238">
        <v>2529</v>
      </c>
      <c r="H27" s="238">
        <v>1</v>
      </c>
      <c r="I27" s="238">
        <v>2529</v>
      </c>
      <c r="J27" s="238">
        <v>1</v>
      </c>
      <c r="K27" s="238">
        <v>2535</v>
      </c>
      <c r="L27" s="238">
        <v>1.0023724792408066</v>
      </c>
      <c r="M27" s="238">
        <v>2535</v>
      </c>
      <c r="N27" s="238"/>
      <c r="O27" s="238"/>
      <c r="P27" s="683"/>
      <c r="Q27" s="714"/>
    </row>
    <row r="28" spans="1:17" ht="14.4" customHeight="1" x14ac:dyDescent="0.3">
      <c r="A28" s="681" t="s">
        <v>1205</v>
      </c>
      <c r="B28" s="672" t="s">
        <v>1050</v>
      </c>
      <c r="C28" s="672" t="s">
        <v>1051</v>
      </c>
      <c r="D28" s="672" t="s">
        <v>1053</v>
      </c>
      <c r="E28" s="672" t="s">
        <v>634</v>
      </c>
      <c r="F28" s="238"/>
      <c r="G28" s="238"/>
      <c r="H28" s="238"/>
      <c r="I28" s="238"/>
      <c r="J28" s="238"/>
      <c r="K28" s="238"/>
      <c r="L28" s="238"/>
      <c r="M28" s="238"/>
      <c r="N28" s="238">
        <v>1</v>
      </c>
      <c r="O28" s="238">
        <v>1092.1600000000001</v>
      </c>
      <c r="P28" s="683"/>
      <c r="Q28" s="714">
        <v>1092.1600000000001</v>
      </c>
    </row>
    <row r="29" spans="1:17" ht="14.4" customHeight="1" x14ac:dyDescent="0.3">
      <c r="A29" s="681" t="s">
        <v>1205</v>
      </c>
      <c r="B29" s="672" t="s">
        <v>1050</v>
      </c>
      <c r="C29" s="672" t="s">
        <v>1051</v>
      </c>
      <c r="D29" s="672" t="s">
        <v>1054</v>
      </c>
      <c r="E29" s="672" t="s">
        <v>634</v>
      </c>
      <c r="F29" s="238"/>
      <c r="G29" s="238"/>
      <c r="H29" s="238"/>
      <c r="I29" s="238"/>
      <c r="J29" s="238">
        <v>1.7000000000000002</v>
      </c>
      <c r="K29" s="238">
        <v>3713.33</v>
      </c>
      <c r="L29" s="238"/>
      <c r="M29" s="238">
        <v>2184.3117647058821</v>
      </c>
      <c r="N29" s="238">
        <v>1.6</v>
      </c>
      <c r="O29" s="238">
        <v>3494.91</v>
      </c>
      <c r="P29" s="683"/>
      <c r="Q29" s="714">
        <v>2184.3187499999999</v>
      </c>
    </row>
    <row r="30" spans="1:17" ht="14.4" customHeight="1" x14ac:dyDescent="0.3">
      <c r="A30" s="681" t="s">
        <v>1205</v>
      </c>
      <c r="B30" s="672" t="s">
        <v>1050</v>
      </c>
      <c r="C30" s="672" t="s">
        <v>1051</v>
      </c>
      <c r="D30" s="672" t="s">
        <v>1055</v>
      </c>
      <c r="E30" s="672" t="s">
        <v>630</v>
      </c>
      <c r="F30" s="238"/>
      <c r="G30" s="238"/>
      <c r="H30" s="238"/>
      <c r="I30" s="238"/>
      <c r="J30" s="238">
        <v>0.1</v>
      </c>
      <c r="K30" s="238">
        <v>94.48</v>
      </c>
      <c r="L30" s="238"/>
      <c r="M30" s="238">
        <v>944.8</v>
      </c>
      <c r="N30" s="238">
        <v>0.05</v>
      </c>
      <c r="O30" s="238">
        <v>47.24</v>
      </c>
      <c r="P30" s="683"/>
      <c r="Q30" s="714">
        <v>944.8</v>
      </c>
    </row>
    <row r="31" spans="1:17" ht="14.4" customHeight="1" x14ac:dyDescent="0.3">
      <c r="A31" s="681" t="s">
        <v>1205</v>
      </c>
      <c r="B31" s="672" t="s">
        <v>1050</v>
      </c>
      <c r="C31" s="672" t="s">
        <v>1058</v>
      </c>
      <c r="D31" s="672" t="s">
        <v>1063</v>
      </c>
      <c r="E31" s="672" t="s">
        <v>1064</v>
      </c>
      <c r="F31" s="238">
        <v>1500</v>
      </c>
      <c r="G31" s="238">
        <v>6795</v>
      </c>
      <c r="H31" s="238">
        <v>1</v>
      </c>
      <c r="I31" s="238">
        <v>4.53</v>
      </c>
      <c r="J31" s="238">
        <v>1460</v>
      </c>
      <c r="K31" s="238">
        <v>6893.6</v>
      </c>
      <c r="L31" s="238">
        <v>1.0145106696100075</v>
      </c>
      <c r="M31" s="238">
        <v>4.7216438356164385</v>
      </c>
      <c r="N31" s="238">
        <v>1430</v>
      </c>
      <c r="O31" s="238">
        <v>7293</v>
      </c>
      <c r="P31" s="683">
        <v>1.0732891832229581</v>
      </c>
      <c r="Q31" s="714">
        <v>5.0999999999999996</v>
      </c>
    </row>
    <row r="32" spans="1:17" ht="14.4" customHeight="1" x14ac:dyDescent="0.3">
      <c r="A32" s="681" t="s">
        <v>1205</v>
      </c>
      <c r="B32" s="672" t="s">
        <v>1050</v>
      </c>
      <c r="C32" s="672" t="s">
        <v>1058</v>
      </c>
      <c r="D32" s="672" t="s">
        <v>1085</v>
      </c>
      <c r="E32" s="672" t="s">
        <v>1086</v>
      </c>
      <c r="F32" s="238">
        <v>5</v>
      </c>
      <c r="G32" s="238">
        <v>10675.45</v>
      </c>
      <c r="H32" s="238">
        <v>1</v>
      </c>
      <c r="I32" s="238">
        <v>2135.09</v>
      </c>
      <c r="J32" s="238">
        <v>6</v>
      </c>
      <c r="K32" s="238">
        <v>13646.460000000001</v>
      </c>
      <c r="L32" s="238">
        <v>1.2783030223550296</v>
      </c>
      <c r="M32" s="238">
        <v>2274.4100000000003</v>
      </c>
      <c r="N32" s="238">
        <v>8</v>
      </c>
      <c r="O32" s="238">
        <v>17562.8</v>
      </c>
      <c r="P32" s="683">
        <v>1.6451578153614133</v>
      </c>
      <c r="Q32" s="714">
        <v>2195.35</v>
      </c>
    </row>
    <row r="33" spans="1:17" ht="14.4" customHeight="1" x14ac:dyDescent="0.3">
      <c r="A33" s="681" t="s">
        <v>1205</v>
      </c>
      <c r="B33" s="672" t="s">
        <v>1050</v>
      </c>
      <c r="C33" s="672" t="s">
        <v>1058</v>
      </c>
      <c r="D33" s="672" t="s">
        <v>1093</v>
      </c>
      <c r="E33" s="672" t="s">
        <v>1094</v>
      </c>
      <c r="F33" s="238"/>
      <c r="G33" s="238"/>
      <c r="H33" s="238"/>
      <c r="I33" s="238"/>
      <c r="J33" s="238">
        <v>2286</v>
      </c>
      <c r="K33" s="238">
        <v>75462.319999999992</v>
      </c>
      <c r="L33" s="238"/>
      <c r="M33" s="238">
        <v>33.010638670166223</v>
      </c>
      <c r="N33" s="238">
        <v>1790</v>
      </c>
      <c r="O33" s="238">
        <v>59607</v>
      </c>
      <c r="P33" s="683"/>
      <c r="Q33" s="714">
        <v>33.299999999999997</v>
      </c>
    </row>
    <row r="34" spans="1:17" ht="14.4" customHeight="1" x14ac:dyDescent="0.3">
      <c r="A34" s="681" t="s">
        <v>1205</v>
      </c>
      <c r="B34" s="672" t="s">
        <v>1050</v>
      </c>
      <c r="C34" s="672" t="s">
        <v>1110</v>
      </c>
      <c r="D34" s="672" t="s">
        <v>1111</v>
      </c>
      <c r="E34" s="672" t="s">
        <v>1112</v>
      </c>
      <c r="F34" s="238"/>
      <c r="G34" s="238"/>
      <c r="H34" s="238"/>
      <c r="I34" s="238"/>
      <c r="J34" s="238"/>
      <c r="K34" s="238"/>
      <c r="L34" s="238"/>
      <c r="M34" s="238"/>
      <c r="N34" s="238">
        <v>3</v>
      </c>
      <c r="O34" s="238">
        <v>2652.96</v>
      </c>
      <c r="P34" s="683"/>
      <c r="Q34" s="714">
        <v>884.32</v>
      </c>
    </row>
    <row r="35" spans="1:17" ht="14.4" customHeight="1" x14ac:dyDescent="0.3">
      <c r="A35" s="681" t="s">
        <v>1205</v>
      </c>
      <c r="B35" s="672" t="s">
        <v>1050</v>
      </c>
      <c r="C35" s="672" t="s">
        <v>1113</v>
      </c>
      <c r="D35" s="672" t="s">
        <v>1137</v>
      </c>
      <c r="E35" s="672" t="s">
        <v>1138</v>
      </c>
      <c r="F35" s="238">
        <v>5</v>
      </c>
      <c r="G35" s="238">
        <v>3265</v>
      </c>
      <c r="H35" s="238">
        <v>1</v>
      </c>
      <c r="I35" s="238">
        <v>653</v>
      </c>
      <c r="J35" s="238">
        <v>6</v>
      </c>
      <c r="K35" s="238">
        <v>3924</v>
      </c>
      <c r="L35" s="238">
        <v>1.2018376722817765</v>
      </c>
      <c r="M35" s="238">
        <v>654</v>
      </c>
      <c r="N35" s="238">
        <v>8</v>
      </c>
      <c r="O35" s="238">
        <v>5232</v>
      </c>
      <c r="P35" s="683">
        <v>1.6024502297090353</v>
      </c>
      <c r="Q35" s="714">
        <v>654</v>
      </c>
    </row>
    <row r="36" spans="1:17" ht="14.4" customHeight="1" x14ac:dyDescent="0.3">
      <c r="A36" s="681" t="s">
        <v>1205</v>
      </c>
      <c r="B36" s="672" t="s">
        <v>1050</v>
      </c>
      <c r="C36" s="672" t="s">
        <v>1113</v>
      </c>
      <c r="D36" s="672" t="s">
        <v>1141</v>
      </c>
      <c r="E36" s="672" t="s">
        <v>1142</v>
      </c>
      <c r="F36" s="238">
        <v>3</v>
      </c>
      <c r="G36" s="238">
        <v>5253</v>
      </c>
      <c r="H36" s="238">
        <v>1</v>
      </c>
      <c r="I36" s="238">
        <v>1751</v>
      </c>
      <c r="J36" s="238">
        <v>3</v>
      </c>
      <c r="K36" s="238">
        <v>5262</v>
      </c>
      <c r="L36" s="238">
        <v>1.001713306681896</v>
      </c>
      <c r="M36" s="238">
        <v>1754</v>
      </c>
      <c r="N36" s="238">
        <v>1</v>
      </c>
      <c r="O36" s="238">
        <v>1754</v>
      </c>
      <c r="P36" s="683">
        <v>0.33390443556063204</v>
      </c>
      <c r="Q36" s="714">
        <v>1754</v>
      </c>
    </row>
    <row r="37" spans="1:17" ht="14.4" customHeight="1" x14ac:dyDescent="0.3">
      <c r="A37" s="681" t="s">
        <v>1205</v>
      </c>
      <c r="B37" s="672" t="s">
        <v>1050</v>
      </c>
      <c r="C37" s="672" t="s">
        <v>1113</v>
      </c>
      <c r="D37" s="672" t="s">
        <v>1147</v>
      </c>
      <c r="E37" s="672" t="s">
        <v>1148</v>
      </c>
      <c r="F37" s="238"/>
      <c r="G37" s="238"/>
      <c r="H37" s="238"/>
      <c r="I37" s="238"/>
      <c r="J37" s="238">
        <v>5</v>
      </c>
      <c r="K37" s="238">
        <v>71640</v>
      </c>
      <c r="L37" s="238"/>
      <c r="M37" s="238">
        <v>14328</v>
      </c>
      <c r="N37" s="238">
        <v>4</v>
      </c>
      <c r="O37" s="238">
        <v>57312</v>
      </c>
      <c r="P37" s="683"/>
      <c r="Q37" s="714">
        <v>14328</v>
      </c>
    </row>
    <row r="38" spans="1:17" ht="14.4" customHeight="1" x14ac:dyDescent="0.3">
      <c r="A38" s="681" t="s">
        <v>1205</v>
      </c>
      <c r="B38" s="672" t="s">
        <v>1050</v>
      </c>
      <c r="C38" s="672" t="s">
        <v>1113</v>
      </c>
      <c r="D38" s="672" t="s">
        <v>1153</v>
      </c>
      <c r="E38" s="672" t="s">
        <v>1047</v>
      </c>
      <c r="F38" s="238">
        <v>1</v>
      </c>
      <c r="G38" s="238">
        <v>14158</v>
      </c>
      <c r="H38" s="238">
        <v>1</v>
      </c>
      <c r="I38" s="238">
        <v>14158</v>
      </c>
      <c r="J38" s="238"/>
      <c r="K38" s="238"/>
      <c r="L38" s="238"/>
      <c r="M38" s="238"/>
      <c r="N38" s="238"/>
      <c r="O38" s="238"/>
      <c r="P38" s="683"/>
      <c r="Q38" s="714"/>
    </row>
    <row r="39" spans="1:17" ht="14.4" customHeight="1" x14ac:dyDescent="0.3">
      <c r="A39" s="681" t="s">
        <v>1205</v>
      </c>
      <c r="B39" s="672" t="s">
        <v>1050</v>
      </c>
      <c r="C39" s="672" t="s">
        <v>1113</v>
      </c>
      <c r="D39" s="672" t="s">
        <v>1160</v>
      </c>
      <c r="E39" s="672" t="s">
        <v>1161</v>
      </c>
      <c r="F39" s="238">
        <v>8</v>
      </c>
      <c r="G39" s="238">
        <v>3888</v>
      </c>
      <c r="H39" s="238">
        <v>1</v>
      </c>
      <c r="I39" s="238">
        <v>486</v>
      </c>
      <c r="J39" s="238">
        <v>9</v>
      </c>
      <c r="K39" s="238">
        <v>4383</v>
      </c>
      <c r="L39" s="238">
        <v>1.1273148148148149</v>
      </c>
      <c r="M39" s="238">
        <v>487</v>
      </c>
      <c r="N39" s="238">
        <v>9</v>
      </c>
      <c r="O39" s="238">
        <v>4383</v>
      </c>
      <c r="P39" s="683">
        <v>1.1273148148148149</v>
      </c>
      <c r="Q39" s="714">
        <v>487</v>
      </c>
    </row>
    <row r="40" spans="1:17" ht="14.4" customHeight="1" x14ac:dyDescent="0.3">
      <c r="A40" s="681" t="s">
        <v>1206</v>
      </c>
      <c r="B40" s="672" t="s">
        <v>1050</v>
      </c>
      <c r="C40" s="672" t="s">
        <v>1051</v>
      </c>
      <c r="D40" s="672" t="s">
        <v>1053</v>
      </c>
      <c r="E40" s="672" t="s">
        <v>634</v>
      </c>
      <c r="F40" s="238"/>
      <c r="G40" s="238"/>
      <c r="H40" s="238"/>
      <c r="I40" s="238"/>
      <c r="J40" s="238">
        <v>0.2</v>
      </c>
      <c r="K40" s="238">
        <v>218.43</v>
      </c>
      <c r="L40" s="238"/>
      <c r="M40" s="238">
        <v>1092.1499999999999</v>
      </c>
      <c r="N40" s="238"/>
      <c r="O40" s="238"/>
      <c r="P40" s="683"/>
      <c r="Q40" s="714"/>
    </row>
    <row r="41" spans="1:17" ht="14.4" customHeight="1" x14ac:dyDescent="0.3">
      <c r="A41" s="681" t="s">
        <v>1206</v>
      </c>
      <c r="B41" s="672" t="s">
        <v>1050</v>
      </c>
      <c r="C41" s="672" t="s">
        <v>1051</v>
      </c>
      <c r="D41" s="672" t="s">
        <v>1054</v>
      </c>
      <c r="E41" s="672" t="s">
        <v>634</v>
      </c>
      <c r="F41" s="238">
        <v>2.4500000000000002</v>
      </c>
      <c r="G41" s="238">
        <v>5305.07</v>
      </c>
      <c r="H41" s="238">
        <v>1</v>
      </c>
      <c r="I41" s="238">
        <v>2165.3346938775508</v>
      </c>
      <c r="J41" s="238">
        <v>2.85</v>
      </c>
      <c r="K41" s="238">
        <v>6225.3000000000011</v>
      </c>
      <c r="L41" s="238">
        <v>1.1734623671318194</v>
      </c>
      <c r="M41" s="238">
        <v>2184.3157894736846</v>
      </c>
      <c r="N41" s="238">
        <v>6.5</v>
      </c>
      <c r="O41" s="238">
        <v>14198.029999999999</v>
      </c>
      <c r="P41" s="683">
        <v>2.6763134133951105</v>
      </c>
      <c r="Q41" s="714">
        <v>2184.3123076923075</v>
      </c>
    </row>
    <row r="42" spans="1:17" ht="14.4" customHeight="1" x14ac:dyDescent="0.3">
      <c r="A42" s="681" t="s">
        <v>1206</v>
      </c>
      <c r="B42" s="672" t="s">
        <v>1050</v>
      </c>
      <c r="C42" s="672" t="s">
        <v>1051</v>
      </c>
      <c r="D42" s="672" t="s">
        <v>1055</v>
      </c>
      <c r="E42" s="672" t="s">
        <v>630</v>
      </c>
      <c r="F42" s="238">
        <v>0.15000000000000002</v>
      </c>
      <c r="G42" s="238">
        <v>140.49</v>
      </c>
      <c r="H42" s="238">
        <v>1</v>
      </c>
      <c r="I42" s="238">
        <v>936.59999999999991</v>
      </c>
      <c r="J42" s="238">
        <v>0.15000000000000002</v>
      </c>
      <c r="K42" s="238">
        <v>141.72</v>
      </c>
      <c r="L42" s="238">
        <v>1.0087550715353406</v>
      </c>
      <c r="M42" s="238">
        <v>944.79999999999984</v>
      </c>
      <c r="N42" s="238">
        <v>0.25</v>
      </c>
      <c r="O42" s="238">
        <v>236.20000000000002</v>
      </c>
      <c r="P42" s="683">
        <v>1.6812584525589009</v>
      </c>
      <c r="Q42" s="714">
        <v>944.80000000000007</v>
      </c>
    </row>
    <row r="43" spans="1:17" ht="14.4" customHeight="1" x14ac:dyDescent="0.3">
      <c r="A43" s="681" t="s">
        <v>1206</v>
      </c>
      <c r="B43" s="672" t="s">
        <v>1050</v>
      </c>
      <c r="C43" s="672" t="s">
        <v>1058</v>
      </c>
      <c r="D43" s="672" t="s">
        <v>1059</v>
      </c>
      <c r="E43" s="672" t="s">
        <v>1060</v>
      </c>
      <c r="F43" s="238">
        <v>180</v>
      </c>
      <c r="G43" s="238">
        <v>3522.6</v>
      </c>
      <c r="H43" s="238">
        <v>1</v>
      </c>
      <c r="I43" s="238">
        <v>19.57</v>
      </c>
      <c r="J43" s="238"/>
      <c r="K43" s="238"/>
      <c r="L43" s="238"/>
      <c r="M43" s="238"/>
      <c r="N43" s="238"/>
      <c r="O43" s="238"/>
      <c r="P43" s="683"/>
      <c r="Q43" s="714"/>
    </row>
    <row r="44" spans="1:17" ht="14.4" customHeight="1" x14ac:dyDescent="0.3">
      <c r="A44" s="681" t="s">
        <v>1206</v>
      </c>
      <c r="B44" s="672" t="s">
        <v>1050</v>
      </c>
      <c r="C44" s="672" t="s">
        <v>1058</v>
      </c>
      <c r="D44" s="672" t="s">
        <v>1061</v>
      </c>
      <c r="E44" s="672" t="s">
        <v>1062</v>
      </c>
      <c r="F44" s="238">
        <v>300</v>
      </c>
      <c r="G44" s="238">
        <v>546</v>
      </c>
      <c r="H44" s="238">
        <v>1</v>
      </c>
      <c r="I44" s="238">
        <v>1.82</v>
      </c>
      <c r="J44" s="238">
        <v>580</v>
      </c>
      <c r="K44" s="238">
        <v>1103.8</v>
      </c>
      <c r="L44" s="238">
        <v>2.0216117216117215</v>
      </c>
      <c r="M44" s="238">
        <v>1.903103448275862</v>
      </c>
      <c r="N44" s="238">
        <v>100</v>
      </c>
      <c r="O44" s="238">
        <v>200</v>
      </c>
      <c r="P44" s="683">
        <v>0.36630036630036628</v>
      </c>
      <c r="Q44" s="714">
        <v>2</v>
      </c>
    </row>
    <row r="45" spans="1:17" ht="14.4" customHeight="1" x14ac:dyDescent="0.3">
      <c r="A45" s="681" t="s">
        <v>1206</v>
      </c>
      <c r="B45" s="672" t="s">
        <v>1050</v>
      </c>
      <c r="C45" s="672" t="s">
        <v>1058</v>
      </c>
      <c r="D45" s="672" t="s">
        <v>1063</v>
      </c>
      <c r="E45" s="672" t="s">
        <v>1064</v>
      </c>
      <c r="F45" s="238">
        <v>4910</v>
      </c>
      <c r="G45" s="238">
        <v>22242.3</v>
      </c>
      <c r="H45" s="238">
        <v>1</v>
      </c>
      <c r="I45" s="238">
        <v>4.53</v>
      </c>
      <c r="J45" s="238">
        <v>3310</v>
      </c>
      <c r="K45" s="238">
        <v>15698.200000000003</v>
      </c>
      <c r="L45" s="238">
        <v>0.70578132657144288</v>
      </c>
      <c r="M45" s="238">
        <v>4.7426586102719037</v>
      </c>
      <c r="N45" s="238">
        <v>3200</v>
      </c>
      <c r="O45" s="238">
        <v>16320</v>
      </c>
      <c r="P45" s="683">
        <v>0.73373706855855736</v>
      </c>
      <c r="Q45" s="714">
        <v>5.0999999999999996</v>
      </c>
    </row>
    <row r="46" spans="1:17" ht="14.4" customHeight="1" x14ac:dyDescent="0.3">
      <c r="A46" s="681" t="s">
        <v>1206</v>
      </c>
      <c r="B46" s="672" t="s">
        <v>1050</v>
      </c>
      <c r="C46" s="672" t="s">
        <v>1058</v>
      </c>
      <c r="D46" s="672" t="s">
        <v>1069</v>
      </c>
      <c r="E46" s="672" t="s">
        <v>1070</v>
      </c>
      <c r="F46" s="238">
        <v>16500</v>
      </c>
      <c r="G46" s="238">
        <v>87615</v>
      </c>
      <c r="H46" s="238">
        <v>1</v>
      </c>
      <c r="I46" s="238">
        <v>5.31</v>
      </c>
      <c r="J46" s="238">
        <v>8300</v>
      </c>
      <c r="K46" s="238">
        <v>45998</v>
      </c>
      <c r="L46" s="238">
        <v>0.52500142669634198</v>
      </c>
      <c r="M46" s="238">
        <v>5.5419277108433738</v>
      </c>
      <c r="N46" s="238">
        <v>4700</v>
      </c>
      <c r="O46" s="238">
        <v>26085</v>
      </c>
      <c r="P46" s="683">
        <v>0.29772299263824686</v>
      </c>
      <c r="Q46" s="714">
        <v>5.55</v>
      </c>
    </row>
    <row r="47" spans="1:17" ht="14.4" customHeight="1" x14ac:dyDescent="0.3">
      <c r="A47" s="681" t="s">
        <v>1206</v>
      </c>
      <c r="B47" s="672" t="s">
        <v>1050</v>
      </c>
      <c r="C47" s="672" t="s">
        <v>1058</v>
      </c>
      <c r="D47" s="672" t="s">
        <v>1073</v>
      </c>
      <c r="E47" s="672" t="s">
        <v>1074</v>
      </c>
      <c r="F47" s="238">
        <v>60</v>
      </c>
      <c r="G47" s="238">
        <v>437.4</v>
      </c>
      <c r="H47" s="238">
        <v>1</v>
      </c>
      <c r="I47" s="238">
        <v>7.29</v>
      </c>
      <c r="J47" s="238">
        <v>70</v>
      </c>
      <c r="K47" s="238">
        <v>540.9</v>
      </c>
      <c r="L47" s="238">
        <v>1.2366255144032923</v>
      </c>
      <c r="M47" s="238">
        <v>7.7271428571428569</v>
      </c>
      <c r="N47" s="238">
        <v>90</v>
      </c>
      <c r="O47" s="238">
        <v>710.09999999999991</v>
      </c>
      <c r="P47" s="683">
        <v>1.6234567901234567</v>
      </c>
      <c r="Q47" s="714">
        <v>7.8899999999999988</v>
      </c>
    </row>
    <row r="48" spans="1:17" ht="14.4" customHeight="1" x14ac:dyDescent="0.3">
      <c r="A48" s="681" t="s">
        <v>1206</v>
      </c>
      <c r="B48" s="672" t="s">
        <v>1050</v>
      </c>
      <c r="C48" s="672" t="s">
        <v>1058</v>
      </c>
      <c r="D48" s="672" t="s">
        <v>1081</v>
      </c>
      <c r="E48" s="672" t="s">
        <v>1082</v>
      </c>
      <c r="F48" s="238">
        <v>1065</v>
      </c>
      <c r="G48" s="238">
        <v>16965.449999999997</v>
      </c>
      <c r="H48" s="238">
        <v>1</v>
      </c>
      <c r="I48" s="238">
        <v>15.929999999999998</v>
      </c>
      <c r="J48" s="238"/>
      <c r="K48" s="238"/>
      <c r="L48" s="238"/>
      <c r="M48" s="238"/>
      <c r="N48" s="238">
        <v>1077</v>
      </c>
      <c r="O48" s="238">
        <v>20592.240000000002</v>
      </c>
      <c r="P48" s="683">
        <v>1.2137750545962533</v>
      </c>
      <c r="Q48" s="714">
        <v>19.12</v>
      </c>
    </row>
    <row r="49" spans="1:17" ht="14.4" customHeight="1" x14ac:dyDescent="0.3">
      <c r="A49" s="681" t="s">
        <v>1206</v>
      </c>
      <c r="B49" s="672" t="s">
        <v>1050</v>
      </c>
      <c r="C49" s="672" t="s">
        <v>1058</v>
      </c>
      <c r="D49" s="672" t="s">
        <v>1085</v>
      </c>
      <c r="E49" s="672" t="s">
        <v>1086</v>
      </c>
      <c r="F49" s="238">
        <v>12</v>
      </c>
      <c r="G49" s="238">
        <v>25621.08</v>
      </c>
      <c r="H49" s="238">
        <v>1</v>
      </c>
      <c r="I49" s="238">
        <v>2135.09</v>
      </c>
      <c r="J49" s="238">
        <v>6</v>
      </c>
      <c r="K49" s="238">
        <v>13684.170000000002</v>
      </c>
      <c r="L49" s="238">
        <v>0.53409809422553622</v>
      </c>
      <c r="M49" s="238">
        <v>2280.6950000000002</v>
      </c>
      <c r="N49" s="238">
        <v>9</v>
      </c>
      <c r="O49" s="238">
        <v>19758.150000000001</v>
      </c>
      <c r="P49" s="683">
        <v>0.77116772595066252</v>
      </c>
      <c r="Q49" s="714">
        <v>2195.3500000000004</v>
      </c>
    </row>
    <row r="50" spans="1:17" ht="14.4" customHeight="1" x14ac:dyDescent="0.3">
      <c r="A50" s="681" t="s">
        <v>1206</v>
      </c>
      <c r="B50" s="672" t="s">
        <v>1050</v>
      </c>
      <c r="C50" s="672" t="s">
        <v>1058</v>
      </c>
      <c r="D50" s="672" t="s">
        <v>1089</v>
      </c>
      <c r="E50" s="672" t="s">
        <v>1090</v>
      </c>
      <c r="F50" s="238">
        <v>2222</v>
      </c>
      <c r="G50" s="238">
        <v>6532.68</v>
      </c>
      <c r="H50" s="238">
        <v>1</v>
      </c>
      <c r="I50" s="238">
        <v>2.94</v>
      </c>
      <c r="J50" s="238">
        <v>646</v>
      </c>
      <c r="K50" s="238">
        <v>2015.52</v>
      </c>
      <c r="L50" s="238">
        <v>0.30852881206487992</v>
      </c>
      <c r="M50" s="238">
        <v>3.12</v>
      </c>
      <c r="N50" s="238">
        <v>5103</v>
      </c>
      <c r="O50" s="238">
        <v>16635.78</v>
      </c>
      <c r="P50" s="683">
        <v>2.5465475118940462</v>
      </c>
      <c r="Q50" s="714">
        <v>3.26</v>
      </c>
    </row>
    <row r="51" spans="1:17" ht="14.4" customHeight="1" x14ac:dyDescent="0.3">
      <c r="A51" s="681" t="s">
        <v>1206</v>
      </c>
      <c r="B51" s="672" t="s">
        <v>1050</v>
      </c>
      <c r="C51" s="672" t="s">
        <v>1058</v>
      </c>
      <c r="D51" s="672" t="s">
        <v>1093</v>
      </c>
      <c r="E51" s="672" t="s">
        <v>1094</v>
      </c>
      <c r="F51" s="238">
        <v>2027</v>
      </c>
      <c r="G51" s="238">
        <v>63080.24</v>
      </c>
      <c r="H51" s="238">
        <v>1</v>
      </c>
      <c r="I51" s="238">
        <v>31.119999999999997</v>
      </c>
      <c r="J51" s="238">
        <v>2890</v>
      </c>
      <c r="K51" s="238">
        <v>95415.3</v>
      </c>
      <c r="L51" s="238">
        <v>1.5126020446339457</v>
      </c>
      <c r="M51" s="238">
        <v>33.015674740484428</v>
      </c>
      <c r="N51" s="238">
        <v>5696</v>
      </c>
      <c r="O51" s="238">
        <v>189676.80000000002</v>
      </c>
      <c r="P51" s="683">
        <v>3.0069130998867477</v>
      </c>
      <c r="Q51" s="714">
        <v>33.300000000000004</v>
      </c>
    </row>
    <row r="52" spans="1:17" ht="14.4" customHeight="1" x14ac:dyDescent="0.3">
      <c r="A52" s="681" t="s">
        <v>1206</v>
      </c>
      <c r="B52" s="672" t="s">
        <v>1050</v>
      </c>
      <c r="C52" s="672" t="s">
        <v>1110</v>
      </c>
      <c r="D52" s="672" t="s">
        <v>1111</v>
      </c>
      <c r="E52" s="672" t="s">
        <v>1112</v>
      </c>
      <c r="F52" s="238"/>
      <c r="G52" s="238"/>
      <c r="H52" s="238"/>
      <c r="I52" s="238"/>
      <c r="J52" s="238"/>
      <c r="K52" s="238"/>
      <c r="L52" s="238"/>
      <c r="M52" s="238"/>
      <c r="N52" s="238">
        <v>6</v>
      </c>
      <c r="O52" s="238">
        <v>5305.92</v>
      </c>
      <c r="P52" s="683"/>
      <c r="Q52" s="714">
        <v>884.32</v>
      </c>
    </row>
    <row r="53" spans="1:17" ht="14.4" customHeight="1" x14ac:dyDescent="0.3">
      <c r="A53" s="681" t="s">
        <v>1206</v>
      </c>
      <c r="B53" s="672" t="s">
        <v>1050</v>
      </c>
      <c r="C53" s="672" t="s">
        <v>1113</v>
      </c>
      <c r="D53" s="672" t="s">
        <v>1114</v>
      </c>
      <c r="E53" s="672" t="s">
        <v>1115</v>
      </c>
      <c r="F53" s="238">
        <v>1</v>
      </c>
      <c r="G53" s="238">
        <v>34</v>
      </c>
      <c r="H53" s="238">
        <v>1</v>
      </c>
      <c r="I53" s="238">
        <v>34</v>
      </c>
      <c r="J53" s="238"/>
      <c r="K53" s="238"/>
      <c r="L53" s="238"/>
      <c r="M53" s="238"/>
      <c r="N53" s="238"/>
      <c r="O53" s="238"/>
      <c r="P53" s="683"/>
      <c r="Q53" s="714"/>
    </row>
    <row r="54" spans="1:17" ht="14.4" customHeight="1" x14ac:dyDescent="0.3">
      <c r="A54" s="681" t="s">
        <v>1206</v>
      </c>
      <c r="B54" s="672" t="s">
        <v>1050</v>
      </c>
      <c r="C54" s="672" t="s">
        <v>1113</v>
      </c>
      <c r="D54" s="672" t="s">
        <v>1116</v>
      </c>
      <c r="E54" s="672" t="s">
        <v>1117</v>
      </c>
      <c r="F54" s="238">
        <v>2</v>
      </c>
      <c r="G54" s="238">
        <v>838</v>
      </c>
      <c r="H54" s="238">
        <v>1</v>
      </c>
      <c r="I54" s="238">
        <v>419</v>
      </c>
      <c r="J54" s="238"/>
      <c r="K54" s="238"/>
      <c r="L54" s="238"/>
      <c r="M54" s="238"/>
      <c r="N54" s="238"/>
      <c r="O54" s="238"/>
      <c r="P54" s="683"/>
      <c r="Q54" s="714"/>
    </row>
    <row r="55" spans="1:17" ht="14.4" customHeight="1" x14ac:dyDescent="0.3">
      <c r="A55" s="681" t="s">
        <v>1206</v>
      </c>
      <c r="B55" s="672" t="s">
        <v>1050</v>
      </c>
      <c r="C55" s="672" t="s">
        <v>1113</v>
      </c>
      <c r="D55" s="672" t="s">
        <v>1120</v>
      </c>
      <c r="E55" s="672" t="s">
        <v>1121</v>
      </c>
      <c r="F55" s="238">
        <v>1</v>
      </c>
      <c r="G55" s="238">
        <v>300</v>
      </c>
      <c r="H55" s="238">
        <v>1</v>
      </c>
      <c r="I55" s="238">
        <v>300</v>
      </c>
      <c r="J55" s="238"/>
      <c r="K55" s="238"/>
      <c r="L55" s="238"/>
      <c r="M55" s="238"/>
      <c r="N55" s="238"/>
      <c r="O55" s="238"/>
      <c r="P55" s="683"/>
      <c r="Q55" s="714"/>
    </row>
    <row r="56" spans="1:17" ht="14.4" customHeight="1" x14ac:dyDescent="0.3">
      <c r="A56" s="681" t="s">
        <v>1206</v>
      </c>
      <c r="B56" s="672" t="s">
        <v>1050</v>
      </c>
      <c r="C56" s="672" t="s">
        <v>1113</v>
      </c>
      <c r="D56" s="672" t="s">
        <v>1125</v>
      </c>
      <c r="E56" s="672" t="s">
        <v>1126</v>
      </c>
      <c r="F56" s="238">
        <v>3</v>
      </c>
      <c r="G56" s="238">
        <v>5883</v>
      </c>
      <c r="H56" s="238">
        <v>1</v>
      </c>
      <c r="I56" s="238">
        <v>1961</v>
      </c>
      <c r="J56" s="238">
        <v>2</v>
      </c>
      <c r="K56" s="238">
        <v>3930</v>
      </c>
      <c r="L56" s="238">
        <v>0.66802651708312089</v>
      </c>
      <c r="M56" s="238">
        <v>1965</v>
      </c>
      <c r="N56" s="238">
        <v>1</v>
      </c>
      <c r="O56" s="238">
        <v>1965</v>
      </c>
      <c r="P56" s="683">
        <v>0.33401325854156044</v>
      </c>
      <c r="Q56" s="714">
        <v>1965</v>
      </c>
    </row>
    <row r="57" spans="1:17" ht="14.4" customHeight="1" x14ac:dyDescent="0.3">
      <c r="A57" s="681" t="s">
        <v>1206</v>
      </c>
      <c r="B57" s="672" t="s">
        <v>1050</v>
      </c>
      <c r="C57" s="672" t="s">
        <v>1113</v>
      </c>
      <c r="D57" s="672" t="s">
        <v>1207</v>
      </c>
      <c r="E57" s="672" t="s">
        <v>1208</v>
      </c>
      <c r="F57" s="238"/>
      <c r="G57" s="238"/>
      <c r="H57" s="238"/>
      <c r="I57" s="238"/>
      <c r="J57" s="238"/>
      <c r="K57" s="238"/>
      <c r="L57" s="238"/>
      <c r="M57" s="238"/>
      <c r="N57" s="238">
        <v>1</v>
      </c>
      <c r="O57" s="238">
        <v>2990</v>
      </c>
      <c r="P57" s="683"/>
      <c r="Q57" s="714">
        <v>2990</v>
      </c>
    </row>
    <row r="58" spans="1:17" ht="14.4" customHeight="1" x14ac:dyDescent="0.3">
      <c r="A58" s="681" t="s">
        <v>1206</v>
      </c>
      <c r="B58" s="672" t="s">
        <v>1050</v>
      </c>
      <c r="C58" s="672" t="s">
        <v>1113</v>
      </c>
      <c r="D58" s="672" t="s">
        <v>1209</v>
      </c>
      <c r="E58" s="672" t="s">
        <v>1210</v>
      </c>
      <c r="F58" s="238">
        <v>1</v>
      </c>
      <c r="G58" s="238">
        <v>638</v>
      </c>
      <c r="H58" s="238">
        <v>1</v>
      </c>
      <c r="I58" s="238">
        <v>638</v>
      </c>
      <c r="J58" s="238">
        <v>2</v>
      </c>
      <c r="K58" s="238">
        <v>1278</v>
      </c>
      <c r="L58" s="238">
        <v>2.0031347962382444</v>
      </c>
      <c r="M58" s="238">
        <v>639</v>
      </c>
      <c r="N58" s="238">
        <v>1</v>
      </c>
      <c r="O58" s="238">
        <v>639</v>
      </c>
      <c r="P58" s="683">
        <v>1.0015673981191222</v>
      </c>
      <c r="Q58" s="714">
        <v>639</v>
      </c>
    </row>
    <row r="59" spans="1:17" ht="14.4" customHeight="1" x14ac:dyDescent="0.3">
      <c r="A59" s="681" t="s">
        <v>1206</v>
      </c>
      <c r="B59" s="672" t="s">
        <v>1050</v>
      </c>
      <c r="C59" s="672" t="s">
        <v>1113</v>
      </c>
      <c r="D59" s="672" t="s">
        <v>1133</v>
      </c>
      <c r="E59" s="672" t="s">
        <v>1134</v>
      </c>
      <c r="F59" s="238"/>
      <c r="G59" s="238"/>
      <c r="H59" s="238"/>
      <c r="I59" s="238"/>
      <c r="J59" s="238"/>
      <c r="K59" s="238"/>
      <c r="L59" s="238"/>
      <c r="M59" s="238"/>
      <c r="N59" s="238">
        <v>2</v>
      </c>
      <c r="O59" s="238">
        <v>2338</v>
      </c>
      <c r="P59" s="683"/>
      <c r="Q59" s="714">
        <v>1169</v>
      </c>
    </row>
    <row r="60" spans="1:17" ht="14.4" customHeight="1" x14ac:dyDescent="0.3">
      <c r="A60" s="681" t="s">
        <v>1206</v>
      </c>
      <c r="B60" s="672" t="s">
        <v>1050</v>
      </c>
      <c r="C60" s="672" t="s">
        <v>1113</v>
      </c>
      <c r="D60" s="672" t="s">
        <v>1137</v>
      </c>
      <c r="E60" s="672" t="s">
        <v>1138</v>
      </c>
      <c r="F60" s="238">
        <v>12</v>
      </c>
      <c r="G60" s="238">
        <v>7836</v>
      </c>
      <c r="H60" s="238">
        <v>1</v>
      </c>
      <c r="I60" s="238">
        <v>653</v>
      </c>
      <c r="J60" s="238">
        <v>6</v>
      </c>
      <c r="K60" s="238">
        <v>3924</v>
      </c>
      <c r="L60" s="238">
        <v>0.50076569678407346</v>
      </c>
      <c r="M60" s="238">
        <v>654</v>
      </c>
      <c r="N60" s="238">
        <v>9</v>
      </c>
      <c r="O60" s="238">
        <v>5886</v>
      </c>
      <c r="P60" s="683">
        <v>0.75114854517611029</v>
      </c>
      <c r="Q60" s="714">
        <v>654</v>
      </c>
    </row>
    <row r="61" spans="1:17" ht="14.4" customHeight="1" x14ac:dyDescent="0.3">
      <c r="A61" s="681" t="s">
        <v>1206</v>
      </c>
      <c r="B61" s="672" t="s">
        <v>1050</v>
      </c>
      <c r="C61" s="672" t="s">
        <v>1113</v>
      </c>
      <c r="D61" s="672" t="s">
        <v>1141</v>
      </c>
      <c r="E61" s="672" t="s">
        <v>1142</v>
      </c>
      <c r="F61" s="238">
        <v>48</v>
      </c>
      <c r="G61" s="238">
        <v>84048</v>
      </c>
      <c r="H61" s="238">
        <v>1</v>
      </c>
      <c r="I61" s="238">
        <v>1751</v>
      </c>
      <c r="J61" s="238">
        <v>30</v>
      </c>
      <c r="K61" s="238">
        <v>52620</v>
      </c>
      <c r="L61" s="238">
        <v>0.62607081667618503</v>
      </c>
      <c r="M61" s="238">
        <v>1754</v>
      </c>
      <c r="N61" s="238">
        <v>31</v>
      </c>
      <c r="O61" s="238">
        <v>54374</v>
      </c>
      <c r="P61" s="683">
        <v>0.6469398438987245</v>
      </c>
      <c r="Q61" s="714">
        <v>1754</v>
      </c>
    </row>
    <row r="62" spans="1:17" ht="14.4" customHeight="1" x14ac:dyDescent="0.3">
      <c r="A62" s="681" t="s">
        <v>1206</v>
      </c>
      <c r="B62" s="672" t="s">
        <v>1050</v>
      </c>
      <c r="C62" s="672" t="s">
        <v>1113</v>
      </c>
      <c r="D62" s="672" t="s">
        <v>1143</v>
      </c>
      <c r="E62" s="672" t="s">
        <v>1144</v>
      </c>
      <c r="F62" s="238">
        <v>5</v>
      </c>
      <c r="G62" s="238">
        <v>2045</v>
      </c>
      <c r="H62" s="238">
        <v>1</v>
      </c>
      <c r="I62" s="238">
        <v>409</v>
      </c>
      <c r="J62" s="238">
        <v>5</v>
      </c>
      <c r="K62" s="238">
        <v>2050</v>
      </c>
      <c r="L62" s="238">
        <v>1.0024449877750612</v>
      </c>
      <c r="M62" s="238">
        <v>410</v>
      </c>
      <c r="N62" s="238">
        <v>5</v>
      </c>
      <c r="O62" s="238">
        <v>2050</v>
      </c>
      <c r="P62" s="683">
        <v>1.0024449877750612</v>
      </c>
      <c r="Q62" s="714">
        <v>410</v>
      </c>
    </row>
    <row r="63" spans="1:17" ht="14.4" customHeight="1" x14ac:dyDescent="0.3">
      <c r="A63" s="681" t="s">
        <v>1206</v>
      </c>
      <c r="B63" s="672" t="s">
        <v>1050</v>
      </c>
      <c r="C63" s="672" t="s">
        <v>1113</v>
      </c>
      <c r="D63" s="672" t="s">
        <v>1147</v>
      </c>
      <c r="E63" s="672" t="s">
        <v>1148</v>
      </c>
      <c r="F63" s="238"/>
      <c r="G63" s="238"/>
      <c r="H63" s="238"/>
      <c r="I63" s="238"/>
      <c r="J63" s="238">
        <v>7</v>
      </c>
      <c r="K63" s="238">
        <v>100296</v>
      </c>
      <c r="L63" s="238"/>
      <c r="M63" s="238">
        <v>14328</v>
      </c>
      <c r="N63" s="238">
        <v>13</v>
      </c>
      <c r="O63" s="238">
        <v>186264</v>
      </c>
      <c r="P63" s="683"/>
      <c r="Q63" s="714">
        <v>14328</v>
      </c>
    </row>
    <row r="64" spans="1:17" ht="14.4" customHeight="1" x14ac:dyDescent="0.3">
      <c r="A64" s="681" t="s">
        <v>1206</v>
      </c>
      <c r="B64" s="672" t="s">
        <v>1050</v>
      </c>
      <c r="C64" s="672" t="s">
        <v>1113</v>
      </c>
      <c r="D64" s="672" t="s">
        <v>1153</v>
      </c>
      <c r="E64" s="672" t="s">
        <v>1047</v>
      </c>
      <c r="F64" s="238">
        <v>12</v>
      </c>
      <c r="G64" s="238">
        <v>169896</v>
      </c>
      <c r="H64" s="238">
        <v>1</v>
      </c>
      <c r="I64" s="238">
        <v>14158</v>
      </c>
      <c r="J64" s="238"/>
      <c r="K64" s="238"/>
      <c r="L64" s="238"/>
      <c r="M64" s="238"/>
      <c r="N64" s="238"/>
      <c r="O64" s="238"/>
      <c r="P64" s="683"/>
      <c r="Q64" s="714"/>
    </row>
    <row r="65" spans="1:17" ht="14.4" customHeight="1" x14ac:dyDescent="0.3">
      <c r="A65" s="681" t="s">
        <v>1206</v>
      </c>
      <c r="B65" s="672" t="s">
        <v>1050</v>
      </c>
      <c r="C65" s="672" t="s">
        <v>1113</v>
      </c>
      <c r="D65" s="672" t="s">
        <v>1154</v>
      </c>
      <c r="E65" s="672" t="s">
        <v>1155</v>
      </c>
      <c r="F65" s="238"/>
      <c r="G65" s="238"/>
      <c r="H65" s="238"/>
      <c r="I65" s="238"/>
      <c r="J65" s="238">
        <v>2</v>
      </c>
      <c r="K65" s="238">
        <v>1160</v>
      </c>
      <c r="L65" s="238"/>
      <c r="M65" s="238">
        <v>580</v>
      </c>
      <c r="N65" s="238">
        <v>2</v>
      </c>
      <c r="O65" s="238">
        <v>1160</v>
      </c>
      <c r="P65" s="683"/>
      <c r="Q65" s="714">
        <v>580</v>
      </c>
    </row>
    <row r="66" spans="1:17" ht="14.4" customHeight="1" x14ac:dyDescent="0.3">
      <c r="A66" s="681" t="s">
        <v>1206</v>
      </c>
      <c r="B66" s="672" t="s">
        <v>1050</v>
      </c>
      <c r="C66" s="672" t="s">
        <v>1113</v>
      </c>
      <c r="D66" s="672" t="s">
        <v>1156</v>
      </c>
      <c r="E66" s="672" t="s">
        <v>1157</v>
      </c>
      <c r="F66" s="238"/>
      <c r="G66" s="238"/>
      <c r="H66" s="238"/>
      <c r="I66" s="238"/>
      <c r="J66" s="238">
        <v>2</v>
      </c>
      <c r="K66" s="238">
        <v>836</v>
      </c>
      <c r="L66" s="238"/>
      <c r="M66" s="238">
        <v>418</v>
      </c>
      <c r="N66" s="238"/>
      <c r="O66" s="238"/>
      <c r="P66" s="683"/>
      <c r="Q66" s="714"/>
    </row>
    <row r="67" spans="1:17" ht="14.4" customHeight="1" x14ac:dyDescent="0.3">
      <c r="A67" s="681" t="s">
        <v>1206</v>
      </c>
      <c r="B67" s="672" t="s">
        <v>1050</v>
      </c>
      <c r="C67" s="672" t="s">
        <v>1113</v>
      </c>
      <c r="D67" s="672" t="s">
        <v>1158</v>
      </c>
      <c r="E67" s="672" t="s">
        <v>1159</v>
      </c>
      <c r="F67" s="238">
        <v>3</v>
      </c>
      <c r="G67" s="238">
        <v>3849</v>
      </c>
      <c r="H67" s="238">
        <v>1</v>
      </c>
      <c r="I67" s="238">
        <v>1283</v>
      </c>
      <c r="J67" s="238">
        <v>1</v>
      </c>
      <c r="K67" s="238">
        <v>1286</v>
      </c>
      <c r="L67" s="238">
        <v>0.3341127565601455</v>
      </c>
      <c r="M67" s="238">
        <v>1286</v>
      </c>
      <c r="N67" s="238">
        <v>7</v>
      </c>
      <c r="O67" s="238">
        <v>9002</v>
      </c>
      <c r="P67" s="683">
        <v>2.3387892959210186</v>
      </c>
      <c r="Q67" s="714">
        <v>1286</v>
      </c>
    </row>
    <row r="68" spans="1:17" ht="14.4" customHeight="1" x14ac:dyDescent="0.3">
      <c r="A68" s="681" t="s">
        <v>1206</v>
      </c>
      <c r="B68" s="672" t="s">
        <v>1050</v>
      </c>
      <c r="C68" s="672" t="s">
        <v>1113</v>
      </c>
      <c r="D68" s="672" t="s">
        <v>1160</v>
      </c>
      <c r="E68" s="672" t="s">
        <v>1161</v>
      </c>
      <c r="F68" s="238">
        <v>25</v>
      </c>
      <c r="G68" s="238">
        <v>12150</v>
      </c>
      <c r="H68" s="238">
        <v>1</v>
      </c>
      <c r="I68" s="238">
        <v>486</v>
      </c>
      <c r="J68" s="238">
        <v>19</v>
      </c>
      <c r="K68" s="238">
        <v>9253</v>
      </c>
      <c r="L68" s="238">
        <v>0.76156378600823049</v>
      </c>
      <c r="M68" s="238">
        <v>487</v>
      </c>
      <c r="N68" s="238">
        <v>19</v>
      </c>
      <c r="O68" s="238">
        <v>9253</v>
      </c>
      <c r="P68" s="683">
        <v>0.76156378600823049</v>
      </c>
      <c r="Q68" s="714">
        <v>487</v>
      </c>
    </row>
    <row r="69" spans="1:17" ht="14.4" customHeight="1" x14ac:dyDescent="0.3">
      <c r="A69" s="681" t="s">
        <v>1206</v>
      </c>
      <c r="B69" s="672" t="s">
        <v>1050</v>
      </c>
      <c r="C69" s="672" t="s">
        <v>1113</v>
      </c>
      <c r="D69" s="672" t="s">
        <v>1162</v>
      </c>
      <c r="E69" s="672" t="s">
        <v>1163</v>
      </c>
      <c r="F69" s="238">
        <v>2</v>
      </c>
      <c r="G69" s="238">
        <v>4472</v>
      </c>
      <c r="H69" s="238">
        <v>1</v>
      </c>
      <c r="I69" s="238">
        <v>2236</v>
      </c>
      <c r="J69" s="238"/>
      <c r="K69" s="238"/>
      <c r="L69" s="238"/>
      <c r="M69" s="238"/>
      <c r="N69" s="238">
        <v>2</v>
      </c>
      <c r="O69" s="238">
        <v>4484</v>
      </c>
      <c r="P69" s="683">
        <v>1.0026833631484795</v>
      </c>
      <c r="Q69" s="714">
        <v>2242</v>
      </c>
    </row>
    <row r="70" spans="1:17" ht="14.4" customHeight="1" x14ac:dyDescent="0.3">
      <c r="A70" s="681" t="s">
        <v>1206</v>
      </c>
      <c r="B70" s="672" t="s">
        <v>1050</v>
      </c>
      <c r="C70" s="672" t="s">
        <v>1113</v>
      </c>
      <c r="D70" s="672" t="s">
        <v>1164</v>
      </c>
      <c r="E70" s="672" t="s">
        <v>1165</v>
      </c>
      <c r="F70" s="238">
        <v>12</v>
      </c>
      <c r="G70" s="238">
        <v>30348</v>
      </c>
      <c r="H70" s="238">
        <v>1</v>
      </c>
      <c r="I70" s="238">
        <v>2529</v>
      </c>
      <c r="J70" s="238">
        <v>5</v>
      </c>
      <c r="K70" s="238">
        <v>12675</v>
      </c>
      <c r="L70" s="238">
        <v>0.41765519968366943</v>
      </c>
      <c r="M70" s="238">
        <v>2535</v>
      </c>
      <c r="N70" s="238">
        <v>2</v>
      </c>
      <c r="O70" s="238">
        <v>5070</v>
      </c>
      <c r="P70" s="683">
        <v>0.16706207987346777</v>
      </c>
      <c r="Q70" s="714">
        <v>2535</v>
      </c>
    </row>
    <row r="71" spans="1:17" ht="14.4" customHeight="1" x14ac:dyDescent="0.3">
      <c r="A71" s="681" t="s">
        <v>1211</v>
      </c>
      <c r="B71" s="672" t="s">
        <v>1050</v>
      </c>
      <c r="C71" s="672" t="s">
        <v>1051</v>
      </c>
      <c r="D71" s="672" t="s">
        <v>1053</v>
      </c>
      <c r="E71" s="672" t="s">
        <v>634</v>
      </c>
      <c r="F71" s="238"/>
      <c r="G71" s="238"/>
      <c r="H71" s="238"/>
      <c r="I71" s="238"/>
      <c r="J71" s="238">
        <v>0.2</v>
      </c>
      <c r="K71" s="238">
        <v>218.43</v>
      </c>
      <c r="L71" s="238"/>
      <c r="M71" s="238">
        <v>1092.1499999999999</v>
      </c>
      <c r="N71" s="238"/>
      <c r="O71" s="238"/>
      <c r="P71" s="683"/>
      <c r="Q71" s="714"/>
    </row>
    <row r="72" spans="1:17" ht="14.4" customHeight="1" x14ac:dyDescent="0.3">
      <c r="A72" s="681" t="s">
        <v>1211</v>
      </c>
      <c r="B72" s="672" t="s">
        <v>1050</v>
      </c>
      <c r="C72" s="672" t="s">
        <v>1051</v>
      </c>
      <c r="D72" s="672" t="s">
        <v>1054</v>
      </c>
      <c r="E72" s="672" t="s">
        <v>634</v>
      </c>
      <c r="F72" s="238">
        <v>1.9</v>
      </c>
      <c r="G72" s="238">
        <v>4114.1400000000003</v>
      </c>
      <c r="H72" s="238">
        <v>1</v>
      </c>
      <c r="I72" s="238">
        <v>2165.3368421052633</v>
      </c>
      <c r="J72" s="238">
        <v>0.85000000000000009</v>
      </c>
      <c r="K72" s="238">
        <v>1856.66</v>
      </c>
      <c r="L72" s="238">
        <v>0.45128751087712132</v>
      </c>
      <c r="M72" s="238">
        <v>2184.3058823529409</v>
      </c>
      <c r="N72" s="238">
        <v>2.35</v>
      </c>
      <c r="O72" s="238">
        <v>5133.1399999999994</v>
      </c>
      <c r="P72" s="683">
        <v>1.2476823831955157</v>
      </c>
      <c r="Q72" s="714">
        <v>2184.314893617021</v>
      </c>
    </row>
    <row r="73" spans="1:17" ht="14.4" customHeight="1" x14ac:dyDescent="0.3">
      <c r="A73" s="681" t="s">
        <v>1211</v>
      </c>
      <c r="B73" s="672" t="s">
        <v>1050</v>
      </c>
      <c r="C73" s="672" t="s">
        <v>1051</v>
      </c>
      <c r="D73" s="672" t="s">
        <v>1055</v>
      </c>
      <c r="E73" s="672" t="s">
        <v>630</v>
      </c>
      <c r="F73" s="238">
        <v>0.05</v>
      </c>
      <c r="G73" s="238">
        <v>46.83</v>
      </c>
      <c r="H73" s="238">
        <v>1</v>
      </c>
      <c r="I73" s="238">
        <v>936.59999999999991</v>
      </c>
      <c r="J73" s="238">
        <v>0.05</v>
      </c>
      <c r="K73" s="238">
        <v>47.24</v>
      </c>
      <c r="L73" s="238">
        <v>1.0087550715353406</v>
      </c>
      <c r="M73" s="238">
        <v>944.8</v>
      </c>
      <c r="N73" s="238">
        <v>0.1</v>
      </c>
      <c r="O73" s="238">
        <v>94.48</v>
      </c>
      <c r="P73" s="683">
        <v>2.0175101430706812</v>
      </c>
      <c r="Q73" s="714">
        <v>944.8</v>
      </c>
    </row>
    <row r="74" spans="1:17" ht="14.4" customHeight="1" x14ac:dyDescent="0.3">
      <c r="A74" s="681" t="s">
        <v>1211</v>
      </c>
      <c r="B74" s="672" t="s">
        <v>1050</v>
      </c>
      <c r="C74" s="672" t="s">
        <v>1058</v>
      </c>
      <c r="D74" s="672" t="s">
        <v>1063</v>
      </c>
      <c r="E74" s="672" t="s">
        <v>1064</v>
      </c>
      <c r="F74" s="238">
        <v>150</v>
      </c>
      <c r="G74" s="238">
        <v>679.5</v>
      </c>
      <c r="H74" s="238">
        <v>1</v>
      </c>
      <c r="I74" s="238">
        <v>4.53</v>
      </c>
      <c r="J74" s="238"/>
      <c r="K74" s="238"/>
      <c r="L74" s="238"/>
      <c r="M74" s="238"/>
      <c r="N74" s="238">
        <v>330</v>
      </c>
      <c r="O74" s="238">
        <v>1683</v>
      </c>
      <c r="P74" s="683">
        <v>2.4768211920529803</v>
      </c>
      <c r="Q74" s="714">
        <v>5.0999999999999996</v>
      </c>
    </row>
    <row r="75" spans="1:17" ht="14.4" customHeight="1" x14ac:dyDescent="0.3">
      <c r="A75" s="681" t="s">
        <v>1211</v>
      </c>
      <c r="B75" s="672" t="s">
        <v>1050</v>
      </c>
      <c r="C75" s="672" t="s">
        <v>1058</v>
      </c>
      <c r="D75" s="672" t="s">
        <v>1085</v>
      </c>
      <c r="E75" s="672" t="s">
        <v>1086</v>
      </c>
      <c r="F75" s="238"/>
      <c r="G75" s="238"/>
      <c r="H75" s="238"/>
      <c r="I75" s="238"/>
      <c r="J75" s="238"/>
      <c r="K75" s="238"/>
      <c r="L75" s="238"/>
      <c r="M75" s="238"/>
      <c r="N75" s="238">
        <v>1</v>
      </c>
      <c r="O75" s="238">
        <v>2195.35</v>
      </c>
      <c r="P75" s="683"/>
      <c r="Q75" s="714">
        <v>2195.35</v>
      </c>
    </row>
    <row r="76" spans="1:17" ht="14.4" customHeight="1" x14ac:dyDescent="0.3">
      <c r="A76" s="681" t="s">
        <v>1211</v>
      </c>
      <c r="B76" s="672" t="s">
        <v>1050</v>
      </c>
      <c r="C76" s="672" t="s">
        <v>1058</v>
      </c>
      <c r="D76" s="672" t="s">
        <v>1089</v>
      </c>
      <c r="E76" s="672" t="s">
        <v>1090</v>
      </c>
      <c r="F76" s="238"/>
      <c r="G76" s="238"/>
      <c r="H76" s="238"/>
      <c r="I76" s="238"/>
      <c r="J76" s="238"/>
      <c r="K76" s="238"/>
      <c r="L76" s="238"/>
      <c r="M76" s="238"/>
      <c r="N76" s="238">
        <v>765</v>
      </c>
      <c r="O76" s="238">
        <v>2493.9</v>
      </c>
      <c r="P76" s="683"/>
      <c r="Q76" s="714">
        <v>3.2600000000000002</v>
      </c>
    </row>
    <row r="77" spans="1:17" ht="14.4" customHeight="1" x14ac:dyDescent="0.3">
      <c r="A77" s="681" t="s">
        <v>1211</v>
      </c>
      <c r="B77" s="672" t="s">
        <v>1050</v>
      </c>
      <c r="C77" s="672" t="s">
        <v>1058</v>
      </c>
      <c r="D77" s="672" t="s">
        <v>1093</v>
      </c>
      <c r="E77" s="672" t="s">
        <v>1094</v>
      </c>
      <c r="F77" s="238">
        <v>1668</v>
      </c>
      <c r="G77" s="238">
        <v>51908.160000000003</v>
      </c>
      <c r="H77" s="238">
        <v>1</v>
      </c>
      <c r="I77" s="238">
        <v>31.12</v>
      </c>
      <c r="J77" s="238">
        <v>1139</v>
      </c>
      <c r="K77" s="238">
        <v>37614.18</v>
      </c>
      <c r="L77" s="238">
        <v>0.72462942242606943</v>
      </c>
      <c r="M77" s="238">
        <v>33.023863037752413</v>
      </c>
      <c r="N77" s="238">
        <v>1993</v>
      </c>
      <c r="O77" s="238">
        <v>66366.899999999994</v>
      </c>
      <c r="P77" s="683">
        <v>1.2785446450037912</v>
      </c>
      <c r="Q77" s="714">
        <v>33.299999999999997</v>
      </c>
    </row>
    <row r="78" spans="1:17" ht="14.4" customHeight="1" x14ac:dyDescent="0.3">
      <c r="A78" s="681" t="s">
        <v>1211</v>
      </c>
      <c r="B78" s="672" t="s">
        <v>1050</v>
      </c>
      <c r="C78" s="672" t="s">
        <v>1058</v>
      </c>
      <c r="D78" s="672" t="s">
        <v>1099</v>
      </c>
      <c r="E78" s="672" t="s">
        <v>1100</v>
      </c>
      <c r="F78" s="238">
        <v>5000</v>
      </c>
      <c r="G78" s="238">
        <v>88650</v>
      </c>
      <c r="H78" s="238">
        <v>1</v>
      </c>
      <c r="I78" s="238">
        <v>17.73</v>
      </c>
      <c r="J78" s="238">
        <v>5950</v>
      </c>
      <c r="K78" s="238">
        <v>113919</v>
      </c>
      <c r="L78" s="238">
        <v>1.2850423011844332</v>
      </c>
      <c r="M78" s="238">
        <v>19.146050420168066</v>
      </c>
      <c r="N78" s="238">
        <v>6055</v>
      </c>
      <c r="O78" s="238">
        <v>117103.7</v>
      </c>
      <c r="P78" s="683">
        <v>1.3209667230682458</v>
      </c>
      <c r="Q78" s="714">
        <v>19.34</v>
      </c>
    </row>
    <row r="79" spans="1:17" ht="14.4" customHeight="1" x14ac:dyDescent="0.3">
      <c r="A79" s="681" t="s">
        <v>1211</v>
      </c>
      <c r="B79" s="672" t="s">
        <v>1050</v>
      </c>
      <c r="C79" s="672" t="s">
        <v>1110</v>
      </c>
      <c r="D79" s="672" t="s">
        <v>1111</v>
      </c>
      <c r="E79" s="672" t="s">
        <v>1112</v>
      </c>
      <c r="F79" s="238"/>
      <c r="G79" s="238"/>
      <c r="H79" s="238"/>
      <c r="I79" s="238"/>
      <c r="J79" s="238"/>
      <c r="K79" s="238"/>
      <c r="L79" s="238"/>
      <c r="M79" s="238"/>
      <c r="N79" s="238">
        <v>2</v>
      </c>
      <c r="O79" s="238">
        <v>1768.64</v>
      </c>
      <c r="P79" s="683"/>
      <c r="Q79" s="714">
        <v>884.32</v>
      </c>
    </row>
    <row r="80" spans="1:17" ht="14.4" customHeight="1" x14ac:dyDescent="0.3">
      <c r="A80" s="681" t="s">
        <v>1211</v>
      </c>
      <c r="B80" s="672" t="s">
        <v>1050</v>
      </c>
      <c r="C80" s="672" t="s">
        <v>1113</v>
      </c>
      <c r="D80" s="672" t="s">
        <v>1137</v>
      </c>
      <c r="E80" s="672" t="s">
        <v>1138</v>
      </c>
      <c r="F80" s="238"/>
      <c r="G80" s="238"/>
      <c r="H80" s="238"/>
      <c r="I80" s="238"/>
      <c r="J80" s="238"/>
      <c r="K80" s="238"/>
      <c r="L80" s="238"/>
      <c r="M80" s="238"/>
      <c r="N80" s="238">
        <v>1</v>
      </c>
      <c r="O80" s="238">
        <v>654</v>
      </c>
      <c r="P80" s="683"/>
      <c r="Q80" s="714">
        <v>654</v>
      </c>
    </row>
    <row r="81" spans="1:17" ht="14.4" customHeight="1" x14ac:dyDescent="0.3">
      <c r="A81" s="681" t="s">
        <v>1211</v>
      </c>
      <c r="B81" s="672" t="s">
        <v>1050</v>
      </c>
      <c r="C81" s="672" t="s">
        <v>1113</v>
      </c>
      <c r="D81" s="672" t="s">
        <v>1139</v>
      </c>
      <c r="E81" s="672" t="s">
        <v>1140</v>
      </c>
      <c r="F81" s="238"/>
      <c r="G81" s="238"/>
      <c r="H81" s="238"/>
      <c r="I81" s="238"/>
      <c r="J81" s="238">
        <v>2</v>
      </c>
      <c r="K81" s="238">
        <v>1370</v>
      </c>
      <c r="L81" s="238"/>
      <c r="M81" s="238">
        <v>685</v>
      </c>
      <c r="N81" s="238"/>
      <c r="O81" s="238"/>
      <c r="P81" s="683"/>
      <c r="Q81" s="714"/>
    </row>
    <row r="82" spans="1:17" ht="14.4" customHeight="1" x14ac:dyDescent="0.3">
      <c r="A82" s="681" t="s">
        <v>1211</v>
      </c>
      <c r="B82" s="672" t="s">
        <v>1050</v>
      </c>
      <c r="C82" s="672" t="s">
        <v>1113</v>
      </c>
      <c r="D82" s="672" t="s">
        <v>1141</v>
      </c>
      <c r="E82" s="672" t="s">
        <v>1142</v>
      </c>
      <c r="F82" s="238">
        <v>1</v>
      </c>
      <c r="G82" s="238">
        <v>1751</v>
      </c>
      <c r="H82" s="238">
        <v>1</v>
      </c>
      <c r="I82" s="238">
        <v>1751</v>
      </c>
      <c r="J82" s="238">
        <v>1</v>
      </c>
      <c r="K82" s="238">
        <v>1754</v>
      </c>
      <c r="L82" s="238">
        <v>1.001713306681896</v>
      </c>
      <c r="M82" s="238">
        <v>1754</v>
      </c>
      <c r="N82" s="238">
        <v>3</v>
      </c>
      <c r="O82" s="238">
        <v>5262</v>
      </c>
      <c r="P82" s="683">
        <v>3.0051399200456883</v>
      </c>
      <c r="Q82" s="714">
        <v>1754</v>
      </c>
    </row>
    <row r="83" spans="1:17" ht="14.4" customHeight="1" x14ac:dyDescent="0.3">
      <c r="A83" s="681" t="s">
        <v>1211</v>
      </c>
      <c r="B83" s="672" t="s">
        <v>1050</v>
      </c>
      <c r="C83" s="672" t="s">
        <v>1113</v>
      </c>
      <c r="D83" s="672" t="s">
        <v>1145</v>
      </c>
      <c r="E83" s="672" t="s">
        <v>1146</v>
      </c>
      <c r="F83" s="238">
        <v>34</v>
      </c>
      <c r="G83" s="238">
        <v>116654</v>
      </c>
      <c r="H83" s="238">
        <v>1</v>
      </c>
      <c r="I83" s="238">
        <v>3431</v>
      </c>
      <c r="J83" s="238">
        <v>41</v>
      </c>
      <c r="K83" s="238">
        <v>140917</v>
      </c>
      <c r="L83" s="238">
        <v>1.2079911533252181</v>
      </c>
      <c r="M83" s="238">
        <v>3437</v>
      </c>
      <c r="N83" s="238">
        <v>46</v>
      </c>
      <c r="O83" s="238">
        <v>158102</v>
      </c>
      <c r="P83" s="683">
        <v>1.3553071476331715</v>
      </c>
      <c r="Q83" s="714">
        <v>3437</v>
      </c>
    </row>
    <row r="84" spans="1:17" ht="14.4" customHeight="1" x14ac:dyDescent="0.3">
      <c r="A84" s="681" t="s">
        <v>1211</v>
      </c>
      <c r="B84" s="672" t="s">
        <v>1050</v>
      </c>
      <c r="C84" s="672" t="s">
        <v>1113</v>
      </c>
      <c r="D84" s="672" t="s">
        <v>1147</v>
      </c>
      <c r="E84" s="672" t="s">
        <v>1148</v>
      </c>
      <c r="F84" s="238"/>
      <c r="G84" s="238"/>
      <c r="H84" s="238"/>
      <c r="I84" s="238"/>
      <c r="J84" s="238">
        <v>3</v>
      </c>
      <c r="K84" s="238">
        <v>42984</v>
      </c>
      <c r="L84" s="238"/>
      <c r="M84" s="238">
        <v>14328</v>
      </c>
      <c r="N84" s="238">
        <v>5</v>
      </c>
      <c r="O84" s="238">
        <v>71640</v>
      </c>
      <c r="P84" s="683"/>
      <c r="Q84" s="714">
        <v>14328</v>
      </c>
    </row>
    <row r="85" spans="1:17" ht="14.4" customHeight="1" x14ac:dyDescent="0.3">
      <c r="A85" s="681" t="s">
        <v>1211</v>
      </c>
      <c r="B85" s="672" t="s">
        <v>1050</v>
      </c>
      <c r="C85" s="672" t="s">
        <v>1113</v>
      </c>
      <c r="D85" s="672" t="s">
        <v>1153</v>
      </c>
      <c r="E85" s="672" t="s">
        <v>1047</v>
      </c>
      <c r="F85" s="238">
        <v>8</v>
      </c>
      <c r="G85" s="238">
        <v>113264</v>
      </c>
      <c r="H85" s="238">
        <v>1</v>
      </c>
      <c r="I85" s="238">
        <v>14158</v>
      </c>
      <c r="J85" s="238"/>
      <c r="K85" s="238"/>
      <c r="L85" s="238"/>
      <c r="M85" s="238"/>
      <c r="N85" s="238"/>
      <c r="O85" s="238"/>
      <c r="P85" s="683"/>
      <c r="Q85" s="714"/>
    </row>
    <row r="86" spans="1:17" ht="14.4" customHeight="1" x14ac:dyDescent="0.3">
      <c r="A86" s="681" t="s">
        <v>1211</v>
      </c>
      <c r="B86" s="672" t="s">
        <v>1050</v>
      </c>
      <c r="C86" s="672" t="s">
        <v>1113</v>
      </c>
      <c r="D86" s="672" t="s">
        <v>1158</v>
      </c>
      <c r="E86" s="672" t="s">
        <v>1159</v>
      </c>
      <c r="F86" s="238"/>
      <c r="G86" s="238"/>
      <c r="H86" s="238"/>
      <c r="I86" s="238"/>
      <c r="J86" s="238"/>
      <c r="K86" s="238"/>
      <c r="L86" s="238"/>
      <c r="M86" s="238"/>
      <c r="N86" s="238">
        <v>1</v>
      </c>
      <c r="O86" s="238">
        <v>1286</v>
      </c>
      <c r="P86" s="683"/>
      <c r="Q86" s="714">
        <v>1286</v>
      </c>
    </row>
    <row r="87" spans="1:17" ht="14.4" customHeight="1" x14ac:dyDescent="0.3">
      <c r="A87" s="681" t="s">
        <v>1211</v>
      </c>
      <c r="B87" s="672" t="s">
        <v>1050</v>
      </c>
      <c r="C87" s="672" t="s">
        <v>1113</v>
      </c>
      <c r="D87" s="672" t="s">
        <v>1160</v>
      </c>
      <c r="E87" s="672" t="s">
        <v>1161</v>
      </c>
      <c r="F87" s="238">
        <v>1</v>
      </c>
      <c r="G87" s="238">
        <v>486</v>
      </c>
      <c r="H87" s="238">
        <v>1</v>
      </c>
      <c r="I87" s="238">
        <v>486</v>
      </c>
      <c r="J87" s="238"/>
      <c r="K87" s="238"/>
      <c r="L87" s="238"/>
      <c r="M87" s="238"/>
      <c r="N87" s="238">
        <v>2</v>
      </c>
      <c r="O87" s="238">
        <v>974</v>
      </c>
      <c r="P87" s="683">
        <v>2.0041152263374484</v>
      </c>
      <c r="Q87" s="714">
        <v>487</v>
      </c>
    </row>
    <row r="88" spans="1:17" ht="14.4" customHeight="1" x14ac:dyDescent="0.3">
      <c r="A88" s="681" t="s">
        <v>1212</v>
      </c>
      <c r="B88" s="672" t="s">
        <v>1050</v>
      </c>
      <c r="C88" s="672" t="s">
        <v>1051</v>
      </c>
      <c r="D88" s="672" t="s">
        <v>1054</v>
      </c>
      <c r="E88" s="672" t="s">
        <v>634</v>
      </c>
      <c r="F88" s="238"/>
      <c r="G88" s="238"/>
      <c r="H88" s="238"/>
      <c r="I88" s="238"/>
      <c r="J88" s="238">
        <v>0.4</v>
      </c>
      <c r="K88" s="238">
        <v>873.72</v>
      </c>
      <c r="L88" s="238"/>
      <c r="M88" s="238">
        <v>2184.2999999999997</v>
      </c>
      <c r="N88" s="238">
        <v>0.8</v>
      </c>
      <c r="O88" s="238">
        <v>1747.45</v>
      </c>
      <c r="P88" s="683"/>
      <c r="Q88" s="714">
        <v>2184.3125</v>
      </c>
    </row>
    <row r="89" spans="1:17" ht="14.4" customHeight="1" x14ac:dyDescent="0.3">
      <c r="A89" s="681" t="s">
        <v>1212</v>
      </c>
      <c r="B89" s="672" t="s">
        <v>1050</v>
      </c>
      <c r="C89" s="672" t="s">
        <v>1051</v>
      </c>
      <c r="D89" s="672" t="s">
        <v>1055</v>
      </c>
      <c r="E89" s="672" t="s">
        <v>630</v>
      </c>
      <c r="F89" s="238"/>
      <c r="G89" s="238"/>
      <c r="H89" s="238"/>
      <c r="I89" s="238"/>
      <c r="J89" s="238">
        <v>0.05</v>
      </c>
      <c r="K89" s="238">
        <v>47.24</v>
      </c>
      <c r="L89" s="238"/>
      <c r="M89" s="238">
        <v>944.8</v>
      </c>
      <c r="N89" s="238"/>
      <c r="O89" s="238"/>
      <c r="P89" s="683"/>
      <c r="Q89" s="714"/>
    </row>
    <row r="90" spans="1:17" ht="14.4" customHeight="1" x14ac:dyDescent="0.3">
      <c r="A90" s="681" t="s">
        <v>1212</v>
      </c>
      <c r="B90" s="672" t="s">
        <v>1050</v>
      </c>
      <c r="C90" s="672" t="s">
        <v>1058</v>
      </c>
      <c r="D90" s="672" t="s">
        <v>1063</v>
      </c>
      <c r="E90" s="672" t="s">
        <v>1064</v>
      </c>
      <c r="F90" s="238">
        <v>250</v>
      </c>
      <c r="G90" s="238">
        <v>1132.5</v>
      </c>
      <c r="H90" s="238">
        <v>1</v>
      </c>
      <c r="I90" s="238">
        <v>4.53</v>
      </c>
      <c r="J90" s="238"/>
      <c r="K90" s="238"/>
      <c r="L90" s="238"/>
      <c r="M90" s="238"/>
      <c r="N90" s="238"/>
      <c r="O90" s="238"/>
      <c r="P90" s="683"/>
      <c r="Q90" s="714"/>
    </row>
    <row r="91" spans="1:17" ht="14.4" customHeight="1" x14ac:dyDescent="0.3">
      <c r="A91" s="681" t="s">
        <v>1212</v>
      </c>
      <c r="B91" s="672" t="s">
        <v>1050</v>
      </c>
      <c r="C91" s="672" t="s">
        <v>1058</v>
      </c>
      <c r="D91" s="672" t="s">
        <v>1069</v>
      </c>
      <c r="E91" s="672" t="s">
        <v>1070</v>
      </c>
      <c r="F91" s="238"/>
      <c r="G91" s="238"/>
      <c r="H91" s="238"/>
      <c r="I91" s="238"/>
      <c r="J91" s="238">
        <v>300</v>
      </c>
      <c r="K91" s="238">
        <v>1659</v>
      </c>
      <c r="L91" s="238"/>
      <c r="M91" s="238">
        <v>5.53</v>
      </c>
      <c r="N91" s="238"/>
      <c r="O91" s="238"/>
      <c r="P91" s="683"/>
      <c r="Q91" s="714"/>
    </row>
    <row r="92" spans="1:17" ht="14.4" customHeight="1" x14ac:dyDescent="0.3">
      <c r="A92" s="681" t="s">
        <v>1212</v>
      </c>
      <c r="B92" s="672" t="s">
        <v>1050</v>
      </c>
      <c r="C92" s="672" t="s">
        <v>1058</v>
      </c>
      <c r="D92" s="672" t="s">
        <v>1081</v>
      </c>
      <c r="E92" s="672" t="s">
        <v>1082</v>
      </c>
      <c r="F92" s="238">
        <v>480</v>
      </c>
      <c r="G92" s="238">
        <v>7646.4</v>
      </c>
      <c r="H92" s="238">
        <v>1</v>
      </c>
      <c r="I92" s="238">
        <v>15.93</v>
      </c>
      <c r="J92" s="238"/>
      <c r="K92" s="238"/>
      <c r="L92" s="238"/>
      <c r="M92" s="238"/>
      <c r="N92" s="238">
        <v>400</v>
      </c>
      <c r="O92" s="238">
        <v>7648</v>
      </c>
      <c r="P92" s="683">
        <v>1.0002092487968195</v>
      </c>
      <c r="Q92" s="714">
        <v>19.12</v>
      </c>
    </row>
    <row r="93" spans="1:17" ht="14.4" customHeight="1" x14ac:dyDescent="0.3">
      <c r="A93" s="681" t="s">
        <v>1212</v>
      </c>
      <c r="B93" s="672" t="s">
        <v>1050</v>
      </c>
      <c r="C93" s="672" t="s">
        <v>1058</v>
      </c>
      <c r="D93" s="672" t="s">
        <v>1093</v>
      </c>
      <c r="E93" s="672" t="s">
        <v>1094</v>
      </c>
      <c r="F93" s="238">
        <v>462</v>
      </c>
      <c r="G93" s="238">
        <v>14377.44</v>
      </c>
      <c r="H93" s="238">
        <v>1</v>
      </c>
      <c r="I93" s="238">
        <v>31.12</v>
      </c>
      <c r="J93" s="238">
        <v>407</v>
      </c>
      <c r="K93" s="238">
        <v>13398.44</v>
      </c>
      <c r="L93" s="238">
        <v>0.93190721018484513</v>
      </c>
      <c r="M93" s="238">
        <v>32.92</v>
      </c>
      <c r="N93" s="238">
        <v>895</v>
      </c>
      <c r="O93" s="238">
        <v>29803.5</v>
      </c>
      <c r="P93" s="683">
        <v>2.0729350983207024</v>
      </c>
      <c r="Q93" s="714">
        <v>33.299999999999997</v>
      </c>
    </row>
    <row r="94" spans="1:17" ht="14.4" customHeight="1" x14ac:dyDescent="0.3">
      <c r="A94" s="681" t="s">
        <v>1212</v>
      </c>
      <c r="B94" s="672" t="s">
        <v>1050</v>
      </c>
      <c r="C94" s="672" t="s">
        <v>1110</v>
      </c>
      <c r="D94" s="672" t="s">
        <v>1111</v>
      </c>
      <c r="E94" s="672" t="s">
        <v>1112</v>
      </c>
      <c r="F94" s="238"/>
      <c r="G94" s="238"/>
      <c r="H94" s="238"/>
      <c r="I94" s="238"/>
      <c r="J94" s="238"/>
      <c r="K94" s="238"/>
      <c r="L94" s="238"/>
      <c r="M94" s="238"/>
      <c r="N94" s="238">
        <v>1</v>
      </c>
      <c r="O94" s="238">
        <v>884.32</v>
      </c>
      <c r="P94" s="683"/>
      <c r="Q94" s="714">
        <v>884.32</v>
      </c>
    </row>
    <row r="95" spans="1:17" ht="14.4" customHeight="1" x14ac:dyDescent="0.3">
      <c r="A95" s="681" t="s">
        <v>1212</v>
      </c>
      <c r="B95" s="672" t="s">
        <v>1050</v>
      </c>
      <c r="C95" s="672" t="s">
        <v>1113</v>
      </c>
      <c r="D95" s="672" t="s">
        <v>1141</v>
      </c>
      <c r="E95" s="672" t="s">
        <v>1142</v>
      </c>
      <c r="F95" s="238">
        <v>2</v>
      </c>
      <c r="G95" s="238">
        <v>3502</v>
      </c>
      <c r="H95" s="238">
        <v>1</v>
      </c>
      <c r="I95" s="238">
        <v>1751</v>
      </c>
      <c r="J95" s="238">
        <v>1</v>
      </c>
      <c r="K95" s="238">
        <v>1754</v>
      </c>
      <c r="L95" s="238">
        <v>0.50085665334094798</v>
      </c>
      <c r="M95" s="238">
        <v>1754</v>
      </c>
      <c r="N95" s="238">
        <v>1</v>
      </c>
      <c r="O95" s="238">
        <v>1754</v>
      </c>
      <c r="P95" s="683">
        <v>0.50085665334094798</v>
      </c>
      <c r="Q95" s="714">
        <v>1754</v>
      </c>
    </row>
    <row r="96" spans="1:17" ht="14.4" customHeight="1" x14ac:dyDescent="0.3">
      <c r="A96" s="681" t="s">
        <v>1212</v>
      </c>
      <c r="B96" s="672" t="s">
        <v>1050</v>
      </c>
      <c r="C96" s="672" t="s">
        <v>1113</v>
      </c>
      <c r="D96" s="672" t="s">
        <v>1143</v>
      </c>
      <c r="E96" s="672" t="s">
        <v>1144</v>
      </c>
      <c r="F96" s="238"/>
      <c r="G96" s="238"/>
      <c r="H96" s="238"/>
      <c r="I96" s="238"/>
      <c r="J96" s="238">
        <v>1</v>
      </c>
      <c r="K96" s="238">
        <v>410</v>
      </c>
      <c r="L96" s="238"/>
      <c r="M96" s="238">
        <v>410</v>
      </c>
      <c r="N96" s="238"/>
      <c r="O96" s="238"/>
      <c r="P96" s="683"/>
      <c r="Q96" s="714"/>
    </row>
    <row r="97" spans="1:17" ht="14.4" customHeight="1" x14ac:dyDescent="0.3">
      <c r="A97" s="681" t="s">
        <v>1212</v>
      </c>
      <c r="B97" s="672" t="s">
        <v>1050</v>
      </c>
      <c r="C97" s="672" t="s">
        <v>1113</v>
      </c>
      <c r="D97" s="672" t="s">
        <v>1147</v>
      </c>
      <c r="E97" s="672" t="s">
        <v>1148</v>
      </c>
      <c r="F97" s="238"/>
      <c r="G97" s="238"/>
      <c r="H97" s="238"/>
      <c r="I97" s="238"/>
      <c r="J97" s="238">
        <v>1</v>
      </c>
      <c r="K97" s="238">
        <v>14328</v>
      </c>
      <c r="L97" s="238"/>
      <c r="M97" s="238">
        <v>14328</v>
      </c>
      <c r="N97" s="238">
        <v>2</v>
      </c>
      <c r="O97" s="238">
        <v>28656</v>
      </c>
      <c r="P97" s="683"/>
      <c r="Q97" s="714">
        <v>14328</v>
      </c>
    </row>
    <row r="98" spans="1:17" ht="14.4" customHeight="1" x14ac:dyDescent="0.3">
      <c r="A98" s="681" t="s">
        <v>1212</v>
      </c>
      <c r="B98" s="672" t="s">
        <v>1050</v>
      </c>
      <c r="C98" s="672" t="s">
        <v>1113</v>
      </c>
      <c r="D98" s="672" t="s">
        <v>1153</v>
      </c>
      <c r="E98" s="672" t="s">
        <v>1047</v>
      </c>
      <c r="F98" s="238">
        <v>2</v>
      </c>
      <c r="G98" s="238">
        <v>28316</v>
      </c>
      <c r="H98" s="238">
        <v>1</v>
      </c>
      <c r="I98" s="238">
        <v>14158</v>
      </c>
      <c r="J98" s="238"/>
      <c r="K98" s="238"/>
      <c r="L98" s="238"/>
      <c r="M98" s="238"/>
      <c r="N98" s="238"/>
      <c r="O98" s="238"/>
      <c r="P98" s="683"/>
      <c r="Q98" s="714"/>
    </row>
    <row r="99" spans="1:17" ht="14.4" customHeight="1" x14ac:dyDescent="0.3">
      <c r="A99" s="681" t="s">
        <v>1212</v>
      </c>
      <c r="B99" s="672" t="s">
        <v>1050</v>
      </c>
      <c r="C99" s="672" t="s">
        <v>1113</v>
      </c>
      <c r="D99" s="672" t="s">
        <v>1154</v>
      </c>
      <c r="E99" s="672" t="s">
        <v>1155</v>
      </c>
      <c r="F99" s="238"/>
      <c r="G99" s="238"/>
      <c r="H99" s="238"/>
      <c r="I99" s="238"/>
      <c r="J99" s="238">
        <v>1</v>
      </c>
      <c r="K99" s="238">
        <v>580</v>
      </c>
      <c r="L99" s="238"/>
      <c r="M99" s="238">
        <v>580</v>
      </c>
      <c r="N99" s="238"/>
      <c r="O99" s="238"/>
      <c r="P99" s="683"/>
      <c r="Q99" s="714"/>
    </row>
    <row r="100" spans="1:17" ht="14.4" customHeight="1" x14ac:dyDescent="0.3">
      <c r="A100" s="681" t="s">
        <v>1212</v>
      </c>
      <c r="B100" s="672" t="s">
        <v>1050</v>
      </c>
      <c r="C100" s="672" t="s">
        <v>1113</v>
      </c>
      <c r="D100" s="672" t="s">
        <v>1160</v>
      </c>
      <c r="E100" s="672" t="s">
        <v>1161</v>
      </c>
      <c r="F100" s="238">
        <v>1</v>
      </c>
      <c r="G100" s="238">
        <v>486</v>
      </c>
      <c r="H100" s="238">
        <v>1</v>
      </c>
      <c r="I100" s="238">
        <v>486</v>
      </c>
      <c r="J100" s="238"/>
      <c r="K100" s="238"/>
      <c r="L100" s="238"/>
      <c r="M100" s="238"/>
      <c r="N100" s="238"/>
      <c r="O100" s="238"/>
      <c r="P100" s="683"/>
      <c r="Q100" s="714"/>
    </row>
    <row r="101" spans="1:17" ht="14.4" customHeight="1" x14ac:dyDescent="0.3">
      <c r="A101" s="681" t="s">
        <v>1212</v>
      </c>
      <c r="B101" s="672" t="s">
        <v>1050</v>
      </c>
      <c r="C101" s="672" t="s">
        <v>1113</v>
      </c>
      <c r="D101" s="672" t="s">
        <v>1162</v>
      </c>
      <c r="E101" s="672" t="s">
        <v>1163</v>
      </c>
      <c r="F101" s="238">
        <v>1</v>
      </c>
      <c r="G101" s="238">
        <v>2236</v>
      </c>
      <c r="H101" s="238">
        <v>1</v>
      </c>
      <c r="I101" s="238">
        <v>2236</v>
      </c>
      <c r="J101" s="238"/>
      <c r="K101" s="238"/>
      <c r="L101" s="238"/>
      <c r="M101" s="238"/>
      <c r="N101" s="238">
        <v>1</v>
      </c>
      <c r="O101" s="238">
        <v>2242</v>
      </c>
      <c r="P101" s="683">
        <v>1.0026833631484795</v>
      </c>
      <c r="Q101" s="714">
        <v>2242</v>
      </c>
    </row>
    <row r="102" spans="1:17" ht="14.4" customHeight="1" x14ac:dyDescent="0.3">
      <c r="A102" s="681" t="s">
        <v>1213</v>
      </c>
      <c r="B102" s="672" t="s">
        <v>1050</v>
      </c>
      <c r="C102" s="672" t="s">
        <v>1051</v>
      </c>
      <c r="D102" s="672" t="s">
        <v>1054</v>
      </c>
      <c r="E102" s="672" t="s">
        <v>634</v>
      </c>
      <c r="F102" s="238">
        <v>0.55000000000000004</v>
      </c>
      <c r="G102" s="238">
        <v>1190.93</v>
      </c>
      <c r="H102" s="238">
        <v>1</v>
      </c>
      <c r="I102" s="238">
        <v>2165.3272727272729</v>
      </c>
      <c r="J102" s="238"/>
      <c r="K102" s="238"/>
      <c r="L102" s="238"/>
      <c r="M102" s="238"/>
      <c r="N102" s="238"/>
      <c r="O102" s="238"/>
      <c r="P102" s="683"/>
      <c r="Q102" s="714"/>
    </row>
    <row r="103" spans="1:17" ht="14.4" customHeight="1" x14ac:dyDescent="0.3">
      <c r="A103" s="681" t="s">
        <v>1213</v>
      </c>
      <c r="B103" s="672" t="s">
        <v>1050</v>
      </c>
      <c r="C103" s="672" t="s">
        <v>1058</v>
      </c>
      <c r="D103" s="672" t="s">
        <v>1063</v>
      </c>
      <c r="E103" s="672" t="s">
        <v>1064</v>
      </c>
      <c r="F103" s="238">
        <v>150</v>
      </c>
      <c r="G103" s="238">
        <v>679.5</v>
      </c>
      <c r="H103" s="238">
        <v>1</v>
      </c>
      <c r="I103" s="238">
        <v>4.53</v>
      </c>
      <c r="J103" s="238">
        <v>180</v>
      </c>
      <c r="K103" s="238">
        <v>871.2</v>
      </c>
      <c r="L103" s="238">
        <v>1.2821192052980133</v>
      </c>
      <c r="M103" s="238">
        <v>4.84</v>
      </c>
      <c r="N103" s="238"/>
      <c r="O103" s="238"/>
      <c r="P103" s="683"/>
      <c r="Q103" s="714"/>
    </row>
    <row r="104" spans="1:17" ht="14.4" customHeight="1" x14ac:dyDescent="0.3">
      <c r="A104" s="681" t="s">
        <v>1213</v>
      </c>
      <c r="B104" s="672" t="s">
        <v>1050</v>
      </c>
      <c r="C104" s="672" t="s">
        <v>1058</v>
      </c>
      <c r="D104" s="672" t="s">
        <v>1085</v>
      </c>
      <c r="E104" s="672" t="s">
        <v>1086</v>
      </c>
      <c r="F104" s="238">
        <v>1</v>
      </c>
      <c r="G104" s="238">
        <v>2135.09</v>
      </c>
      <c r="H104" s="238">
        <v>1</v>
      </c>
      <c r="I104" s="238">
        <v>2135.09</v>
      </c>
      <c r="J104" s="238"/>
      <c r="K104" s="238"/>
      <c r="L104" s="238"/>
      <c r="M104" s="238"/>
      <c r="N104" s="238"/>
      <c r="O104" s="238"/>
      <c r="P104" s="683"/>
      <c r="Q104" s="714"/>
    </row>
    <row r="105" spans="1:17" ht="14.4" customHeight="1" x14ac:dyDescent="0.3">
      <c r="A105" s="681" t="s">
        <v>1213</v>
      </c>
      <c r="B105" s="672" t="s">
        <v>1050</v>
      </c>
      <c r="C105" s="672" t="s">
        <v>1058</v>
      </c>
      <c r="D105" s="672" t="s">
        <v>1093</v>
      </c>
      <c r="E105" s="672" t="s">
        <v>1094</v>
      </c>
      <c r="F105" s="238">
        <v>463</v>
      </c>
      <c r="G105" s="238">
        <v>14408.56</v>
      </c>
      <c r="H105" s="238">
        <v>1</v>
      </c>
      <c r="I105" s="238">
        <v>31.119999999999997</v>
      </c>
      <c r="J105" s="238"/>
      <c r="K105" s="238"/>
      <c r="L105" s="238"/>
      <c r="M105" s="238"/>
      <c r="N105" s="238"/>
      <c r="O105" s="238"/>
      <c r="P105" s="683"/>
      <c r="Q105" s="714"/>
    </row>
    <row r="106" spans="1:17" ht="14.4" customHeight="1" x14ac:dyDescent="0.3">
      <c r="A106" s="681" t="s">
        <v>1213</v>
      </c>
      <c r="B106" s="672" t="s">
        <v>1050</v>
      </c>
      <c r="C106" s="672" t="s">
        <v>1113</v>
      </c>
      <c r="D106" s="672" t="s">
        <v>1137</v>
      </c>
      <c r="E106" s="672" t="s">
        <v>1138</v>
      </c>
      <c r="F106" s="238">
        <v>1</v>
      </c>
      <c r="G106" s="238">
        <v>653</v>
      </c>
      <c r="H106" s="238">
        <v>1</v>
      </c>
      <c r="I106" s="238">
        <v>653</v>
      </c>
      <c r="J106" s="238"/>
      <c r="K106" s="238"/>
      <c r="L106" s="238"/>
      <c r="M106" s="238"/>
      <c r="N106" s="238"/>
      <c r="O106" s="238"/>
      <c r="P106" s="683"/>
      <c r="Q106" s="714"/>
    </row>
    <row r="107" spans="1:17" ht="14.4" customHeight="1" x14ac:dyDescent="0.3">
      <c r="A107" s="681" t="s">
        <v>1213</v>
      </c>
      <c r="B107" s="672" t="s">
        <v>1050</v>
      </c>
      <c r="C107" s="672" t="s">
        <v>1113</v>
      </c>
      <c r="D107" s="672" t="s">
        <v>1141</v>
      </c>
      <c r="E107" s="672" t="s">
        <v>1142</v>
      </c>
      <c r="F107" s="238"/>
      <c r="G107" s="238"/>
      <c r="H107" s="238"/>
      <c r="I107" s="238"/>
      <c r="J107" s="238">
        <v>1</v>
      </c>
      <c r="K107" s="238">
        <v>1754</v>
      </c>
      <c r="L107" s="238"/>
      <c r="M107" s="238">
        <v>1754</v>
      </c>
      <c r="N107" s="238"/>
      <c r="O107" s="238"/>
      <c r="P107" s="683"/>
      <c r="Q107" s="714"/>
    </row>
    <row r="108" spans="1:17" ht="14.4" customHeight="1" x14ac:dyDescent="0.3">
      <c r="A108" s="681" t="s">
        <v>1213</v>
      </c>
      <c r="B108" s="672" t="s">
        <v>1050</v>
      </c>
      <c r="C108" s="672" t="s">
        <v>1113</v>
      </c>
      <c r="D108" s="672" t="s">
        <v>1153</v>
      </c>
      <c r="E108" s="672" t="s">
        <v>1047</v>
      </c>
      <c r="F108" s="238">
        <v>1</v>
      </c>
      <c r="G108" s="238">
        <v>14158</v>
      </c>
      <c r="H108" s="238">
        <v>1</v>
      </c>
      <c r="I108" s="238">
        <v>14158</v>
      </c>
      <c r="J108" s="238"/>
      <c r="K108" s="238"/>
      <c r="L108" s="238"/>
      <c r="M108" s="238"/>
      <c r="N108" s="238"/>
      <c r="O108" s="238"/>
      <c r="P108" s="683"/>
      <c r="Q108" s="714"/>
    </row>
    <row r="109" spans="1:17" ht="14.4" customHeight="1" x14ac:dyDescent="0.3">
      <c r="A109" s="681" t="s">
        <v>1213</v>
      </c>
      <c r="B109" s="672" t="s">
        <v>1050</v>
      </c>
      <c r="C109" s="672" t="s">
        <v>1113</v>
      </c>
      <c r="D109" s="672" t="s">
        <v>1160</v>
      </c>
      <c r="E109" s="672" t="s">
        <v>1161</v>
      </c>
      <c r="F109" s="238">
        <v>1</v>
      </c>
      <c r="G109" s="238">
        <v>486</v>
      </c>
      <c r="H109" s="238">
        <v>1</v>
      </c>
      <c r="I109" s="238">
        <v>486</v>
      </c>
      <c r="J109" s="238">
        <v>1</v>
      </c>
      <c r="K109" s="238">
        <v>487</v>
      </c>
      <c r="L109" s="238">
        <v>1.0020576131687242</v>
      </c>
      <c r="M109" s="238">
        <v>487</v>
      </c>
      <c r="N109" s="238"/>
      <c r="O109" s="238"/>
      <c r="P109" s="683"/>
      <c r="Q109" s="714"/>
    </row>
    <row r="110" spans="1:17" ht="14.4" customHeight="1" x14ac:dyDescent="0.3">
      <c r="A110" s="681" t="s">
        <v>1214</v>
      </c>
      <c r="B110" s="672" t="s">
        <v>1050</v>
      </c>
      <c r="C110" s="672" t="s">
        <v>1051</v>
      </c>
      <c r="D110" s="672" t="s">
        <v>1053</v>
      </c>
      <c r="E110" s="672" t="s">
        <v>634</v>
      </c>
      <c r="F110" s="238"/>
      <c r="G110" s="238"/>
      <c r="H110" s="238"/>
      <c r="I110" s="238"/>
      <c r="J110" s="238"/>
      <c r="K110" s="238"/>
      <c r="L110" s="238"/>
      <c r="M110" s="238"/>
      <c r="N110" s="238">
        <v>0.89999999999999991</v>
      </c>
      <c r="O110" s="238">
        <v>982.93</v>
      </c>
      <c r="P110" s="683"/>
      <c r="Q110" s="714">
        <v>1092.1444444444444</v>
      </c>
    </row>
    <row r="111" spans="1:17" ht="14.4" customHeight="1" x14ac:dyDescent="0.3">
      <c r="A111" s="681" t="s">
        <v>1214</v>
      </c>
      <c r="B111" s="672" t="s">
        <v>1050</v>
      </c>
      <c r="C111" s="672" t="s">
        <v>1051</v>
      </c>
      <c r="D111" s="672" t="s">
        <v>1054</v>
      </c>
      <c r="E111" s="672" t="s">
        <v>634</v>
      </c>
      <c r="F111" s="238">
        <v>0.85</v>
      </c>
      <c r="G111" s="238">
        <v>1840.54</v>
      </c>
      <c r="H111" s="238">
        <v>1</v>
      </c>
      <c r="I111" s="238">
        <v>2165.3411764705884</v>
      </c>
      <c r="J111" s="238">
        <v>0.4</v>
      </c>
      <c r="K111" s="238">
        <v>873.72</v>
      </c>
      <c r="L111" s="238">
        <v>0.47470850945918047</v>
      </c>
      <c r="M111" s="238">
        <v>2184.2999999999997</v>
      </c>
      <c r="N111" s="238">
        <v>0.2</v>
      </c>
      <c r="O111" s="238">
        <v>436.86</v>
      </c>
      <c r="P111" s="683">
        <v>0.23735425472959024</v>
      </c>
      <c r="Q111" s="714">
        <v>2184.2999999999997</v>
      </c>
    </row>
    <row r="112" spans="1:17" ht="14.4" customHeight="1" x14ac:dyDescent="0.3">
      <c r="A112" s="681" t="s">
        <v>1214</v>
      </c>
      <c r="B112" s="672" t="s">
        <v>1050</v>
      </c>
      <c r="C112" s="672" t="s">
        <v>1051</v>
      </c>
      <c r="D112" s="672" t="s">
        <v>1055</v>
      </c>
      <c r="E112" s="672" t="s">
        <v>630</v>
      </c>
      <c r="F112" s="238">
        <v>0.1</v>
      </c>
      <c r="G112" s="238">
        <v>93.66</v>
      </c>
      <c r="H112" s="238">
        <v>1</v>
      </c>
      <c r="I112" s="238">
        <v>936.59999999999991</v>
      </c>
      <c r="J112" s="238"/>
      <c r="K112" s="238"/>
      <c r="L112" s="238"/>
      <c r="M112" s="238"/>
      <c r="N112" s="238">
        <v>0.03</v>
      </c>
      <c r="O112" s="238">
        <v>23.62</v>
      </c>
      <c r="P112" s="683">
        <v>0.25218876788383515</v>
      </c>
      <c r="Q112" s="714">
        <v>787.33333333333337</v>
      </c>
    </row>
    <row r="113" spans="1:17" ht="14.4" customHeight="1" x14ac:dyDescent="0.3">
      <c r="A113" s="681" t="s">
        <v>1214</v>
      </c>
      <c r="B113" s="672" t="s">
        <v>1050</v>
      </c>
      <c r="C113" s="672" t="s">
        <v>1058</v>
      </c>
      <c r="D113" s="672" t="s">
        <v>1061</v>
      </c>
      <c r="E113" s="672" t="s">
        <v>1062</v>
      </c>
      <c r="F113" s="238"/>
      <c r="G113" s="238"/>
      <c r="H113" s="238"/>
      <c r="I113" s="238"/>
      <c r="J113" s="238">
        <v>120</v>
      </c>
      <c r="K113" s="238">
        <v>228</v>
      </c>
      <c r="L113" s="238"/>
      <c r="M113" s="238">
        <v>1.9</v>
      </c>
      <c r="N113" s="238"/>
      <c r="O113" s="238"/>
      <c r="P113" s="683"/>
      <c r="Q113" s="714"/>
    </row>
    <row r="114" spans="1:17" ht="14.4" customHeight="1" x14ac:dyDescent="0.3">
      <c r="A114" s="681" t="s">
        <v>1214</v>
      </c>
      <c r="B114" s="672" t="s">
        <v>1050</v>
      </c>
      <c r="C114" s="672" t="s">
        <v>1058</v>
      </c>
      <c r="D114" s="672" t="s">
        <v>1071</v>
      </c>
      <c r="E114" s="672" t="s">
        <v>1072</v>
      </c>
      <c r="F114" s="238">
        <v>77</v>
      </c>
      <c r="G114" s="238">
        <v>556.71</v>
      </c>
      <c r="H114" s="238">
        <v>1</v>
      </c>
      <c r="I114" s="238">
        <v>7.23</v>
      </c>
      <c r="J114" s="238">
        <v>83</v>
      </c>
      <c r="K114" s="238">
        <v>635.83000000000004</v>
      </c>
      <c r="L114" s="238">
        <v>1.1421206732410052</v>
      </c>
      <c r="M114" s="238">
        <v>7.660602409638555</v>
      </c>
      <c r="N114" s="238"/>
      <c r="O114" s="238"/>
      <c r="P114" s="683"/>
      <c r="Q114" s="714"/>
    </row>
    <row r="115" spans="1:17" ht="14.4" customHeight="1" x14ac:dyDescent="0.3">
      <c r="A115" s="681" t="s">
        <v>1214</v>
      </c>
      <c r="B115" s="672" t="s">
        <v>1050</v>
      </c>
      <c r="C115" s="672" t="s">
        <v>1058</v>
      </c>
      <c r="D115" s="672" t="s">
        <v>1075</v>
      </c>
      <c r="E115" s="672" t="s">
        <v>1076</v>
      </c>
      <c r="F115" s="238">
        <v>75</v>
      </c>
      <c r="G115" s="238">
        <v>635.25</v>
      </c>
      <c r="H115" s="238">
        <v>1</v>
      </c>
      <c r="I115" s="238">
        <v>8.4700000000000006</v>
      </c>
      <c r="J115" s="238">
        <v>84</v>
      </c>
      <c r="K115" s="238">
        <v>737.52</v>
      </c>
      <c r="L115" s="238">
        <v>1.1609917355371902</v>
      </c>
      <c r="M115" s="238">
        <v>8.7799999999999994</v>
      </c>
      <c r="N115" s="238"/>
      <c r="O115" s="238"/>
      <c r="P115" s="683"/>
      <c r="Q115" s="714"/>
    </row>
    <row r="116" spans="1:17" ht="14.4" customHeight="1" x14ac:dyDescent="0.3">
      <c r="A116" s="681" t="s">
        <v>1214</v>
      </c>
      <c r="B116" s="672" t="s">
        <v>1050</v>
      </c>
      <c r="C116" s="672" t="s">
        <v>1058</v>
      </c>
      <c r="D116" s="672" t="s">
        <v>1093</v>
      </c>
      <c r="E116" s="672" t="s">
        <v>1094</v>
      </c>
      <c r="F116" s="238">
        <v>704</v>
      </c>
      <c r="G116" s="238">
        <v>21908.48</v>
      </c>
      <c r="H116" s="238">
        <v>1</v>
      </c>
      <c r="I116" s="238">
        <v>31.12</v>
      </c>
      <c r="J116" s="238">
        <v>390</v>
      </c>
      <c r="K116" s="238">
        <v>12975.3</v>
      </c>
      <c r="L116" s="238">
        <v>0.5922501241528394</v>
      </c>
      <c r="M116" s="238">
        <v>33.269999999999996</v>
      </c>
      <c r="N116" s="238">
        <v>617</v>
      </c>
      <c r="O116" s="238">
        <v>20546.099999999999</v>
      </c>
      <c r="P116" s="683">
        <v>0.93781494654124786</v>
      </c>
      <c r="Q116" s="714">
        <v>33.299999999999997</v>
      </c>
    </row>
    <row r="117" spans="1:17" ht="14.4" customHeight="1" x14ac:dyDescent="0.3">
      <c r="A117" s="681" t="s">
        <v>1214</v>
      </c>
      <c r="B117" s="672" t="s">
        <v>1050</v>
      </c>
      <c r="C117" s="672" t="s">
        <v>1110</v>
      </c>
      <c r="D117" s="672" t="s">
        <v>1111</v>
      </c>
      <c r="E117" s="672" t="s">
        <v>1112</v>
      </c>
      <c r="F117" s="238"/>
      <c r="G117" s="238"/>
      <c r="H117" s="238"/>
      <c r="I117" s="238"/>
      <c r="J117" s="238"/>
      <c r="K117" s="238"/>
      <c r="L117" s="238"/>
      <c r="M117" s="238"/>
      <c r="N117" s="238">
        <v>3</v>
      </c>
      <c r="O117" s="238">
        <v>2652.96</v>
      </c>
      <c r="P117" s="683"/>
      <c r="Q117" s="714">
        <v>884.32</v>
      </c>
    </row>
    <row r="118" spans="1:17" ht="14.4" customHeight="1" x14ac:dyDescent="0.3">
      <c r="A118" s="681" t="s">
        <v>1214</v>
      </c>
      <c r="B118" s="672" t="s">
        <v>1050</v>
      </c>
      <c r="C118" s="672" t="s">
        <v>1113</v>
      </c>
      <c r="D118" s="672" t="s">
        <v>1127</v>
      </c>
      <c r="E118" s="672" t="s">
        <v>1128</v>
      </c>
      <c r="F118" s="238"/>
      <c r="G118" s="238"/>
      <c r="H118" s="238"/>
      <c r="I118" s="238"/>
      <c r="J118" s="238">
        <v>1</v>
      </c>
      <c r="K118" s="238">
        <v>1306</v>
      </c>
      <c r="L118" s="238"/>
      <c r="M118" s="238">
        <v>1306</v>
      </c>
      <c r="N118" s="238"/>
      <c r="O118" s="238"/>
      <c r="P118" s="683"/>
      <c r="Q118" s="714"/>
    </row>
    <row r="119" spans="1:17" ht="14.4" customHeight="1" x14ac:dyDescent="0.3">
      <c r="A119" s="681" t="s">
        <v>1214</v>
      </c>
      <c r="B119" s="672" t="s">
        <v>1050</v>
      </c>
      <c r="C119" s="672" t="s">
        <v>1113</v>
      </c>
      <c r="D119" s="672" t="s">
        <v>1129</v>
      </c>
      <c r="E119" s="672" t="s">
        <v>1130</v>
      </c>
      <c r="F119" s="238">
        <v>2</v>
      </c>
      <c r="G119" s="238">
        <v>2760</v>
      </c>
      <c r="H119" s="238">
        <v>1</v>
      </c>
      <c r="I119" s="238">
        <v>1380</v>
      </c>
      <c r="J119" s="238">
        <v>2</v>
      </c>
      <c r="K119" s="238">
        <v>2766</v>
      </c>
      <c r="L119" s="238">
        <v>1.0021739130434784</v>
      </c>
      <c r="M119" s="238">
        <v>1383</v>
      </c>
      <c r="N119" s="238"/>
      <c r="O119" s="238"/>
      <c r="P119" s="683"/>
      <c r="Q119" s="714"/>
    </row>
    <row r="120" spans="1:17" ht="14.4" customHeight="1" x14ac:dyDescent="0.3">
      <c r="A120" s="681" t="s">
        <v>1214</v>
      </c>
      <c r="B120" s="672" t="s">
        <v>1050</v>
      </c>
      <c r="C120" s="672" t="s">
        <v>1113</v>
      </c>
      <c r="D120" s="672" t="s">
        <v>1131</v>
      </c>
      <c r="E120" s="672" t="s">
        <v>1132</v>
      </c>
      <c r="F120" s="238">
        <v>2</v>
      </c>
      <c r="G120" s="238">
        <v>3672</v>
      </c>
      <c r="H120" s="238">
        <v>1</v>
      </c>
      <c r="I120" s="238">
        <v>1836</v>
      </c>
      <c r="J120" s="238">
        <v>2</v>
      </c>
      <c r="K120" s="238">
        <v>3680</v>
      </c>
      <c r="L120" s="238">
        <v>1.0021786492374727</v>
      </c>
      <c r="M120" s="238">
        <v>1840</v>
      </c>
      <c r="N120" s="238"/>
      <c r="O120" s="238"/>
      <c r="P120" s="683"/>
      <c r="Q120" s="714"/>
    </row>
    <row r="121" spans="1:17" ht="14.4" customHeight="1" x14ac:dyDescent="0.3">
      <c r="A121" s="681" t="s">
        <v>1214</v>
      </c>
      <c r="B121" s="672" t="s">
        <v>1050</v>
      </c>
      <c r="C121" s="672" t="s">
        <v>1113</v>
      </c>
      <c r="D121" s="672" t="s">
        <v>1147</v>
      </c>
      <c r="E121" s="672" t="s">
        <v>1148</v>
      </c>
      <c r="F121" s="238"/>
      <c r="G121" s="238"/>
      <c r="H121" s="238"/>
      <c r="I121" s="238"/>
      <c r="J121" s="238">
        <v>1</v>
      </c>
      <c r="K121" s="238">
        <v>14328</v>
      </c>
      <c r="L121" s="238"/>
      <c r="M121" s="238">
        <v>14328</v>
      </c>
      <c r="N121" s="238">
        <v>3</v>
      </c>
      <c r="O121" s="238">
        <v>42984</v>
      </c>
      <c r="P121" s="683"/>
      <c r="Q121" s="714">
        <v>14328</v>
      </c>
    </row>
    <row r="122" spans="1:17" ht="14.4" customHeight="1" x14ac:dyDescent="0.3">
      <c r="A122" s="681" t="s">
        <v>1214</v>
      </c>
      <c r="B122" s="672" t="s">
        <v>1050</v>
      </c>
      <c r="C122" s="672" t="s">
        <v>1113</v>
      </c>
      <c r="D122" s="672" t="s">
        <v>1153</v>
      </c>
      <c r="E122" s="672" t="s">
        <v>1047</v>
      </c>
      <c r="F122" s="238">
        <v>3</v>
      </c>
      <c r="G122" s="238">
        <v>42474</v>
      </c>
      <c r="H122" s="238">
        <v>1</v>
      </c>
      <c r="I122" s="238">
        <v>14158</v>
      </c>
      <c r="J122" s="238"/>
      <c r="K122" s="238"/>
      <c r="L122" s="238"/>
      <c r="M122" s="238"/>
      <c r="N122" s="238"/>
      <c r="O122" s="238"/>
      <c r="P122" s="683"/>
      <c r="Q122" s="714"/>
    </row>
    <row r="123" spans="1:17" ht="14.4" customHeight="1" x14ac:dyDescent="0.3">
      <c r="A123" s="681" t="s">
        <v>1215</v>
      </c>
      <c r="B123" s="672" t="s">
        <v>1050</v>
      </c>
      <c r="C123" s="672" t="s">
        <v>1058</v>
      </c>
      <c r="D123" s="672" t="s">
        <v>1081</v>
      </c>
      <c r="E123" s="672" t="s">
        <v>1082</v>
      </c>
      <c r="F123" s="238">
        <v>461</v>
      </c>
      <c r="G123" s="238">
        <v>7343.73</v>
      </c>
      <c r="H123" s="238">
        <v>1</v>
      </c>
      <c r="I123" s="238">
        <v>15.93</v>
      </c>
      <c r="J123" s="238"/>
      <c r="K123" s="238"/>
      <c r="L123" s="238"/>
      <c r="M123" s="238"/>
      <c r="N123" s="238"/>
      <c r="O123" s="238"/>
      <c r="P123" s="683"/>
      <c r="Q123" s="714"/>
    </row>
    <row r="124" spans="1:17" ht="14.4" customHeight="1" x14ac:dyDescent="0.3">
      <c r="A124" s="681" t="s">
        <v>1215</v>
      </c>
      <c r="B124" s="672" t="s">
        <v>1050</v>
      </c>
      <c r="C124" s="672" t="s">
        <v>1113</v>
      </c>
      <c r="D124" s="672" t="s">
        <v>1141</v>
      </c>
      <c r="E124" s="672" t="s">
        <v>1142</v>
      </c>
      <c r="F124" s="238">
        <v>2</v>
      </c>
      <c r="G124" s="238">
        <v>3502</v>
      </c>
      <c r="H124" s="238">
        <v>1</v>
      </c>
      <c r="I124" s="238">
        <v>1751</v>
      </c>
      <c r="J124" s="238"/>
      <c r="K124" s="238"/>
      <c r="L124" s="238"/>
      <c r="M124" s="238"/>
      <c r="N124" s="238"/>
      <c r="O124" s="238"/>
      <c r="P124" s="683"/>
      <c r="Q124" s="714"/>
    </row>
    <row r="125" spans="1:17" ht="14.4" customHeight="1" x14ac:dyDescent="0.3">
      <c r="A125" s="681" t="s">
        <v>1215</v>
      </c>
      <c r="B125" s="672" t="s">
        <v>1050</v>
      </c>
      <c r="C125" s="672" t="s">
        <v>1113</v>
      </c>
      <c r="D125" s="672" t="s">
        <v>1162</v>
      </c>
      <c r="E125" s="672" t="s">
        <v>1163</v>
      </c>
      <c r="F125" s="238">
        <v>1</v>
      </c>
      <c r="G125" s="238">
        <v>2236</v>
      </c>
      <c r="H125" s="238">
        <v>1</v>
      </c>
      <c r="I125" s="238">
        <v>2236</v>
      </c>
      <c r="J125" s="238"/>
      <c r="K125" s="238"/>
      <c r="L125" s="238"/>
      <c r="M125" s="238"/>
      <c r="N125" s="238"/>
      <c r="O125" s="238"/>
      <c r="P125" s="683"/>
      <c r="Q125" s="714"/>
    </row>
    <row r="126" spans="1:17" ht="14.4" customHeight="1" x14ac:dyDescent="0.3">
      <c r="A126" s="681" t="s">
        <v>1216</v>
      </c>
      <c r="B126" s="672" t="s">
        <v>1050</v>
      </c>
      <c r="C126" s="672" t="s">
        <v>1051</v>
      </c>
      <c r="D126" s="672" t="s">
        <v>1054</v>
      </c>
      <c r="E126" s="672" t="s">
        <v>634</v>
      </c>
      <c r="F126" s="238"/>
      <c r="G126" s="238"/>
      <c r="H126" s="238"/>
      <c r="I126" s="238"/>
      <c r="J126" s="238"/>
      <c r="K126" s="238"/>
      <c r="L126" s="238"/>
      <c r="M126" s="238"/>
      <c r="N126" s="238">
        <v>0.5</v>
      </c>
      <c r="O126" s="238">
        <v>1092.1600000000001</v>
      </c>
      <c r="P126" s="683"/>
      <c r="Q126" s="714">
        <v>2184.3200000000002</v>
      </c>
    </row>
    <row r="127" spans="1:17" ht="14.4" customHeight="1" x14ac:dyDescent="0.3">
      <c r="A127" s="681" t="s">
        <v>1216</v>
      </c>
      <c r="B127" s="672" t="s">
        <v>1050</v>
      </c>
      <c r="C127" s="672" t="s">
        <v>1051</v>
      </c>
      <c r="D127" s="672" t="s">
        <v>1055</v>
      </c>
      <c r="E127" s="672" t="s">
        <v>630</v>
      </c>
      <c r="F127" s="238"/>
      <c r="G127" s="238"/>
      <c r="H127" s="238"/>
      <c r="I127" s="238"/>
      <c r="J127" s="238"/>
      <c r="K127" s="238"/>
      <c r="L127" s="238"/>
      <c r="M127" s="238"/>
      <c r="N127" s="238">
        <v>0.05</v>
      </c>
      <c r="O127" s="238">
        <v>47.24</v>
      </c>
      <c r="P127" s="683"/>
      <c r="Q127" s="714">
        <v>944.8</v>
      </c>
    </row>
    <row r="128" spans="1:17" ht="14.4" customHeight="1" x14ac:dyDescent="0.3">
      <c r="A128" s="681" t="s">
        <v>1216</v>
      </c>
      <c r="B128" s="672" t="s">
        <v>1050</v>
      </c>
      <c r="C128" s="672" t="s">
        <v>1058</v>
      </c>
      <c r="D128" s="672" t="s">
        <v>1063</v>
      </c>
      <c r="E128" s="672" t="s">
        <v>1064</v>
      </c>
      <c r="F128" s="238">
        <v>250</v>
      </c>
      <c r="G128" s="238">
        <v>1132.5</v>
      </c>
      <c r="H128" s="238">
        <v>1</v>
      </c>
      <c r="I128" s="238">
        <v>4.53</v>
      </c>
      <c r="J128" s="238"/>
      <c r="K128" s="238"/>
      <c r="L128" s="238"/>
      <c r="M128" s="238"/>
      <c r="N128" s="238"/>
      <c r="O128" s="238"/>
      <c r="P128" s="683"/>
      <c r="Q128" s="714"/>
    </row>
    <row r="129" spans="1:17" ht="14.4" customHeight="1" x14ac:dyDescent="0.3">
      <c r="A129" s="681" t="s">
        <v>1216</v>
      </c>
      <c r="B129" s="672" t="s">
        <v>1050</v>
      </c>
      <c r="C129" s="672" t="s">
        <v>1058</v>
      </c>
      <c r="D129" s="672" t="s">
        <v>1071</v>
      </c>
      <c r="E129" s="672" t="s">
        <v>1072</v>
      </c>
      <c r="F129" s="238">
        <v>140</v>
      </c>
      <c r="G129" s="238">
        <v>1012.2</v>
      </c>
      <c r="H129" s="238">
        <v>1</v>
      </c>
      <c r="I129" s="238">
        <v>7.23</v>
      </c>
      <c r="J129" s="238"/>
      <c r="K129" s="238"/>
      <c r="L129" s="238"/>
      <c r="M129" s="238"/>
      <c r="N129" s="238">
        <v>140</v>
      </c>
      <c r="O129" s="238">
        <v>1150.8</v>
      </c>
      <c r="P129" s="683">
        <v>1.1369294605809128</v>
      </c>
      <c r="Q129" s="714">
        <v>8.2199999999999989</v>
      </c>
    </row>
    <row r="130" spans="1:17" ht="14.4" customHeight="1" x14ac:dyDescent="0.3">
      <c r="A130" s="681" t="s">
        <v>1216</v>
      </c>
      <c r="B130" s="672" t="s">
        <v>1050</v>
      </c>
      <c r="C130" s="672" t="s">
        <v>1058</v>
      </c>
      <c r="D130" s="672" t="s">
        <v>1075</v>
      </c>
      <c r="E130" s="672" t="s">
        <v>1076</v>
      </c>
      <c r="F130" s="238">
        <v>570</v>
      </c>
      <c r="G130" s="238">
        <v>4827.8999999999996</v>
      </c>
      <c r="H130" s="238">
        <v>1</v>
      </c>
      <c r="I130" s="238">
        <v>8.4699999999999989</v>
      </c>
      <c r="J130" s="238"/>
      <c r="K130" s="238"/>
      <c r="L130" s="238"/>
      <c r="M130" s="238"/>
      <c r="N130" s="238"/>
      <c r="O130" s="238"/>
      <c r="P130" s="683"/>
      <c r="Q130" s="714"/>
    </row>
    <row r="131" spans="1:17" ht="14.4" customHeight="1" x14ac:dyDescent="0.3">
      <c r="A131" s="681" t="s">
        <v>1216</v>
      </c>
      <c r="B131" s="672" t="s">
        <v>1050</v>
      </c>
      <c r="C131" s="672" t="s">
        <v>1058</v>
      </c>
      <c r="D131" s="672" t="s">
        <v>1089</v>
      </c>
      <c r="E131" s="672" t="s">
        <v>1090</v>
      </c>
      <c r="F131" s="238">
        <v>636</v>
      </c>
      <c r="G131" s="238">
        <v>1869.84</v>
      </c>
      <c r="H131" s="238">
        <v>1</v>
      </c>
      <c r="I131" s="238">
        <v>2.94</v>
      </c>
      <c r="J131" s="238">
        <v>643</v>
      </c>
      <c r="K131" s="238">
        <v>2006.16</v>
      </c>
      <c r="L131" s="238">
        <v>1.072904633551534</v>
      </c>
      <c r="M131" s="238">
        <v>3.12</v>
      </c>
      <c r="N131" s="238">
        <v>839</v>
      </c>
      <c r="O131" s="238">
        <v>2735.14</v>
      </c>
      <c r="P131" s="683">
        <v>1.4627668677533907</v>
      </c>
      <c r="Q131" s="714">
        <v>3.26</v>
      </c>
    </row>
    <row r="132" spans="1:17" ht="14.4" customHeight="1" x14ac:dyDescent="0.3">
      <c r="A132" s="681" t="s">
        <v>1216</v>
      </c>
      <c r="B132" s="672" t="s">
        <v>1050</v>
      </c>
      <c r="C132" s="672" t="s">
        <v>1058</v>
      </c>
      <c r="D132" s="672" t="s">
        <v>1093</v>
      </c>
      <c r="E132" s="672" t="s">
        <v>1094</v>
      </c>
      <c r="F132" s="238"/>
      <c r="G132" s="238"/>
      <c r="H132" s="238"/>
      <c r="I132" s="238"/>
      <c r="J132" s="238"/>
      <c r="K132" s="238"/>
      <c r="L132" s="238"/>
      <c r="M132" s="238"/>
      <c r="N132" s="238">
        <v>436</v>
      </c>
      <c r="O132" s="238">
        <v>14518.8</v>
      </c>
      <c r="P132" s="683"/>
      <c r="Q132" s="714">
        <v>33.299999999999997</v>
      </c>
    </row>
    <row r="133" spans="1:17" ht="14.4" customHeight="1" x14ac:dyDescent="0.3">
      <c r="A133" s="681" t="s">
        <v>1216</v>
      </c>
      <c r="B133" s="672" t="s">
        <v>1050</v>
      </c>
      <c r="C133" s="672" t="s">
        <v>1113</v>
      </c>
      <c r="D133" s="672" t="s">
        <v>1129</v>
      </c>
      <c r="E133" s="672" t="s">
        <v>1130</v>
      </c>
      <c r="F133" s="238">
        <v>1</v>
      </c>
      <c r="G133" s="238">
        <v>1380</v>
      </c>
      <c r="H133" s="238">
        <v>1</v>
      </c>
      <c r="I133" s="238">
        <v>1380</v>
      </c>
      <c r="J133" s="238"/>
      <c r="K133" s="238"/>
      <c r="L133" s="238"/>
      <c r="M133" s="238"/>
      <c r="N133" s="238">
        <v>1</v>
      </c>
      <c r="O133" s="238">
        <v>1383</v>
      </c>
      <c r="P133" s="683">
        <v>1.0021739130434784</v>
      </c>
      <c r="Q133" s="714">
        <v>1383</v>
      </c>
    </row>
    <row r="134" spans="1:17" ht="14.4" customHeight="1" x14ac:dyDescent="0.3">
      <c r="A134" s="681" t="s">
        <v>1216</v>
      </c>
      <c r="B134" s="672" t="s">
        <v>1050</v>
      </c>
      <c r="C134" s="672" t="s">
        <v>1113</v>
      </c>
      <c r="D134" s="672" t="s">
        <v>1131</v>
      </c>
      <c r="E134" s="672" t="s">
        <v>1132</v>
      </c>
      <c r="F134" s="238">
        <v>4</v>
      </c>
      <c r="G134" s="238">
        <v>7344</v>
      </c>
      <c r="H134" s="238">
        <v>1</v>
      </c>
      <c r="I134" s="238">
        <v>1836</v>
      </c>
      <c r="J134" s="238"/>
      <c r="K134" s="238"/>
      <c r="L134" s="238"/>
      <c r="M134" s="238"/>
      <c r="N134" s="238"/>
      <c r="O134" s="238"/>
      <c r="P134" s="683"/>
      <c r="Q134" s="714"/>
    </row>
    <row r="135" spans="1:17" ht="14.4" customHeight="1" x14ac:dyDescent="0.3">
      <c r="A135" s="681" t="s">
        <v>1216</v>
      </c>
      <c r="B135" s="672" t="s">
        <v>1050</v>
      </c>
      <c r="C135" s="672" t="s">
        <v>1113</v>
      </c>
      <c r="D135" s="672" t="s">
        <v>1141</v>
      </c>
      <c r="E135" s="672" t="s">
        <v>1142</v>
      </c>
      <c r="F135" s="238">
        <v>3</v>
      </c>
      <c r="G135" s="238">
        <v>5253</v>
      </c>
      <c r="H135" s="238">
        <v>1</v>
      </c>
      <c r="I135" s="238">
        <v>1751</v>
      </c>
      <c r="J135" s="238">
        <v>2</v>
      </c>
      <c r="K135" s="238">
        <v>3508</v>
      </c>
      <c r="L135" s="238">
        <v>0.66780887112126408</v>
      </c>
      <c r="M135" s="238">
        <v>1754</v>
      </c>
      <c r="N135" s="238">
        <v>1</v>
      </c>
      <c r="O135" s="238">
        <v>1754</v>
      </c>
      <c r="P135" s="683">
        <v>0.33390443556063204</v>
      </c>
      <c r="Q135" s="714">
        <v>1754</v>
      </c>
    </row>
    <row r="136" spans="1:17" ht="14.4" customHeight="1" x14ac:dyDescent="0.3">
      <c r="A136" s="681" t="s">
        <v>1216</v>
      </c>
      <c r="B136" s="672" t="s">
        <v>1050</v>
      </c>
      <c r="C136" s="672" t="s">
        <v>1113</v>
      </c>
      <c r="D136" s="672" t="s">
        <v>1147</v>
      </c>
      <c r="E136" s="672" t="s">
        <v>1148</v>
      </c>
      <c r="F136" s="238"/>
      <c r="G136" s="238"/>
      <c r="H136" s="238"/>
      <c r="I136" s="238"/>
      <c r="J136" s="238"/>
      <c r="K136" s="238"/>
      <c r="L136" s="238"/>
      <c r="M136" s="238"/>
      <c r="N136" s="238">
        <v>1</v>
      </c>
      <c r="O136" s="238">
        <v>14328</v>
      </c>
      <c r="P136" s="683"/>
      <c r="Q136" s="714">
        <v>14328</v>
      </c>
    </row>
    <row r="137" spans="1:17" ht="14.4" customHeight="1" x14ac:dyDescent="0.3">
      <c r="A137" s="681" t="s">
        <v>1216</v>
      </c>
      <c r="B137" s="672" t="s">
        <v>1050</v>
      </c>
      <c r="C137" s="672" t="s">
        <v>1113</v>
      </c>
      <c r="D137" s="672" t="s">
        <v>1158</v>
      </c>
      <c r="E137" s="672" t="s">
        <v>1159</v>
      </c>
      <c r="F137" s="238">
        <v>1</v>
      </c>
      <c r="G137" s="238">
        <v>1283</v>
      </c>
      <c r="H137" s="238">
        <v>1</v>
      </c>
      <c r="I137" s="238">
        <v>1283</v>
      </c>
      <c r="J137" s="238">
        <v>1</v>
      </c>
      <c r="K137" s="238">
        <v>1286</v>
      </c>
      <c r="L137" s="238">
        <v>1.0023382696804364</v>
      </c>
      <c r="M137" s="238">
        <v>1286</v>
      </c>
      <c r="N137" s="238">
        <v>1</v>
      </c>
      <c r="O137" s="238">
        <v>1286</v>
      </c>
      <c r="P137" s="683">
        <v>1.0023382696804364</v>
      </c>
      <c r="Q137" s="714">
        <v>1286</v>
      </c>
    </row>
    <row r="138" spans="1:17" ht="14.4" customHeight="1" x14ac:dyDescent="0.3">
      <c r="A138" s="681" t="s">
        <v>1216</v>
      </c>
      <c r="B138" s="672" t="s">
        <v>1050</v>
      </c>
      <c r="C138" s="672" t="s">
        <v>1113</v>
      </c>
      <c r="D138" s="672" t="s">
        <v>1160</v>
      </c>
      <c r="E138" s="672" t="s">
        <v>1161</v>
      </c>
      <c r="F138" s="238">
        <v>1</v>
      </c>
      <c r="G138" s="238">
        <v>486</v>
      </c>
      <c r="H138" s="238">
        <v>1</v>
      </c>
      <c r="I138" s="238">
        <v>486</v>
      </c>
      <c r="J138" s="238"/>
      <c r="K138" s="238"/>
      <c r="L138" s="238"/>
      <c r="M138" s="238"/>
      <c r="N138" s="238"/>
      <c r="O138" s="238"/>
      <c r="P138" s="683"/>
      <c r="Q138" s="714"/>
    </row>
    <row r="139" spans="1:17" ht="14.4" customHeight="1" x14ac:dyDescent="0.3">
      <c r="A139" s="681" t="s">
        <v>1217</v>
      </c>
      <c r="B139" s="672" t="s">
        <v>1050</v>
      </c>
      <c r="C139" s="672" t="s">
        <v>1051</v>
      </c>
      <c r="D139" s="672" t="s">
        <v>1052</v>
      </c>
      <c r="E139" s="672" t="s">
        <v>626</v>
      </c>
      <c r="F139" s="238"/>
      <c r="G139" s="238"/>
      <c r="H139" s="238"/>
      <c r="I139" s="238"/>
      <c r="J139" s="238"/>
      <c r="K139" s="238"/>
      <c r="L139" s="238"/>
      <c r="M139" s="238"/>
      <c r="N139" s="238">
        <v>0.1</v>
      </c>
      <c r="O139" s="238">
        <v>197.8</v>
      </c>
      <c r="P139" s="683"/>
      <c r="Q139" s="714">
        <v>1978</v>
      </c>
    </row>
    <row r="140" spans="1:17" ht="14.4" customHeight="1" x14ac:dyDescent="0.3">
      <c r="A140" s="681" t="s">
        <v>1217</v>
      </c>
      <c r="B140" s="672" t="s">
        <v>1050</v>
      </c>
      <c r="C140" s="672" t="s">
        <v>1051</v>
      </c>
      <c r="D140" s="672" t="s">
        <v>1054</v>
      </c>
      <c r="E140" s="672" t="s">
        <v>634</v>
      </c>
      <c r="F140" s="238"/>
      <c r="G140" s="238"/>
      <c r="H140" s="238"/>
      <c r="I140" s="238"/>
      <c r="J140" s="238">
        <v>0.5</v>
      </c>
      <c r="K140" s="238">
        <v>1092.1600000000001</v>
      </c>
      <c r="L140" s="238"/>
      <c r="M140" s="238">
        <v>2184.3200000000002</v>
      </c>
      <c r="N140" s="238">
        <v>0.95</v>
      </c>
      <c r="O140" s="238">
        <v>2075.1</v>
      </c>
      <c r="P140" s="683"/>
      <c r="Q140" s="714">
        <v>2184.3157894736842</v>
      </c>
    </row>
    <row r="141" spans="1:17" ht="14.4" customHeight="1" x14ac:dyDescent="0.3">
      <c r="A141" s="681" t="s">
        <v>1217</v>
      </c>
      <c r="B141" s="672" t="s">
        <v>1050</v>
      </c>
      <c r="C141" s="672" t="s">
        <v>1051</v>
      </c>
      <c r="D141" s="672" t="s">
        <v>1055</v>
      </c>
      <c r="E141" s="672" t="s">
        <v>630</v>
      </c>
      <c r="F141" s="238">
        <v>0.05</v>
      </c>
      <c r="G141" s="238">
        <v>46.83</v>
      </c>
      <c r="H141" s="238">
        <v>1</v>
      </c>
      <c r="I141" s="238">
        <v>936.59999999999991</v>
      </c>
      <c r="J141" s="238">
        <v>0.05</v>
      </c>
      <c r="K141" s="238">
        <v>47.24</v>
      </c>
      <c r="L141" s="238">
        <v>1.0087550715353406</v>
      </c>
      <c r="M141" s="238">
        <v>944.8</v>
      </c>
      <c r="N141" s="238">
        <v>0.03</v>
      </c>
      <c r="O141" s="238">
        <v>23.62</v>
      </c>
      <c r="P141" s="683">
        <v>0.5043775357676703</v>
      </c>
      <c r="Q141" s="714">
        <v>787.33333333333337</v>
      </c>
    </row>
    <row r="142" spans="1:17" ht="14.4" customHeight="1" x14ac:dyDescent="0.3">
      <c r="A142" s="681" t="s">
        <v>1217</v>
      </c>
      <c r="B142" s="672" t="s">
        <v>1050</v>
      </c>
      <c r="C142" s="672" t="s">
        <v>1058</v>
      </c>
      <c r="D142" s="672" t="s">
        <v>1218</v>
      </c>
      <c r="E142" s="672" t="s">
        <v>1219</v>
      </c>
      <c r="F142" s="238"/>
      <c r="G142" s="238"/>
      <c r="H142" s="238"/>
      <c r="I142" s="238"/>
      <c r="J142" s="238"/>
      <c r="K142" s="238"/>
      <c r="L142" s="238"/>
      <c r="M142" s="238"/>
      <c r="N142" s="238">
        <v>300</v>
      </c>
      <c r="O142" s="238">
        <v>2250</v>
      </c>
      <c r="P142" s="683"/>
      <c r="Q142" s="714">
        <v>7.5</v>
      </c>
    </row>
    <row r="143" spans="1:17" ht="14.4" customHeight="1" x14ac:dyDescent="0.3">
      <c r="A143" s="681" t="s">
        <v>1217</v>
      </c>
      <c r="B143" s="672" t="s">
        <v>1050</v>
      </c>
      <c r="C143" s="672" t="s">
        <v>1058</v>
      </c>
      <c r="D143" s="672" t="s">
        <v>1093</v>
      </c>
      <c r="E143" s="672" t="s">
        <v>1094</v>
      </c>
      <c r="F143" s="238">
        <v>405</v>
      </c>
      <c r="G143" s="238">
        <v>12603.6</v>
      </c>
      <c r="H143" s="238">
        <v>1</v>
      </c>
      <c r="I143" s="238">
        <v>31.12</v>
      </c>
      <c r="J143" s="238">
        <v>416</v>
      </c>
      <c r="K143" s="238">
        <v>13694.72</v>
      </c>
      <c r="L143" s="238">
        <v>1.0865720905138214</v>
      </c>
      <c r="M143" s="238">
        <v>32.92</v>
      </c>
      <c r="N143" s="238">
        <v>812</v>
      </c>
      <c r="O143" s="238">
        <v>27039.599999999999</v>
      </c>
      <c r="P143" s="683">
        <v>2.1453870322764921</v>
      </c>
      <c r="Q143" s="714">
        <v>33.299999999999997</v>
      </c>
    </row>
    <row r="144" spans="1:17" ht="14.4" customHeight="1" x14ac:dyDescent="0.3">
      <c r="A144" s="681" t="s">
        <v>1217</v>
      </c>
      <c r="B144" s="672" t="s">
        <v>1050</v>
      </c>
      <c r="C144" s="672" t="s">
        <v>1110</v>
      </c>
      <c r="D144" s="672" t="s">
        <v>1111</v>
      </c>
      <c r="E144" s="672" t="s">
        <v>1112</v>
      </c>
      <c r="F144" s="238"/>
      <c r="G144" s="238"/>
      <c r="H144" s="238"/>
      <c r="I144" s="238"/>
      <c r="J144" s="238"/>
      <c r="K144" s="238"/>
      <c r="L144" s="238"/>
      <c r="M144" s="238"/>
      <c r="N144" s="238">
        <v>2</v>
      </c>
      <c r="O144" s="238">
        <v>1768.64</v>
      </c>
      <c r="P144" s="683"/>
      <c r="Q144" s="714">
        <v>884.32</v>
      </c>
    </row>
    <row r="145" spans="1:17" ht="14.4" customHeight="1" x14ac:dyDescent="0.3">
      <c r="A145" s="681" t="s">
        <v>1217</v>
      </c>
      <c r="B145" s="672" t="s">
        <v>1050</v>
      </c>
      <c r="C145" s="672" t="s">
        <v>1113</v>
      </c>
      <c r="D145" s="672" t="s">
        <v>1114</v>
      </c>
      <c r="E145" s="672" t="s">
        <v>1115</v>
      </c>
      <c r="F145" s="238"/>
      <c r="G145" s="238"/>
      <c r="H145" s="238"/>
      <c r="I145" s="238"/>
      <c r="J145" s="238">
        <v>1</v>
      </c>
      <c r="K145" s="238">
        <v>34</v>
      </c>
      <c r="L145" s="238"/>
      <c r="M145" s="238">
        <v>34</v>
      </c>
      <c r="N145" s="238"/>
      <c r="O145" s="238"/>
      <c r="P145" s="683"/>
      <c r="Q145" s="714"/>
    </row>
    <row r="146" spans="1:17" ht="14.4" customHeight="1" x14ac:dyDescent="0.3">
      <c r="A146" s="681" t="s">
        <v>1217</v>
      </c>
      <c r="B146" s="672" t="s">
        <v>1050</v>
      </c>
      <c r="C146" s="672" t="s">
        <v>1113</v>
      </c>
      <c r="D146" s="672" t="s">
        <v>1145</v>
      </c>
      <c r="E146" s="672" t="s">
        <v>1146</v>
      </c>
      <c r="F146" s="238"/>
      <c r="G146" s="238"/>
      <c r="H146" s="238"/>
      <c r="I146" s="238"/>
      <c r="J146" s="238"/>
      <c r="K146" s="238"/>
      <c r="L146" s="238"/>
      <c r="M146" s="238"/>
      <c r="N146" s="238">
        <v>1</v>
      </c>
      <c r="O146" s="238">
        <v>3437</v>
      </c>
      <c r="P146" s="683"/>
      <c r="Q146" s="714">
        <v>3437</v>
      </c>
    </row>
    <row r="147" spans="1:17" ht="14.4" customHeight="1" x14ac:dyDescent="0.3">
      <c r="A147" s="681" t="s">
        <v>1217</v>
      </c>
      <c r="B147" s="672" t="s">
        <v>1050</v>
      </c>
      <c r="C147" s="672" t="s">
        <v>1113</v>
      </c>
      <c r="D147" s="672" t="s">
        <v>1147</v>
      </c>
      <c r="E147" s="672" t="s">
        <v>1148</v>
      </c>
      <c r="F147" s="238"/>
      <c r="G147" s="238"/>
      <c r="H147" s="238"/>
      <c r="I147" s="238"/>
      <c r="J147" s="238">
        <v>1</v>
      </c>
      <c r="K147" s="238">
        <v>14328</v>
      </c>
      <c r="L147" s="238"/>
      <c r="M147" s="238">
        <v>14328</v>
      </c>
      <c r="N147" s="238">
        <v>2</v>
      </c>
      <c r="O147" s="238">
        <v>28656</v>
      </c>
      <c r="P147" s="683"/>
      <c r="Q147" s="714">
        <v>14328</v>
      </c>
    </row>
    <row r="148" spans="1:17" ht="14.4" customHeight="1" x14ac:dyDescent="0.3">
      <c r="A148" s="681" t="s">
        <v>1217</v>
      </c>
      <c r="B148" s="672" t="s">
        <v>1050</v>
      </c>
      <c r="C148" s="672" t="s">
        <v>1113</v>
      </c>
      <c r="D148" s="672" t="s">
        <v>1153</v>
      </c>
      <c r="E148" s="672" t="s">
        <v>1047</v>
      </c>
      <c r="F148" s="238">
        <v>1</v>
      </c>
      <c r="G148" s="238">
        <v>14158</v>
      </c>
      <c r="H148" s="238">
        <v>1</v>
      </c>
      <c r="I148" s="238">
        <v>14158</v>
      </c>
      <c r="J148" s="238"/>
      <c r="K148" s="238"/>
      <c r="L148" s="238"/>
      <c r="M148" s="238"/>
      <c r="N148" s="238"/>
      <c r="O148" s="238"/>
      <c r="P148" s="683"/>
      <c r="Q148" s="714"/>
    </row>
    <row r="149" spans="1:17" ht="14.4" customHeight="1" x14ac:dyDescent="0.3">
      <c r="A149" s="681" t="s">
        <v>1220</v>
      </c>
      <c r="B149" s="672" t="s">
        <v>1050</v>
      </c>
      <c r="C149" s="672" t="s">
        <v>1051</v>
      </c>
      <c r="D149" s="672" t="s">
        <v>1054</v>
      </c>
      <c r="E149" s="672" t="s">
        <v>634</v>
      </c>
      <c r="F149" s="238">
        <v>0.5</v>
      </c>
      <c r="G149" s="238">
        <v>1082.67</v>
      </c>
      <c r="H149" s="238">
        <v>1</v>
      </c>
      <c r="I149" s="238">
        <v>2165.34</v>
      </c>
      <c r="J149" s="238"/>
      <c r="K149" s="238"/>
      <c r="L149" s="238"/>
      <c r="M149" s="238"/>
      <c r="N149" s="238"/>
      <c r="O149" s="238"/>
      <c r="P149" s="683"/>
      <c r="Q149" s="714"/>
    </row>
    <row r="150" spans="1:17" ht="14.4" customHeight="1" x14ac:dyDescent="0.3">
      <c r="A150" s="681" t="s">
        <v>1220</v>
      </c>
      <c r="B150" s="672" t="s">
        <v>1050</v>
      </c>
      <c r="C150" s="672" t="s">
        <v>1058</v>
      </c>
      <c r="D150" s="672" t="s">
        <v>1093</v>
      </c>
      <c r="E150" s="672" t="s">
        <v>1094</v>
      </c>
      <c r="F150" s="238">
        <v>427</v>
      </c>
      <c r="G150" s="238">
        <v>13288.24</v>
      </c>
      <c r="H150" s="238">
        <v>1</v>
      </c>
      <c r="I150" s="238">
        <v>31.12</v>
      </c>
      <c r="J150" s="238"/>
      <c r="K150" s="238"/>
      <c r="L150" s="238"/>
      <c r="M150" s="238"/>
      <c r="N150" s="238"/>
      <c r="O150" s="238"/>
      <c r="P150" s="683"/>
      <c r="Q150" s="714"/>
    </row>
    <row r="151" spans="1:17" ht="14.4" customHeight="1" x14ac:dyDescent="0.3">
      <c r="A151" s="681" t="s">
        <v>1220</v>
      </c>
      <c r="B151" s="672" t="s">
        <v>1050</v>
      </c>
      <c r="C151" s="672" t="s">
        <v>1113</v>
      </c>
      <c r="D151" s="672" t="s">
        <v>1153</v>
      </c>
      <c r="E151" s="672" t="s">
        <v>1047</v>
      </c>
      <c r="F151" s="238">
        <v>1</v>
      </c>
      <c r="G151" s="238">
        <v>14158</v>
      </c>
      <c r="H151" s="238">
        <v>1</v>
      </c>
      <c r="I151" s="238">
        <v>14158</v>
      </c>
      <c r="J151" s="238"/>
      <c r="K151" s="238"/>
      <c r="L151" s="238"/>
      <c r="M151" s="238"/>
      <c r="N151" s="238"/>
      <c r="O151" s="238"/>
      <c r="P151" s="683"/>
      <c r="Q151" s="714"/>
    </row>
    <row r="152" spans="1:17" ht="14.4" customHeight="1" x14ac:dyDescent="0.3">
      <c r="A152" s="681" t="s">
        <v>1221</v>
      </c>
      <c r="B152" s="672" t="s">
        <v>1050</v>
      </c>
      <c r="C152" s="672" t="s">
        <v>1051</v>
      </c>
      <c r="D152" s="672" t="s">
        <v>1052</v>
      </c>
      <c r="E152" s="672" t="s">
        <v>626</v>
      </c>
      <c r="F152" s="238"/>
      <c r="G152" s="238"/>
      <c r="H152" s="238"/>
      <c r="I152" s="238"/>
      <c r="J152" s="238"/>
      <c r="K152" s="238"/>
      <c r="L152" s="238"/>
      <c r="M152" s="238"/>
      <c r="N152" s="238">
        <v>0.95</v>
      </c>
      <c r="O152" s="238">
        <v>1879.13</v>
      </c>
      <c r="P152" s="683"/>
      <c r="Q152" s="714">
        <v>1978.0315789473686</v>
      </c>
    </row>
    <row r="153" spans="1:17" ht="14.4" customHeight="1" x14ac:dyDescent="0.3">
      <c r="A153" s="681" t="s">
        <v>1221</v>
      </c>
      <c r="B153" s="672" t="s">
        <v>1050</v>
      </c>
      <c r="C153" s="672" t="s">
        <v>1051</v>
      </c>
      <c r="D153" s="672" t="s">
        <v>1053</v>
      </c>
      <c r="E153" s="672" t="s">
        <v>634</v>
      </c>
      <c r="F153" s="238"/>
      <c r="G153" s="238"/>
      <c r="H153" s="238"/>
      <c r="I153" s="238"/>
      <c r="J153" s="238">
        <v>0.60000000000000009</v>
      </c>
      <c r="K153" s="238">
        <v>655.29</v>
      </c>
      <c r="L153" s="238"/>
      <c r="M153" s="238">
        <v>1092.1499999999999</v>
      </c>
      <c r="N153" s="238"/>
      <c r="O153" s="238"/>
      <c r="P153" s="683"/>
      <c r="Q153" s="714"/>
    </row>
    <row r="154" spans="1:17" ht="14.4" customHeight="1" x14ac:dyDescent="0.3">
      <c r="A154" s="681" t="s">
        <v>1221</v>
      </c>
      <c r="B154" s="672" t="s">
        <v>1050</v>
      </c>
      <c r="C154" s="672" t="s">
        <v>1051</v>
      </c>
      <c r="D154" s="672" t="s">
        <v>1054</v>
      </c>
      <c r="E154" s="672" t="s">
        <v>634</v>
      </c>
      <c r="F154" s="238">
        <v>4.5</v>
      </c>
      <c r="G154" s="238">
        <v>9744.01</v>
      </c>
      <c r="H154" s="238">
        <v>1</v>
      </c>
      <c r="I154" s="238">
        <v>2165.3355555555554</v>
      </c>
      <c r="J154" s="238">
        <v>9.5499999999999989</v>
      </c>
      <c r="K154" s="238">
        <v>20860.22</v>
      </c>
      <c r="L154" s="238">
        <v>2.1408249786278954</v>
      </c>
      <c r="M154" s="238">
        <v>2184.3162303664926</v>
      </c>
      <c r="N154" s="238">
        <v>6.8000000000000007</v>
      </c>
      <c r="O154" s="238">
        <v>14853.36</v>
      </c>
      <c r="P154" s="683">
        <v>1.5243580415044731</v>
      </c>
      <c r="Q154" s="714">
        <v>2184.3176470588232</v>
      </c>
    </row>
    <row r="155" spans="1:17" ht="14.4" customHeight="1" x14ac:dyDescent="0.3">
      <c r="A155" s="681" t="s">
        <v>1221</v>
      </c>
      <c r="B155" s="672" t="s">
        <v>1050</v>
      </c>
      <c r="C155" s="672" t="s">
        <v>1051</v>
      </c>
      <c r="D155" s="672" t="s">
        <v>1055</v>
      </c>
      <c r="E155" s="672" t="s">
        <v>630</v>
      </c>
      <c r="F155" s="238">
        <v>0.5</v>
      </c>
      <c r="G155" s="238">
        <v>468.3</v>
      </c>
      <c r="H155" s="238">
        <v>1</v>
      </c>
      <c r="I155" s="238">
        <v>936.6</v>
      </c>
      <c r="J155" s="238">
        <v>0.75</v>
      </c>
      <c r="K155" s="238">
        <v>708.59999999999991</v>
      </c>
      <c r="L155" s="238">
        <v>1.5131326073030107</v>
      </c>
      <c r="M155" s="238">
        <v>944.79999999999984</v>
      </c>
      <c r="N155" s="238">
        <v>0.75</v>
      </c>
      <c r="O155" s="238">
        <v>708.59999999999991</v>
      </c>
      <c r="P155" s="683">
        <v>1.5131326073030107</v>
      </c>
      <c r="Q155" s="714">
        <v>944.79999999999984</v>
      </c>
    </row>
    <row r="156" spans="1:17" ht="14.4" customHeight="1" x14ac:dyDescent="0.3">
      <c r="A156" s="681" t="s">
        <v>1221</v>
      </c>
      <c r="B156" s="672" t="s">
        <v>1050</v>
      </c>
      <c r="C156" s="672" t="s">
        <v>1058</v>
      </c>
      <c r="D156" s="672" t="s">
        <v>1063</v>
      </c>
      <c r="E156" s="672" t="s">
        <v>1064</v>
      </c>
      <c r="F156" s="238">
        <v>1150</v>
      </c>
      <c r="G156" s="238">
        <v>5209.5</v>
      </c>
      <c r="H156" s="238">
        <v>1</v>
      </c>
      <c r="I156" s="238">
        <v>4.53</v>
      </c>
      <c r="J156" s="238">
        <v>2010</v>
      </c>
      <c r="K156" s="238">
        <v>9647.4</v>
      </c>
      <c r="L156" s="238">
        <v>1.8518859775410308</v>
      </c>
      <c r="M156" s="238">
        <v>4.7997014925373129</v>
      </c>
      <c r="N156" s="238">
        <v>2160</v>
      </c>
      <c r="O156" s="238">
        <v>11016</v>
      </c>
      <c r="P156" s="683">
        <v>2.1145983299740858</v>
      </c>
      <c r="Q156" s="714">
        <v>5.0999999999999996</v>
      </c>
    </row>
    <row r="157" spans="1:17" ht="14.4" customHeight="1" x14ac:dyDescent="0.3">
      <c r="A157" s="681" t="s">
        <v>1221</v>
      </c>
      <c r="B157" s="672" t="s">
        <v>1050</v>
      </c>
      <c r="C157" s="672" t="s">
        <v>1058</v>
      </c>
      <c r="D157" s="672" t="s">
        <v>1069</v>
      </c>
      <c r="E157" s="672" t="s">
        <v>1070</v>
      </c>
      <c r="F157" s="238">
        <v>1800</v>
      </c>
      <c r="G157" s="238">
        <v>9558</v>
      </c>
      <c r="H157" s="238">
        <v>1</v>
      </c>
      <c r="I157" s="238">
        <v>5.31</v>
      </c>
      <c r="J157" s="238">
        <v>1000</v>
      </c>
      <c r="K157" s="238">
        <v>5530</v>
      </c>
      <c r="L157" s="238">
        <v>0.57857292320569154</v>
      </c>
      <c r="M157" s="238">
        <v>5.53</v>
      </c>
      <c r="N157" s="238"/>
      <c r="O157" s="238"/>
      <c r="P157" s="683"/>
      <c r="Q157" s="714"/>
    </row>
    <row r="158" spans="1:17" ht="14.4" customHeight="1" x14ac:dyDescent="0.3">
      <c r="A158" s="681" t="s">
        <v>1221</v>
      </c>
      <c r="B158" s="672" t="s">
        <v>1050</v>
      </c>
      <c r="C158" s="672" t="s">
        <v>1058</v>
      </c>
      <c r="D158" s="672" t="s">
        <v>1073</v>
      </c>
      <c r="E158" s="672" t="s">
        <v>1074</v>
      </c>
      <c r="F158" s="238">
        <v>1472</v>
      </c>
      <c r="G158" s="238">
        <v>10730.880000000001</v>
      </c>
      <c r="H158" s="238">
        <v>1</v>
      </c>
      <c r="I158" s="238">
        <v>7.2900000000000009</v>
      </c>
      <c r="J158" s="238">
        <v>450</v>
      </c>
      <c r="K158" s="238">
        <v>3457.5</v>
      </c>
      <c r="L158" s="238">
        <v>0.32220097512971907</v>
      </c>
      <c r="M158" s="238">
        <v>7.6833333333333336</v>
      </c>
      <c r="N158" s="238">
        <v>750</v>
      </c>
      <c r="O158" s="238">
        <v>5917.5</v>
      </c>
      <c r="P158" s="683">
        <v>0.55144592055823938</v>
      </c>
      <c r="Q158" s="714">
        <v>7.89</v>
      </c>
    </row>
    <row r="159" spans="1:17" ht="14.4" customHeight="1" x14ac:dyDescent="0.3">
      <c r="A159" s="681" t="s">
        <v>1221</v>
      </c>
      <c r="B159" s="672" t="s">
        <v>1050</v>
      </c>
      <c r="C159" s="672" t="s">
        <v>1058</v>
      </c>
      <c r="D159" s="672" t="s">
        <v>1075</v>
      </c>
      <c r="E159" s="672" t="s">
        <v>1076</v>
      </c>
      <c r="F159" s="238">
        <v>170</v>
      </c>
      <c r="G159" s="238">
        <v>1439.9</v>
      </c>
      <c r="H159" s="238">
        <v>1</v>
      </c>
      <c r="I159" s="238">
        <v>8.4700000000000006</v>
      </c>
      <c r="J159" s="238"/>
      <c r="K159" s="238"/>
      <c r="L159" s="238"/>
      <c r="M159" s="238"/>
      <c r="N159" s="238"/>
      <c r="O159" s="238"/>
      <c r="P159" s="683"/>
      <c r="Q159" s="714"/>
    </row>
    <row r="160" spans="1:17" ht="14.4" customHeight="1" x14ac:dyDescent="0.3">
      <c r="A160" s="681" t="s">
        <v>1221</v>
      </c>
      <c r="B160" s="672" t="s">
        <v>1050</v>
      </c>
      <c r="C160" s="672" t="s">
        <v>1058</v>
      </c>
      <c r="D160" s="672" t="s">
        <v>1085</v>
      </c>
      <c r="E160" s="672" t="s">
        <v>1086</v>
      </c>
      <c r="F160" s="238">
        <v>7</v>
      </c>
      <c r="G160" s="238">
        <v>14945.630000000001</v>
      </c>
      <c r="H160" s="238">
        <v>1</v>
      </c>
      <c r="I160" s="238">
        <v>2135.09</v>
      </c>
      <c r="J160" s="238">
        <v>13</v>
      </c>
      <c r="K160" s="238">
        <v>29781.02</v>
      </c>
      <c r="L160" s="238">
        <v>1.9926239308747773</v>
      </c>
      <c r="M160" s="238">
        <v>2290.8476923076923</v>
      </c>
      <c r="N160" s="238">
        <v>12</v>
      </c>
      <c r="O160" s="238">
        <v>26344.199999999997</v>
      </c>
      <c r="P160" s="683">
        <v>1.7626690878872282</v>
      </c>
      <c r="Q160" s="714">
        <v>2195.35</v>
      </c>
    </row>
    <row r="161" spans="1:17" ht="14.4" customHeight="1" x14ac:dyDescent="0.3">
      <c r="A161" s="681" t="s">
        <v>1221</v>
      </c>
      <c r="B161" s="672" t="s">
        <v>1050</v>
      </c>
      <c r="C161" s="672" t="s">
        <v>1058</v>
      </c>
      <c r="D161" s="672" t="s">
        <v>1089</v>
      </c>
      <c r="E161" s="672" t="s">
        <v>1090</v>
      </c>
      <c r="F161" s="238">
        <v>1305</v>
      </c>
      <c r="G161" s="238">
        <v>3836.7</v>
      </c>
      <c r="H161" s="238">
        <v>1</v>
      </c>
      <c r="I161" s="238">
        <v>2.94</v>
      </c>
      <c r="J161" s="238">
        <v>8058</v>
      </c>
      <c r="K161" s="238">
        <v>24963.559999999998</v>
      </c>
      <c r="L161" s="238">
        <v>6.50651862277478</v>
      </c>
      <c r="M161" s="238">
        <v>3.0979846115661451</v>
      </c>
      <c r="N161" s="238">
        <v>8387</v>
      </c>
      <c r="O161" s="238">
        <v>27341.620000000003</v>
      </c>
      <c r="P161" s="683">
        <v>7.1263377381603989</v>
      </c>
      <c r="Q161" s="714">
        <v>3.2600000000000002</v>
      </c>
    </row>
    <row r="162" spans="1:17" ht="14.4" customHeight="1" x14ac:dyDescent="0.3">
      <c r="A162" s="681" t="s">
        <v>1221</v>
      </c>
      <c r="B162" s="672" t="s">
        <v>1050</v>
      </c>
      <c r="C162" s="672" t="s">
        <v>1058</v>
      </c>
      <c r="D162" s="672" t="s">
        <v>1091</v>
      </c>
      <c r="E162" s="672" t="s">
        <v>1092</v>
      </c>
      <c r="F162" s="238"/>
      <c r="G162" s="238"/>
      <c r="H162" s="238"/>
      <c r="I162" s="238"/>
      <c r="J162" s="238"/>
      <c r="K162" s="238"/>
      <c r="L162" s="238"/>
      <c r="M162" s="238"/>
      <c r="N162" s="238">
        <v>220</v>
      </c>
      <c r="O162" s="238">
        <v>53528.2</v>
      </c>
      <c r="P162" s="683"/>
      <c r="Q162" s="714">
        <v>243.30999999999997</v>
      </c>
    </row>
    <row r="163" spans="1:17" ht="14.4" customHeight="1" x14ac:dyDescent="0.3">
      <c r="A163" s="681" t="s">
        <v>1221</v>
      </c>
      <c r="B163" s="672" t="s">
        <v>1050</v>
      </c>
      <c r="C163" s="672" t="s">
        <v>1058</v>
      </c>
      <c r="D163" s="672" t="s">
        <v>1093</v>
      </c>
      <c r="E163" s="672" t="s">
        <v>1094</v>
      </c>
      <c r="F163" s="238">
        <v>4325</v>
      </c>
      <c r="G163" s="238">
        <v>134594</v>
      </c>
      <c r="H163" s="238">
        <v>1</v>
      </c>
      <c r="I163" s="238">
        <v>31.12</v>
      </c>
      <c r="J163" s="238">
        <v>10239</v>
      </c>
      <c r="K163" s="238">
        <v>338862.67999999993</v>
      </c>
      <c r="L163" s="238">
        <v>2.5176655720165826</v>
      </c>
      <c r="M163" s="238">
        <v>33.095290555718329</v>
      </c>
      <c r="N163" s="238">
        <v>5698</v>
      </c>
      <c r="O163" s="238">
        <v>189743.4</v>
      </c>
      <c r="P163" s="683">
        <v>1.4097463482770405</v>
      </c>
      <c r="Q163" s="714">
        <v>33.299999999999997</v>
      </c>
    </row>
    <row r="164" spans="1:17" ht="14.4" customHeight="1" x14ac:dyDescent="0.3">
      <c r="A164" s="681" t="s">
        <v>1221</v>
      </c>
      <c r="B164" s="672" t="s">
        <v>1050</v>
      </c>
      <c r="C164" s="672" t="s">
        <v>1058</v>
      </c>
      <c r="D164" s="672" t="s">
        <v>1101</v>
      </c>
      <c r="E164" s="672" t="s">
        <v>1047</v>
      </c>
      <c r="F164" s="238">
        <v>2100</v>
      </c>
      <c r="G164" s="238">
        <v>26250</v>
      </c>
      <c r="H164" s="238">
        <v>1</v>
      </c>
      <c r="I164" s="238">
        <v>12.5</v>
      </c>
      <c r="J164" s="238"/>
      <c r="K164" s="238"/>
      <c r="L164" s="238"/>
      <c r="M164" s="238"/>
      <c r="N164" s="238"/>
      <c r="O164" s="238"/>
      <c r="P164" s="683"/>
      <c r="Q164" s="714"/>
    </row>
    <row r="165" spans="1:17" ht="14.4" customHeight="1" x14ac:dyDescent="0.3">
      <c r="A165" s="681" t="s">
        <v>1221</v>
      </c>
      <c r="B165" s="672" t="s">
        <v>1050</v>
      </c>
      <c r="C165" s="672" t="s">
        <v>1058</v>
      </c>
      <c r="D165" s="672" t="s">
        <v>1106</v>
      </c>
      <c r="E165" s="672" t="s">
        <v>1107</v>
      </c>
      <c r="F165" s="238"/>
      <c r="G165" s="238"/>
      <c r="H165" s="238"/>
      <c r="I165" s="238"/>
      <c r="J165" s="238"/>
      <c r="K165" s="238"/>
      <c r="L165" s="238"/>
      <c r="M165" s="238"/>
      <c r="N165" s="238">
        <v>1231</v>
      </c>
      <c r="O165" s="238">
        <v>72407.42</v>
      </c>
      <c r="P165" s="683"/>
      <c r="Q165" s="714">
        <v>58.82</v>
      </c>
    </row>
    <row r="166" spans="1:17" ht="14.4" customHeight="1" x14ac:dyDescent="0.3">
      <c r="A166" s="681" t="s">
        <v>1221</v>
      </c>
      <c r="B166" s="672" t="s">
        <v>1050</v>
      </c>
      <c r="C166" s="672" t="s">
        <v>1110</v>
      </c>
      <c r="D166" s="672" t="s">
        <v>1111</v>
      </c>
      <c r="E166" s="672" t="s">
        <v>1112</v>
      </c>
      <c r="F166" s="238"/>
      <c r="G166" s="238"/>
      <c r="H166" s="238"/>
      <c r="I166" s="238"/>
      <c r="J166" s="238"/>
      <c r="K166" s="238"/>
      <c r="L166" s="238"/>
      <c r="M166" s="238"/>
      <c r="N166" s="238">
        <v>9</v>
      </c>
      <c r="O166" s="238">
        <v>7958.88</v>
      </c>
      <c r="P166" s="683"/>
      <c r="Q166" s="714">
        <v>884.32</v>
      </c>
    </row>
    <row r="167" spans="1:17" ht="14.4" customHeight="1" x14ac:dyDescent="0.3">
      <c r="A167" s="681" t="s">
        <v>1221</v>
      </c>
      <c r="B167" s="672" t="s">
        <v>1050</v>
      </c>
      <c r="C167" s="672" t="s">
        <v>1113</v>
      </c>
      <c r="D167" s="672" t="s">
        <v>1114</v>
      </c>
      <c r="E167" s="672" t="s">
        <v>1115</v>
      </c>
      <c r="F167" s="238"/>
      <c r="G167" s="238"/>
      <c r="H167" s="238"/>
      <c r="I167" s="238"/>
      <c r="J167" s="238">
        <v>1</v>
      </c>
      <c r="K167" s="238">
        <v>34</v>
      </c>
      <c r="L167" s="238"/>
      <c r="M167" s="238">
        <v>34</v>
      </c>
      <c r="N167" s="238"/>
      <c r="O167" s="238"/>
      <c r="P167" s="683"/>
      <c r="Q167" s="714"/>
    </row>
    <row r="168" spans="1:17" ht="14.4" customHeight="1" x14ac:dyDescent="0.3">
      <c r="A168" s="681" t="s">
        <v>1221</v>
      </c>
      <c r="B168" s="672" t="s">
        <v>1050</v>
      </c>
      <c r="C168" s="672" t="s">
        <v>1113</v>
      </c>
      <c r="D168" s="672" t="s">
        <v>1131</v>
      </c>
      <c r="E168" s="672" t="s">
        <v>1132</v>
      </c>
      <c r="F168" s="238">
        <v>11</v>
      </c>
      <c r="G168" s="238">
        <v>20196</v>
      </c>
      <c r="H168" s="238">
        <v>1</v>
      </c>
      <c r="I168" s="238">
        <v>1836</v>
      </c>
      <c r="J168" s="238">
        <v>3</v>
      </c>
      <c r="K168" s="238">
        <v>5520</v>
      </c>
      <c r="L168" s="238">
        <v>0.27332144979203804</v>
      </c>
      <c r="M168" s="238">
        <v>1840</v>
      </c>
      <c r="N168" s="238">
        <v>5</v>
      </c>
      <c r="O168" s="238">
        <v>9200</v>
      </c>
      <c r="P168" s="683">
        <v>0.45553574965339672</v>
      </c>
      <c r="Q168" s="714">
        <v>1840</v>
      </c>
    </row>
    <row r="169" spans="1:17" ht="14.4" customHeight="1" x14ac:dyDescent="0.3">
      <c r="A169" s="681" t="s">
        <v>1221</v>
      </c>
      <c r="B169" s="672" t="s">
        <v>1050</v>
      </c>
      <c r="C169" s="672" t="s">
        <v>1113</v>
      </c>
      <c r="D169" s="672" t="s">
        <v>1137</v>
      </c>
      <c r="E169" s="672" t="s">
        <v>1138</v>
      </c>
      <c r="F169" s="238">
        <v>7</v>
      </c>
      <c r="G169" s="238">
        <v>4571</v>
      </c>
      <c r="H169" s="238">
        <v>1</v>
      </c>
      <c r="I169" s="238">
        <v>653</v>
      </c>
      <c r="J169" s="238">
        <v>13</v>
      </c>
      <c r="K169" s="238">
        <v>8502</v>
      </c>
      <c r="L169" s="238">
        <v>1.8599868737694158</v>
      </c>
      <c r="M169" s="238">
        <v>654</v>
      </c>
      <c r="N169" s="238">
        <v>12</v>
      </c>
      <c r="O169" s="238">
        <v>7848</v>
      </c>
      <c r="P169" s="683">
        <v>1.7169109604025377</v>
      </c>
      <c r="Q169" s="714">
        <v>654</v>
      </c>
    </row>
    <row r="170" spans="1:17" ht="14.4" customHeight="1" x14ac:dyDescent="0.3">
      <c r="A170" s="681" t="s">
        <v>1221</v>
      </c>
      <c r="B170" s="672" t="s">
        <v>1050</v>
      </c>
      <c r="C170" s="672" t="s">
        <v>1113</v>
      </c>
      <c r="D170" s="672" t="s">
        <v>1141</v>
      </c>
      <c r="E170" s="672" t="s">
        <v>1142</v>
      </c>
      <c r="F170" s="238">
        <v>11</v>
      </c>
      <c r="G170" s="238">
        <v>19261</v>
      </c>
      <c r="H170" s="238">
        <v>1</v>
      </c>
      <c r="I170" s="238">
        <v>1751</v>
      </c>
      <c r="J170" s="238">
        <v>22</v>
      </c>
      <c r="K170" s="238">
        <v>38588</v>
      </c>
      <c r="L170" s="238">
        <v>2.0034266133637919</v>
      </c>
      <c r="M170" s="238">
        <v>1754</v>
      </c>
      <c r="N170" s="238">
        <v>27</v>
      </c>
      <c r="O170" s="238">
        <v>47358</v>
      </c>
      <c r="P170" s="683">
        <v>2.4587508436737449</v>
      </c>
      <c r="Q170" s="714">
        <v>1754</v>
      </c>
    </row>
    <row r="171" spans="1:17" ht="14.4" customHeight="1" x14ac:dyDescent="0.3">
      <c r="A171" s="681" t="s">
        <v>1221</v>
      </c>
      <c r="B171" s="672" t="s">
        <v>1050</v>
      </c>
      <c r="C171" s="672" t="s">
        <v>1113</v>
      </c>
      <c r="D171" s="672" t="s">
        <v>1143</v>
      </c>
      <c r="E171" s="672" t="s">
        <v>1144</v>
      </c>
      <c r="F171" s="238">
        <v>2</v>
      </c>
      <c r="G171" s="238">
        <v>818</v>
      </c>
      <c r="H171" s="238">
        <v>1</v>
      </c>
      <c r="I171" s="238">
        <v>409</v>
      </c>
      <c r="J171" s="238">
        <v>2</v>
      </c>
      <c r="K171" s="238">
        <v>820</v>
      </c>
      <c r="L171" s="238">
        <v>1.0024449877750612</v>
      </c>
      <c r="M171" s="238">
        <v>410</v>
      </c>
      <c r="N171" s="238"/>
      <c r="O171" s="238"/>
      <c r="P171" s="683"/>
      <c r="Q171" s="714"/>
    </row>
    <row r="172" spans="1:17" ht="14.4" customHeight="1" x14ac:dyDescent="0.3">
      <c r="A172" s="681" t="s">
        <v>1221</v>
      </c>
      <c r="B172" s="672" t="s">
        <v>1050</v>
      </c>
      <c r="C172" s="672" t="s">
        <v>1113</v>
      </c>
      <c r="D172" s="672" t="s">
        <v>1147</v>
      </c>
      <c r="E172" s="672" t="s">
        <v>1148</v>
      </c>
      <c r="F172" s="238"/>
      <c r="G172" s="238"/>
      <c r="H172" s="238"/>
      <c r="I172" s="238"/>
      <c r="J172" s="238">
        <v>24</v>
      </c>
      <c r="K172" s="238">
        <v>343872</v>
      </c>
      <c r="L172" s="238"/>
      <c r="M172" s="238">
        <v>14328</v>
      </c>
      <c r="N172" s="238">
        <v>16</v>
      </c>
      <c r="O172" s="238">
        <v>229248</v>
      </c>
      <c r="P172" s="683"/>
      <c r="Q172" s="714">
        <v>14328</v>
      </c>
    </row>
    <row r="173" spans="1:17" ht="14.4" customHeight="1" x14ac:dyDescent="0.3">
      <c r="A173" s="681" t="s">
        <v>1221</v>
      </c>
      <c r="B173" s="672" t="s">
        <v>1050</v>
      </c>
      <c r="C173" s="672" t="s">
        <v>1113</v>
      </c>
      <c r="D173" s="672" t="s">
        <v>1153</v>
      </c>
      <c r="E173" s="672" t="s">
        <v>1047</v>
      </c>
      <c r="F173" s="238">
        <v>25</v>
      </c>
      <c r="G173" s="238">
        <v>353950</v>
      </c>
      <c r="H173" s="238">
        <v>1</v>
      </c>
      <c r="I173" s="238">
        <v>14158</v>
      </c>
      <c r="J173" s="238"/>
      <c r="K173" s="238"/>
      <c r="L173" s="238"/>
      <c r="M173" s="238"/>
      <c r="N173" s="238"/>
      <c r="O173" s="238"/>
      <c r="P173" s="683"/>
      <c r="Q173" s="714"/>
    </row>
    <row r="174" spans="1:17" ht="14.4" customHeight="1" x14ac:dyDescent="0.3">
      <c r="A174" s="681" t="s">
        <v>1221</v>
      </c>
      <c r="B174" s="672" t="s">
        <v>1050</v>
      </c>
      <c r="C174" s="672" t="s">
        <v>1113</v>
      </c>
      <c r="D174" s="672" t="s">
        <v>1154</v>
      </c>
      <c r="E174" s="672" t="s">
        <v>1155</v>
      </c>
      <c r="F174" s="238">
        <v>2</v>
      </c>
      <c r="G174" s="238">
        <v>1156</v>
      </c>
      <c r="H174" s="238">
        <v>1</v>
      </c>
      <c r="I174" s="238">
        <v>578</v>
      </c>
      <c r="J174" s="238">
        <v>1</v>
      </c>
      <c r="K174" s="238">
        <v>580</v>
      </c>
      <c r="L174" s="238">
        <v>0.5017301038062284</v>
      </c>
      <c r="M174" s="238">
        <v>580</v>
      </c>
      <c r="N174" s="238"/>
      <c r="O174" s="238"/>
      <c r="P174" s="683"/>
      <c r="Q174" s="714"/>
    </row>
    <row r="175" spans="1:17" ht="14.4" customHeight="1" x14ac:dyDescent="0.3">
      <c r="A175" s="681" t="s">
        <v>1221</v>
      </c>
      <c r="B175" s="672" t="s">
        <v>1050</v>
      </c>
      <c r="C175" s="672" t="s">
        <v>1113</v>
      </c>
      <c r="D175" s="672" t="s">
        <v>1158</v>
      </c>
      <c r="E175" s="672" t="s">
        <v>1159</v>
      </c>
      <c r="F175" s="238">
        <v>2</v>
      </c>
      <c r="G175" s="238">
        <v>2566</v>
      </c>
      <c r="H175" s="238">
        <v>1</v>
      </c>
      <c r="I175" s="238">
        <v>1283</v>
      </c>
      <c r="J175" s="238">
        <v>11</v>
      </c>
      <c r="K175" s="238">
        <v>14146</v>
      </c>
      <c r="L175" s="238">
        <v>5.5128604832424006</v>
      </c>
      <c r="M175" s="238">
        <v>1286</v>
      </c>
      <c r="N175" s="238">
        <v>13</v>
      </c>
      <c r="O175" s="238">
        <v>16718</v>
      </c>
      <c r="P175" s="683">
        <v>6.5151987529228368</v>
      </c>
      <c r="Q175" s="714">
        <v>1286</v>
      </c>
    </row>
    <row r="176" spans="1:17" ht="14.4" customHeight="1" x14ac:dyDescent="0.3">
      <c r="A176" s="681" t="s">
        <v>1221</v>
      </c>
      <c r="B176" s="672" t="s">
        <v>1050</v>
      </c>
      <c r="C176" s="672" t="s">
        <v>1113</v>
      </c>
      <c r="D176" s="672" t="s">
        <v>1160</v>
      </c>
      <c r="E176" s="672" t="s">
        <v>1161</v>
      </c>
      <c r="F176" s="238">
        <v>7</v>
      </c>
      <c r="G176" s="238">
        <v>3402</v>
      </c>
      <c r="H176" s="238">
        <v>1</v>
      </c>
      <c r="I176" s="238">
        <v>486</v>
      </c>
      <c r="J176" s="238">
        <v>13</v>
      </c>
      <c r="K176" s="238">
        <v>6331</v>
      </c>
      <c r="L176" s="238">
        <v>1.8609641387419165</v>
      </c>
      <c r="M176" s="238">
        <v>487</v>
      </c>
      <c r="N176" s="238">
        <v>14</v>
      </c>
      <c r="O176" s="238">
        <v>6818</v>
      </c>
      <c r="P176" s="683">
        <v>2.0041152263374484</v>
      </c>
      <c r="Q176" s="714">
        <v>487</v>
      </c>
    </row>
    <row r="177" spans="1:17" ht="14.4" customHeight="1" x14ac:dyDescent="0.3">
      <c r="A177" s="681" t="s">
        <v>1221</v>
      </c>
      <c r="B177" s="672" t="s">
        <v>1050</v>
      </c>
      <c r="C177" s="672" t="s">
        <v>1113</v>
      </c>
      <c r="D177" s="672" t="s">
        <v>1164</v>
      </c>
      <c r="E177" s="672" t="s">
        <v>1165</v>
      </c>
      <c r="F177" s="238">
        <v>2</v>
      </c>
      <c r="G177" s="238">
        <v>5058</v>
      </c>
      <c r="H177" s="238">
        <v>1</v>
      </c>
      <c r="I177" s="238">
        <v>2529</v>
      </c>
      <c r="J177" s="238"/>
      <c r="K177" s="238"/>
      <c r="L177" s="238"/>
      <c r="M177" s="238"/>
      <c r="N177" s="238">
        <v>1</v>
      </c>
      <c r="O177" s="238">
        <v>2535</v>
      </c>
      <c r="P177" s="683">
        <v>0.50118623962040332</v>
      </c>
      <c r="Q177" s="714">
        <v>2535</v>
      </c>
    </row>
    <row r="178" spans="1:17" ht="14.4" customHeight="1" x14ac:dyDescent="0.3">
      <c r="A178" s="681" t="s">
        <v>1222</v>
      </c>
      <c r="B178" s="672" t="s">
        <v>1050</v>
      </c>
      <c r="C178" s="672" t="s">
        <v>1051</v>
      </c>
      <c r="D178" s="672" t="s">
        <v>1054</v>
      </c>
      <c r="E178" s="672" t="s">
        <v>634</v>
      </c>
      <c r="F178" s="238"/>
      <c r="G178" s="238"/>
      <c r="H178" s="238"/>
      <c r="I178" s="238"/>
      <c r="J178" s="238"/>
      <c r="K178" s="238"/>
      <c r="L178" s="238"/>
      <c r="M178" s="238"/>
      <c r="N178" s="238">
        <v>1.2</v>
      </c>
      <c r="O178" s="238">
        <v>2621.1799999999998</v>
      </c>
      <c r="P178" s="683"/>
      <c r="Q178" s="714">
        <v>2184.3166666666666</v>
      </c>
    </row>
    <row r="179" spans="1:17" ht="14.4" customHeight="1" x14ac:dyDescent="0.3">
      <c r="A179" s="681" t="s">
        <v>1222</v>
      </c>
      <c r="B179" s="672" t="s">
        <v>1050</v>
      </c>
      <c r="C179" s="672" t="s">
        <v>1051</v>
      </c>
      <c r="D179" s="672" t="s">
        <v>1055</v>
      </c>
      <c r="E179" s="672" t="s">
        <v>630</v>
      </c>
      <c r="F179" s="238"/>
      <c r="G179" s="238"/>
      <c r="H179" s="238"/>
      <c r="I179" s="238"/>
      <c r="J179" s="238">
        <v>0.05</v>
      </c>
      <c r="K179" s="238">
        <v>47.24</v>
      </c>
      <c r="L179" s="238"/>
      <c r="M179" s="238">
        <v>944.8</v>
      </c>
      <c r="N179" s="238"/>
      <c r="O179" s="238"/>
      <c r="P179" s="683"/>
      <c r="Q179" s="714"/>
    </row>
    <row r="180" spans="1:17" ht="14.4" customHeight="1" x14ac:dyDescent="0.3">
      <c r="A180" s="681" t="s">
        <v>1222</v>
      </c>
      <c r="B180" s="672" t="s">
        <v>1050</v>
      </c>
      <c r="C180" s="672" t="s">
        <v>1058</v>
      </c>
      <c r="D180" s="672" t="s">
        <v>1089</v>
      </c>
      <c r="E180" s="672" t="s">
        <v>1090</v>
      </c>
      <c r="F180" s="238">
        <v>780</v>
      </c>
      <c r="G180" s="238">
        <v>2293.1999999999998</v>
      </c>
      <c r="H180" s="238">
        <v>1</v>
      </c>
      <c r="I180" s="238">
        <v>2.94</v>
      </c>
      <c r="J180" s="238">
        <v>654</v>
      </c>
      <c r="K180" s="238">
        <v>2040.48</v>
      </c>
      <c r="L180" s="238">
        <v>0.88979591836734706</v>
      </c>
      <c r="M180" s="238">
        <v>3.12</v>
      </c>
      <c r="N180" s="238">
        <v>1369</v>
      </c>
      <c r="O180" s="238">
        <v>4462.9400000000005</v>
      </c>
      <c r="P180" s="683">
        <v>1.9461625675911394</v>
      </c>
      <c r="Q180" s="714">
        <v>3.2600000000000002</v>
      </c>
    </row>
    <row r="181" spans="1:17" ht="14.4" customHeight="1" x14ac:dyDescent="0.3">
      <c r="A181" s="681" t="s">
        <v>1222</v>
      </c>
      <c r="B181" s="672" t="s">
        <v>1050</v>
      </c>
      <c r="C181" s="672" t="s">
        <v>1058</v>
      </c>
      <c r="D181" s="672" t="s">
        <v>1093</v>
      </c>
      <c r="E181" s="672" t="s">
        <v>1094</v>
      </c>
      <c r="F181" s="238"/>
      <c r="G181" s="238"/>
      <c r="H181" s="238"/>
      <c r="I181" s="238"/>
      <c r="J181" s="238">
        <v>420</v>
      </c>
      <c r="K181" s="238">
        <v>13973.4</v>
      </c>
      <c r="L181" s="238"/>
      <c r="M181" s="238">
        <v>33.269999999999996</v>
      </c>
      <c r="N181" s="238">
        <v>1029</v>
      </c>
      <c r="O181" s="238">
        <v>34265.699999999997</v>
      </c>
      <c r="P181" s="683"/>
      <c r="Q181" s="714">
        <v>33.299999999999997</v>
      </c>
    </row>
    <row r="182" spans="1:17" ht="14.4" customHeight="1" x14ac:dyDescent="0.3">
      <c r="A182" s="681" t="s">
        <v>1222</v>
      </c>
      <c r="B182" s="672" t="s">
        <v>1050</v>
      </c>
      <c r="C182" s="672" t="s">
        <v>1110</v>
      </c>
      <c r="D182" s="672" t="s">
        <v>1111</v>
      </c>
      <c r="E182" s="672" t="s">
        <v>1112</v>
      </c>
      <c r="F182" s="238"/>
      <c r="G182" s="238"/>
      <c r="H182" s="238"/>
      <c r="I182" s="238"/>
      <c r="J182" s="238"/>
      <c r="K182" s="238"/>
      <c r="L182" s="238"/>
      <c r="M182" s="238"/>
      <c r="N182" s="238">
        <v>1</v>
      </c>
      <c r="O182" s="238">
        <v>884.32</v>
      </c>
      <c r="P182" s="683"/>
      <c r="Q182" s="714">
        <v>884.32</v>
      </c>
    </row>
    <row r="183" spans="1:17" ht="14.4" customHeight="1" x14ac:dyDescent="0.3">
      <c r="A183" s="681" t="s">
        <v>1222</v>
      </c>
      <c r="B183" s="672" t="s">
        <v>1050</v>
      </c>
      <c r="C183" s="672" t="s">
        <v>1113</v>
      </c>
      <c r="D183" s="672" t="s">
        <v>1141</v>
      </c>
      <c r="E183" s="672" t="s">
        <v>1142</v>
      </c>
      <c r="F183" s="238">
        <v>2</v>
      </c>
      <c r="G183" s="238">
        <v>3502</v>
      </c>
      <c r="H183" s="238">
        <v>1</v>
      </c>
      <c r="I183" s="238">
        <v>1751</v>
      </c>
      <c r="J183" s="238">
        <v>1</v>
      </c>
      <c r="K183" s="238">
        <v>1754</v>
      </c>
      <c r="L183" s="238">
        <v>0.50085665334094798</v>
      </c>
      <c r="M183" s="238">
        <v>1754</v>
      </c>
      <c r="N183" s="238">
        <v>3</v>
      </c>
      <c r="O183" s="238">
        <v>5262</v>
      </c>
      <c r="P183" s="683">
        <v>1.5025699600228442</v>
      </c>
      <c r="Q183" s="714">
        <v>1754</v>
      </c>
    </row>
    <row r="184" spans="1:17" ht="14.4" customHeight="1" x14ac:dyDescent="0.3">
      <c r="A184" s="681" t="s">
        <v>1222</v>
      </c>
      <c r="B184" s="672" t="s">
        <v>1050</v>
      </c>
      <c r="C184" s="672" t="s">
        <v>1113</v>
      </c>
      <c r="D184" s="672" t="s">
        <v>1147</v>
      </c>
      <c r="E184" s="672" t="s">
        <v>1148</v>
      </c>
      <c r="F184" s="238"/>
      <c r="G184" s="238"/>
      <c r="H184" s="238"/>
      <c r="I184" s="238"/>
      <c r="J184" s="238">
        <v>1</v>
      </c>
      <c r="K184" s="238">
        <v>14328</v>
      </c>
      <c r="L184" s="238"/>
      <c r="M184" s="238">
        <v>14328</v>
      </c>
      <c r="N184" s="238">
        <v>2</v>
      </c>
      <c r="O184" s="238">
        <v>28656</v>
      </c>
      <c r="P184" s="683"/>
      <c r="Q184" s="714">
        <v>14328</v>
      </c>
    </row>
    <row r="185" spans="1:17" ht="14.4" customHeight="1" x14ac:dyDescent="0.3">
      <c r="A185" s="681" t="s">
        <v>1222</v>
      </c>
      <c r="B185" s="672" t="s">
        <v>1050</v>
      </c>
      <c r="C185" s="672" t="s">
        <v>1113</v>
      </c>
      <c r="D185" s="672" t="s">
        <v>1158</v>
      </c>
      <c r="E185" s="672" t="s">
        <v>1159</v>
      </c>
      <c r="F185" s="238">
        <v>1</v>
      </c>
      <c r="G185" s="238">
        <v>1283</v>
      </c>
      <c r="H185" s="238">
        <v>1</v>
      </c>
      <c r="I185" s="238">
        <v>1283</v>
      </c>
      <c r="J185" s="238">
        <v>1</v>
      </c>
      <c r="K185" s="238">
        <v>1286</v>
      </c>
      <c r="L185" s="238">
        <v>1.0023382696804364</v>
      </c>
      <c r="M185" s="238">
        <v>1286</v>
      </c>
      <c r="N185" s="238">
        <v>2</v>
      </c>
      <c r="O185" s="238">
        <v>2572</v>
      </c>
      <c r="P185" s="683">
        <v>2.0046765393608728</v>
      </c>
      <c r="Q185" s="714">
        <v>1286</v>
      </c>
    </row>
    <row r="186" spans="1:17" ht="14.4" customHeight="1" x14ac:dyDescent="0.3">
      <c r="A186" s="681" t="s">
        <v>1223</v>
      </c>
      <c r="B186" s="672" t="s">
        <v>1050</v>
      </c>
      <c r="C186" s="672" t="s">
        <v>1058</v>
      </c>
      <c r="D186" s="672" t="s">
        <v>1063</v>
      </c>
      <c r="E186" s="672" t="s">
        <v>1064</v>
      </c>
      <c r="F186" s="238"/>
      <c r="G186" s="238"/>
      <c r="H186" s="238"/>
      <c r="I186" s="238"/>
      <c r="J186" s="238">
        <v>150</v>
      </c>
      <c r="K186" s="238">
        <v>699</v>
      </c>
      <c r="L186" s="238"/>
      <c r="M186" s="238">
        <v>4.66</v>
      </c>
      <c r="N186" s="238"/>
      <c r="O186" s="238"/>
      <c r="P186" s="683"/>
      <c r="Q186" s="714"/>
    </row>
    <row r="187" spans="1:17" ht="14.4" customHeight="1" x14ac:dyDescent="0.3">
      <c r="A187" s="681" t="s">
        <v>1223</v>
      </c>
      <c r="B187" s="672" t="s">
        <v>1050</v>
      </c>
      <c r="C187" s="672" t="s">
        <v>1058</v>
      </c>
      <c r="D187" s="672" t="s">
        <v>1085</v>
      </c>
      <c r="E187" s="672" t="s">
        <v>1086</v>
      </c>
      <c r="F187" s="238"/>
      <c r="G187" s="238"/>
      <c r="H187" s="238"/>
      <c r="I187" s="238"/>
      <c r="J187" s="238">
        <v>1</v>
      </c>
      <c r="K187" s="238">
        <v>2261.84</v>
      </c>
      <c r="L187" s="238"/>
      <c r="M187" s="238">
        <v>2261.84</v>
      </c>
      <c r="N187" s="238"/>
      <c r="O187" s="238"/>
      <c r="P187" s="683"/>
      <c r="Q187" s="714"/>
    </row>
    <row r="188" spans="1:17" ht="14.4" customHeight="1" x14ac:dyDescent="0.3">
      <c r="A188" s="681" t="s">
        <v>1223</v>
      </c>
      <c r="B188" s="672" t="s">
        <v>1050</v>
      </c>
      <c r="C188" s="672" t="s">
        <v>1113</v>
      </c>
      <c r="D188" s="672" t="s">
        <v>1137</v>
      </c>
      <c r="E188" s="672" t="s">
        <v>1138</v>
      </c>
      <c r="F188" s="238"/>
      <c r="G188" s="238"/>
      <c r="H188" s="238"/>
      <c r="I188" s="238"/>
      <c r="J188" s="238">
        <v>1</v>
      </c>
      <c r="K188" s="238">
        <v>654</v>
      </c>
      <c r="L188" s="238"/>
      <c r="M188" s="238">
        <v>654</v>
      </c>
      <c r="N188" s="238"/>
      <c r="O188" s="238"/>
      <c r="P188" s="683"/>
      <c r="Q188" s="714"/>
    </row>
    <row r="189" spans="1:17" ht="14.4" customHeight="1" x14ac:dyDescent="0.3">
      <c r="A189" s="681" t="s">
        <v>1223</v>
      </c>
      <c r="B189" s="672" t="s">
        <v>1050</v>
      </c>
      <c r="C189" s="672" t="s">
        <v>1113</v>
      </c>
      <c r="D189" s="672" t="s">
        <v>1160</v>
      </c>
      <c r="E189" s="672" t="s">
        <v>1161</v>
      </c>
      <c r="F189" s="238"/>
      <c r="G189" s="238"/>
      <c r="H189" s="238"/>
      <c r="I189" s="238"/>
      <c r="J189" s="238">
        <v>1</v>
      </c>
      <c r="K189" s="238">
        <v>487</v>
      </c>
      <c r="L189" s="238"/>
      <c r="M189" s="238">
        <v>487</v>
      </c>
      <c r="N189" s="238"/>
      <c r="O189" s="238"/>
      <c r="P189" s="683"/>
      <c r="Q189" s="714"/>
    </row>
    <row r="190" spans="1:17" ht="14.4" customHeight="1" x14ac:dyDescent="0.3">
      <c r="A190" s="681" t="s">
        <v>1224</v>
      </c>
      <c r="B190" s="672" t="s">
        <v>1050</v>
      </c>
      <c r="C190" s="672" t="s">
        <v>1051</v>
      </c>
      <c r="D190" s="672" t="s">
        <v>1052</v>
      </c>
      <c r="E190" s="672" t="s">
        <v>626</v>
      </c>
      <c r="F190" s="238"/>
      <c r="G190" s="238"/>
      <c r="H190" s="238"/>
      <c r="I190" s="238"/>
      <c r="J190" s="238"/>
      <c r="K190" s="238"/>
      <c r="L190" s="238"/>
      <c r="M190" s="238"/>
      <c r="N190" s="238">
        <v>1.3</v>
      </c>
      <c r="O190" s="238">
        <v>2571.44</v>
      </c>
      <c r="P190" s="683"/>
      <c r="Q190" s="714">
        <v>1978.0307692307692</v>
      </c>
    </row>
    <row r="191" spans="1:17" ht="14.4" customHeight="1" x14ac:dyDescent="0.3">
      <c r="A191" s="681" t="s">
        <v>1224</v>
      </c>
      <c r="B191" s="672" t="s">
        <v>1050</v>
      </c>
      <c r="C191" s="672" t="s">
        <v>1051</v>
      </c>
      <c r="D191" s="672" t="s">
        <v>1053</v>
      </c>
      <c r="E191" s="672" t="s">
        <v>634</v>
      </c>
      <c r="F191" s="238"/>
      <c r="G191" s="238"/>
      <c r="H191" s="238"/>
      <c r="I191" s="238"/>
      <c r="J191" s="238"/>
      <c r="K191" s="238"/>
      <c r="L191" s="238"/>
      <c r="M191" s="238"/>
      <c r="N191" s="238">
        <v>0.2</v>
      </c>
      <c r="O191" s="238">
        <v>218.43</v>
      </c>
      <c r="P191" s="683"/>
      <c r="Q191" s="714">
        <v>1092.1499999999999</v>
      </c>
    </row>
    <row r="192" spans="1:17" ht="14.4" customHeight="1" x14ac:dyDescent="0.3">
      <c r="A192" s="681" t="s">
        <v>1224</v>
      </c>
      <c r="B192" s="672" t="s">
        <v>1050</v>
      </c>
      <c r="C192" s="672" t="s">
        <v>1051</v>
      </c>
      <c r="D192" s="672" t="s">
        <v>1054</v>
      </c>
      <c r="E192" s="672" t="s">
        <v>634</v>
      </c>
      <c r="F192" s="238">
        <v>2.6</v>
      </c>
      <c r="G192" s="238">
        <v>5629.88</v>
      </c>
      <c r="H192" s="238">
        <v>1</v>
      </c>
      <c r="I192" s="238">
        <v>2165.3384615384616</v>
      </c>
      <c r="J192" s="238">
        <v>5.8000000000000007</v>
      </c>
      <c r="K192" s="238">
        <v>12669.03</v>
      </c>
      <c r="L192" s="238">
        <v>2.2503197226228622</v>
      </c>
      <c r="M192" s="238">
        <v>2184.315517241379</v>
      </c>
      <c r="N192" s="238">
        <v>2.9</v>
      </c>
      <c r="O192" s="238">
        <v>6334.52</v>
      </c>
      <c r="P192" s="683">
        <v>1.1251607494298281</v>
      </c>
      <c r="Q192" s="714">
        <v>2184.3172413793104</v>
      </c>
    </row>
    <row r="193" spans="1:17" ht="14.4" customHeight="1" x14ac:dyDescent="0.3">
      <c r="A193" s="681" t="s">
        <v>1224</v>
      </c>
      <c r="B193" s="672" t="s">
        <v>1050</v>
      </c>
      <c r="C193" s="672" t="s">
        <v>1051</v>
      </c>
      <c r="D193" s="672" t="s">
        <v>1055</v>
      </c>
      <c r="E193" s="672" t="s">
        <v>630</v>
      </c>
      <c r="F193" s="238">
        <v>0.1</v>
      </c>
      <c r="G193" s="238">
        <v>93.66</v>
      </c>
      <c r="H193" s="238">
        <v>1</v>
      </c>
      <c r="I193" s="238">
        <v>936.59999999999991</v>
      </c>
      <c r="J193" s="238">
        <v>0.15000000000000002</v>
      </c>
      <c r="K193" s="238">
        <v>141.72</v>
      </c>
      <c r="L193" s="238">
        <v>1.5131326073030109</v>
      </c>
      <c r="M193" s="238">
        <v>944.79999999999984</v>
      </c>
      <c r="N193" s="238">
        <v>0.1</v>
      </c>
      <c r="O193" s="238">
        <v>94.48</v>
      </c>
      <c r="P193" s="683">
        <v>1.0087550715353406</v>
      </c>
      <c r="Q193" s="714">
        <v>944.8</v>
      </c>
    </row>
    <row r="194" spans="1:17" ht="14.4" customHeight="1" x14ac:dyDescent="0.3">
      <c r="A194" s="681" t="s">
        <v>1224</v>
      </c>
      <c r="B194" s="672" t="s">
        <v>1050</v>
      </c>
      <c r="C194" s="672" t="s">
        <v>1058</v>
      </c>
      <c r="D194" s="672" t="s">
        <v>1063</v>
      </c>
      <c r="E194" s="672" t="s">
        <v>1064</v>
      </c>
      <c r="F194" s="238">
        <v>450</v>
      </c>
      <c r="G194" s="238">
        <v>2038.5</v>
      </c>
      <c r="H194" s="238">
        <v>1</v>
      </c>
      <c r="I194" s="238">
        <v>4.53</v>
      </c>
      <c r="J194" s="238">
        <v>450</v>
      </c>
      <c r="K194" s="238">
        <v>2151</v>
      </c>
      <c r="L194" s="238">
        <v>1.055187637969095</v>
      </c>
      <c r="M194" s="238">
        <v>4.78</v>
      </c>
      <c r="N194" s="238"/>
      <c r="O194" s="238"/>
      <c r="P194" s="683"/>
      <c r="Q194" s="714"/>
    </row>
    <row r="195" spans="1:17" ht="14.4" customHeight="1" x14ac:dyDescent="0.3">
      <c r="A195" s="681" t="s">
        <v>1224</v>
      </c>
      <c r="B195" s="672" t="s">
        <v>1050</v>
      </c>
      <c r="C195" s="672" t="s">
        <v>1058</v>
      </c>
      <c r="D195" s="672" t="s">
        <v>1073</v>
      </c>
      <c r="E195" s="672" t="s">
        <v>1074</v>
      </c>
      <c r="F195" s="238">
        <v>770</v>
      </c>
      <c r="G195" s="238">
        <v>5613.3</v>
      </c>
      <c r="H195" s="238">
        <v>1</v>
      </c>
      <c r="I195" s="238">
        <v>7.29</v>
      </c>
      <c r="J195" s="238">
        <v>590</v>
      </c>
      <c r="K195" s="238">
        <v>4640.5</v>
      </c>
      <c r="L195" s="238">
        <v>0.82669730817878961</v>
      </c>
      <c r="M195" s="238">
        <v>7.865254237288136</v>
      </c>
      <c r="N195" s="238">
        <v>1405</v>
      </c>
      <c r="O195" s="238">
        <v>11085.449999999999</v>
      </c>
      <c r="P195" s="683">
        <v>1.9748543637432523</v>
      </c>
      <c r="Q195" s="714">
        <v>7.8899999999999988</v>
      </c>
    </row>
    <row r="196" spans="1:17" ht="14.4" customHeight="1" x14ac:dyDescent="0.3">
      <c r="A196" s="681" t="s">
        <v>1224</v>
      </c>
      <c r="B196" s="672" t="s">
        <v>1050</v>
      </c>
      <c r="C196" s="672" t="s">
        <v>1058</v>
      </c>
      <c r="D196" s="672" t="s">
        <v>1075</v>
      </c>
      <c r="E196" s="672" t="s">
        <v>1076</v>
      </c>
      <c r="F196" s="238">
        <v>307</v>
      </c>
      <c r="G196" s="238">
        <v>2600.29</v>
      </c>
      <c r="H196" s="238">
        <v>1</v>
      </c>
      <c r="I196" s="238">
        <v>8.4700000000000006</v>
      </c>
      <c r="J196" s="238"/>
      <c r="K196" s="238"/>
      <c r="L196" s="238"/>
      <c r="M196" s="238"/>
      <c r="N196" s="238"/>
      <c r="O196" s="238"/>
      <c r="P196" s="683"/>
      <c r="Q196" s="714"/>
    </row>
    <row r="197" spans="1:17" ht="14.4" customHeight="1" x14ac:dyDescent="0.3">
      <c r="A197" s="681" t="s">
        <v>1224</v>
      </c>
      <c r="B197" s="672" t="s">
        <v>1050</v>
      </c>
      <c r="C197" s="672" t="s">
        <v>1058</v>
      </c>
      <c r="D197" s="672" t="s">
        <v>1085</v>
      </c>
      <c r="E197" s="672" t="s">
        <v>1086</v>
      </c>
      <c r="F197" s="238">
        <v>3</v>
      </c>
      <c r="G197" s="238">
        <v>6405.27</v>
      </c>
      <c r="H197" s="238">
        <v>1</v>
      </c>
      <c r="I197" s="238">
        <v>2135.09</v>
      </c>
      <c r="J197" s="238">
        <v>3</v>
      </c>
      <c r="K197" s="238">
        <v>6860.9400000000005</v>
      </c>
      <c r="L197" s="238">
        <v>1.0711398582729534</v>
      </c>
      <c r="M197" s="238">
        <v>2286.98</v>
      </c>
      <c r="N197" s="238"/>
      <c r="O197" s="238"/>
      <c r="P197" s="683"/>
      <c r="Q197" s="714"/>
    </row>
    <row r="198" spans="1:17" ht="14.4" customHeight="1" x14ac:dyDescent="0.3">
      <c r="A198" s="681" t="s">
        <v>1224</v>
      </c>
      <c r="B198" s="672" t="s">
        <v>1050</v>
      </c>
      <c r="C198" s="672" t="s">
        <v>1058</v>
      </c>
      <c r="D198" s="672" t="s">
        <v>1089</v>
      </c>
      <c r="E198" s="672" t="s">
        <v>1090</v>
      </c>
      <c r="F198" s="238">
        <v>602</v>
      </c>
      <c r="G198" s="238">
        <v>1769.88</v>
      </c>
      <c r="H198" s="238">
        <v>1</v>
      </c>
      <c r="I198" s="238">
        <v>2.9400000000000004</v>
      </c>
      <c r="J198" s="238">
        <v>1520</v>
      </c>
      <c r="K198" s="238">
        <v>4699.3999999999996</v>
      </c>
      <c r="L198" s="238">
        <v>2.6552082627070757</v>
      </c>
      <c r="M198" s="238">
        <v>3.0917105263157891</v>
      </c>
      <c r="N198" s="238">
        <v>2677</v>
      </c>
      <c r="O198" s="238">
        <v>8727.02</v>
      </c>
      <c r="P198" s="683">
        <v>4.9308540692024314</v>
      </c>
      <c r="Q198" s="714">
        <v>3.2600000000000002</v>
      </c>
    </row>
    <row r="199" spans="1:17" ht="14.4" customHeight="1" x14ac:dyDescent="0.3">
      <c r="A199" s="681" t="s">
        <v>1224</v>
      </c>
      <c r="B199" s="672" t="s">
        <v>1050</v>
      </c>
      <c r="C199" s="672" t="s">
        <v>1058</v>
      </c>
      <c r="D199" s="672" t="s">
        <v>1091</v>
      </c>
      <c r="E199" s="672" t="s">
        <v>1092</v>
      </c>
      <c r="F199" s="238"/>
      <c r="G199" s="238"/>
      <c r="H199" s="238"/>
      <c r="I199" s="238"/>
      <c r="J199" s="238">
        <v>220</v>
      </c>
      <c r="K199" s="238">
        <v>51667</v>
      </c>
      <c r="L199" s="238"/>
      <c r="M199" s="238">
        <v>234.85</v>
      </c>
      <c r="N199" s="238"/>
      <c r="O199" s="238"/>
      <c r="P199" s="683"/>
      <c r="Q199" s="714"/>
    </row>
    <row r="200" spans="1:17" ht="14.4" customHeight="1" x14ac:dyDescent="0.3">
      <c r="A200" s="681" t="s">
        <v>1224</v>
      </c>
      <c r="B200" s="672" t="s">
        <v>1050</v>
      </c>
      <c r="C200" s="672" t="s">
        <v>1058</v>
      </c>
      <c r="D200" s="672" t="s">
        <v>1093</v>
      </c>
      <c r="E200" s="672" t="s">
        <v>1094</v>
      </c>
      <c r="F200" s="238">
        <v>2190</v>
      </c>
      <c r="G200" s="238">
        <v>68152.800000000003</v>
      </c>
      <c r="H200" s="238">
        <v>1</v>
      </c>
      <c r="I200" s="238">
        <v>31.12</v>
      </c>
      <c r="J200" s="238">
        <v>5108</v>
      </c>
      <c r="K200" s="238">
        <v>168744.75999999998</v>
      </c>
      <c r="L200" s="238">
        <v>2.4759769224448589</v>
      </c>
      <c r="M200" s="238">
        <v>33.035387627251367</v>
      </c>
      <c r="N200" s="238">
        <v>3774</v>
      </c>
      <c r="O200" s="238">
        <v>125674.20000000001</v>
      </c>
      <c r="P200" s="683">
        <v>1.8440064091277248</v>
      </c>
      <c r="Q200" s="714">
        <v>33.300000000000004</v>
      </c>
    </row>
    <row r="201" spans="1:17" ht="14.4" customHeight="1" x14ac:dyDescent="0.3">
      <c r="A201" s="681" t="s">
        <v>1224</v>
      </c>
      <c r="B201" s="672" t="s">
        <v>1050</v>
      </c>
      <c r="C201" s="672" t="s">
        <v>1110</v>
      </c>
      <c r="D201" s="672" t="s">
        <v>1111</v>
      </c>
      <c r="E201" s="672" t="s">
        <v>1112</v>
      </c>
      <c r="F201" s="238"/>
      <c r="G201" s="238"/>
      <c r="H201" s="238"/>
      <c r="I201" s="238"/>
      <c r="J201" s="238"/>
      <c r="K201" s="238"/>
      <c r="L201" s="238"/>
      <c r="M201" s="238"/>
      <c r="N201" s="238">
        <v>6</v>
      </c>
      <c r="O201" s="238">
        <v>5305.92</v>
      </c>
      <c r="P201" s="683"/>
      <c r="Q201" s="714">
        <v>884.32</v>
      </c>
    </row>
    <row r="202" spans="1:17" ht="14.4" customHeight="1" x14ac:dyDescent="0.3">
      <c r="A202" s="681" t="s">
        <v>1224</v>
      </c>
      <c r="B202" s="672" t="s">
        <v>1050</v>
      </c>
      <c r="C202" s="672" t="s">
        <v>1113</v>
      </c>
      <c r="D202" s="672" t="s">
        <v>1114</v>
      </c>
      <c r="E202" s="672" t="s">
        <v>1115</v>
      </c>
      <c r="F202" s="238"/>
      <c r="G202" s="238"/>
      <c r="H202" s="238"/>
      <c r="I202" s="238"/>
      <c r="J202" s="238"/>
      <c r="K202" s="238"/>
      <c r="L202" s="238"/>
      <c r="M202" s="238"/>
      <c r="N202" s="238">
        <v>1</v>
      </c>
      <c r="O202" s="238">
        <v>34</v>
      </c>
      <c r="P202" s="683"/>
      <c r="Q202" s="714">
        <v>34</v>
      </c>
    </row>
    <row r="203" spans="1:17" ht="14.4" customHeight="1" x14ac:dyDescent="0.3">
      <c r="A203" s="681" t="s">
        <v>1224</v>
      </c>
      <c r="B203" s="672" t="s">
        <v>1050</v>
      </c>
      <c r="C203" s="672" t="s">
        <v>1113</v>
      </c>
      <c r="D203" s="672" t="s">
        <v>1131</v>
      </c>
      <c r="E203" s="672" t="s">
        <v>1132</v>
      </c>
      <c r="F203" s="238">
        <v>7</v>
      </c>
      <c r="G203" s="238">
        <v>12852</v>
      </c>
      <c r="H203" s="238">
        <v>1</v>
      </c>
      <c r="I203" s="238">
        <v>1836</v>
      </c>
      <c r="J203" s="238">
        <v>4</v>
      </c>
      <c r="K203" s="238">
        <v>7360</v>
      </c>
      <c r="L203" s="238">
        <v>0.57267351384998444</v>
      </c>
      <c r="M203" s="238">
        <v>1840</v>
      </c>
      <c r="N203" s="238">
        <v>10</v>
      </c>
      <c r="O203" s="238">
        <v>18400</v>
      </c>
      <c r="P203" s="683">
        <v>1.431683784624961</v>
      </c>
      <c r="Q203" s="714">
        <v>1840</v>
      </c>
    </row>
    <row r="204" spans="1:17" ht="14.4" customHeight="1" x14ac:dyDescent="0.3">
      <c r="A204" s="681" t="s">
        <v>1224</v>
      </c>
      <c r="B204" s="672" t="s">
        <v>1050</v>
      </c>
      <c r="C204" s="672" t="s">
        <v>1113</v>
      </c>
      <c r="D204" s="672" t="s">
        <v>1137</v>
      </c>
      <c r="E204" s="672" t="s">
        <v>1138</v>
      </c>
      <c r="F204" s="238">
        <v>3</v>
      </c>
      <c r="G204" s="238">
        <v>1959</v>
      </c>
      <c r="H204" s="238">
        <v>1</v>
      </c>
      <c r="I204" s="238">
        <v>653</v>
      </c>
      <c r="J204" s="238">
        <v>3</v>
      </c>
      <c r="K204" s="238">
        <v>1962</v>
      </c>
      <c r="L204" s="238">
        <v>1.0015313935681469</v>
      </c>
      <c r="M204" s="238">
        <v>654</v>
      </c>
      <c r="N204" s="238"/>
      <c r="O204" s="238"/>
      <c r="P204" s="683"/>
      <c r="Q204" s="714"/>
    </row>
    <row r="205" spans="1:17" ht="14.4" customHeight="1" x14ac:dyDescent="0.3">
      <c r="A205" s="681" t="s">
        <v>1224</v>
      </c>
      <c r="B205" s="672" t="s">
        <v>1050</v>
      </c>
      <c r="C205" s="672" t="s">
        <v>1113</v>
      </c>
      <c r="D205" s="672" t="s">
        <v>1141</v>
      </c>
      <c r="E205" s="672" t="s">
        <v>1142</v>
      </c>
      <c r="F205" s="238">
        <v>2</v>
      </c>
      <c r="G205" s="238">
        <v>3502</v>
      </c>
      <c r="H205" s="238">
        <v>1</v>
      </c>
      <c r="I205" s="238">
        <v>1751</v>
      </c>
      <c r="J205" s="238">
        <v>6</v>
      </c>
      <c r="K205" s="238">
        <v>10524</v>
      </c>
      <c r="L205" s="238">
        <v>3.0051399200456883</v>
      </c>
      <c r="M205" s="238">
        <v>1754</v>
      </c>
      <c r="N205" s="238">
        <v>8</v>
      </c>
      <c r="O205" s="238">
        <v>14032</v>
      </c>
      <c r="P205" s="683">
        <v>4.0068532267275838</v>
      </c>
      <c r="Q205" s="714">
        <v>1754</v>
      </c>
    </row>
    <row r="206" spans="1:17" ht="14.4" customHeight="1" x14ac:dyDescent="0.3">
      <c r="A206" s="681" t="s">
        <v>1224</v>
      </c>
      <c r="B206" s="672" t="s">
        <v>1050</v>
      </c>
      <c r="C206" s="672" t="s">
        <v>1113</v>
      </c>
      <c r="D206" s="672" t="s">
        <v>1147</v>
      </c>
      <c r="E206" s="672" t="s">
        <v>1148</v>
      </c>
      <c r="F206" s="238"/>
      <c r="G206" s="238"/>
      <c r="H206" s="238"/>
      <c r="I206" s="238"/>
      <c r="J206" s="238">
        <v>12</v>
      </c>
      <c r="K206" s="238">
        <v>171936</v>
      </c>
      <c r="L206" s="238"/>
      <c r="M206" s="238">
        <v>14328</v>
      </c>
      <c r="N206" s="238">
        <v>9</v>
      </c>
      <c r="O206" s="238">
        <v>128952</v>
      </c>
      <c r="P206" s="683"/>
      <c r="Q206" s="714">
        <v>14328</v>
      </c>
    </row>
    <row r="207" spans="1:17" ht="14.4" customHeight="1" x14ac:dyDescent="0.3">
      <c r="A207" s="681" t="s">
        <v>1224</v>
      </c>
      <c r="B207" s="672" t="s">
        <v>1050</v>
      </c>
      <c r="C207" s="672" t="s">
        <v>1113</v>
      </c>
      <c r="D207" s="672" t="s">
        <v>1153</v>
      </c>
      <c r="E207" s="672" t="s">
        <v>1047</v>
      </c>
      <c r="F207" s="238">
        <v>10</v>
      </c>
      <c r="G207" s="238">
        <v>141580</v>
      </c>
      <c r="H207" s="238">
        <v>1</v>
      </c>
      <c r="I207" s="238">
        <v>14158</v>
      </c>
      <c r="J207" s="238"/>
      <c r="K207" s="238"/>
      <c r="L207" s="238"/>
      <c r="M207" s="238"/>
      <c r="N207" s="238"/>
      <c r="O207" s="238"/>
      <c r="P207" s="683"/>
      <c r="Q207" s="714"/>
    </row>
    <row r="208" spans="1:17" ht="14.4" customHeight="1" x14ac:dyDescent="0.3">
      <c r="A208" s="681" t="s">
        <v>1224</v>
      </c>
      <c r="B208" s="672" t="s">
        <v>1050</v>
      </c>
      <c r="C208" s="672" t="s">
        <v>1113</v>
      </c>
      <c r="D208" s="672" t="s">
        <v>1158</v>
      </c>
      <c r="E208" s="672" t="s">
        <v>1159</v>
      </c>
      <c r="F208" s="238">
        <v>1</v>
      </c>
      <c r="G208" s="238">
        <v>1283</v>
      </c>
      <c r="H208" s="238">
        <v>1</v>
      </c>
      <c r="I208" s="238">
        <v>1283</v>
      </c>
      <c r="J208" s="238">
        <v>2</v>
      </c>
      <c r="K208" s="238">
        <v>2572</v>
      </c>
      <c r="L208" s="238">
        <v>2.0046765393608728</v>
      </c>
      <c r="M208" s="238">
        <v>1286</v>
      </c>
      <c r="N208" s="238">
        <v>4</v>
      </c>
      <c r="O208" s="238">
        <v>5144</v>
      </c>
      <c r="P208" s="683">
        <v>4.0093530787217455</v>
      </c>
      <c r="Q208" s="714">
        <v>1286</v>
      </c>
    </row>
    <row r="209" spans="1:17" ht="14.4" customHeight="1" x14ac:dyDescent="0.3">
      <c r="A209" s="681" t="s">
        <v>1224</v>
      </c>
      <c r="B209" s="672" t="s">
        <v>1050</v>
      </c>
      <c r="C209" s="672" t="s">
        <v>1113</v>
      </c>
      <c r="D209" s="672" t="s">
        <v>1160</v>
      </c>
      <c r="E209" s="672" t="s">
        <v>1161</v>
      </c>
      <c r="F209" s="238">
        <v>3</v>
      </c>
      <c r="G209" s="238">
        <v>1458</v>
      </c>
      <c r="H209" s="238">
        <v>1</v>
      </c>
      <c r="I209" s="238">
        <v>486</v>
      </c>
      <c r="J209" s="238">
        <v>3</v>
      </c>
      <c r="K209" s="238">
        <v>1461</v>
      </c>
      <c r="L209" s="238">
        <v>1.0020576131687242</v>
      </c>
      <c r="M209" s="238">
        <v>487</v>
      </c>
      <c r="N209" s="238"/>
      <c r="O209" s="238"/>
      <c r="P209" s="683"/>
      <c r="Q209" s="714"/>
    </row>
    <row r="210" spans="1:17" ht="14.4" customHeight="1" x14ac:dyDescent="0.3">
      <c r="A210" s="681" t="s">
        <v>1224</v>
      </c>
      <c r="B210" s="672" t="s">
        <v>1050</v>
      </c>
      <c r="C210" s="672" t="s">
        <v>1113</v>
      </c>
      <c r="D210" s="672" t="s">
        <v>1164</v>
      </c>
      <c r="E210" s="672" t="s">
        <v>1165</v>
      </c>
      <c r="F210" s="238"/>
      <c r="G210" s="238"/>
      <c r="H210" s="238"/>
      <c r="I210" s="238"/>
      <c r="J210" s="238">
        <v>1</v>
      </c>
      <c r="K210" s="238">
        <v>2535</v>
      </c>
      <c r="L210" s="238"/>
      <c r="M210" s="238">
        <v>2535</v>
      </c>
      <c r="N210" s="238"/>
      <c r="O210" s="238"/>
      <c r="P210" s="683"/>
      <c r="Q210" s="714"/>
    </row>
    <row r="211" spans="1:17" ht="14.4" customHeight="1" x14ac:dyDescent="0.3">
      <c r="A211" s="681" t="s">
        <v>483</v>
      </c>
      <c r="B211" s="672" t="s">
        <v>1050</v>
      </c>
      <c r="C211" s="672" t="s">
        <v>1051</v>
      </c>
      <c r="D211" s="672" t="s">
        <v>1053</v>
      </c>
      <c r="E211" s="672" t="s">
        <v>634</v>
      </c>
      <c r="F211" s="238"/>
      <c r="G211" s="238"/>
      <c r="H211" s="238"/>
      <c r="I211" s="238"/>
      <c r="J211" s="238">
        <v>0.2</v>
      </c>
      <c r="K211" s="238">
        <v>218.43</v>
      </c>
      <c r="L211" s="238"/>
      <c r="M211" s="238">
        <v>1092.1499999999999</v>
      </c>
      <c r="N211" s="238"/>
      <c r="O211" s="238"/>
      <c r="P211" s="683"/>
      <c r="Q211" s="714"/>
    </row>
    <row r="212" spans="1:17" ht="14.4" customHeight="1" x14ac:dyDescent="0.3">
      <c r="A212" s="681" t="s">
        <v>483</v>
      </c>
      <c r="B212" s="672" t="s">
        <v>1050</v>
      </c>
      <c r="C212" s="672" t="s">
        <v>1051</v>
      </c>
      <c r="D212" s="672" t="s">
        <v>1054</v>
      </c>
      <c r="E212" s="672" t="s">
        <v>634</v>
      </c>
      <c r="F212" s="238">
        <v>2.2000000000000002</v>
      </c>
      <c r="G212" s="238">
        <v>4763.74</v>
      </c>
      <c r="H212" s="238">
        <v>1</v>
      </c>
      <c r="I212" s="238">
        <v>2165.3363636363633</v>
      </c>
      <c r="J212" s="238">
        <v>0.5</v>
      </c>
      <c r="K212" s="238">
        <v>1092.1600000000001</v>
      </c>
      <c r="L212" s="238">
        <v>0.22926524117605077</v>
      </c>
      <c r="M212" s="238">
        <v>2184.3200000000002</v>
      </c>
      <c r="N212" s="238">
        <v>1</v>
      </c>
      <c r="O212" s="238">
        <v>2184.3200000000002</v>
      </c>
      <c r="P212" s="683">
        <v>0.45853048235210153</v>
      </c>
      <c r="Q212" s="714">
        <v>2184.3200000000002</v>
      </c>
    </row>
    <row r="213" spans="1:17" ht="14.4" customHeight="1" x14ac:dyDescent="0.3">
      <c r="A213" s="681" t="s">
        <v>483</v>
      </c>
      <c r="B213" s="672" t="s">
        <v>1050</v>
      </c>
      <c r="C213" s="672" t="s">
        <v>1051</v>
      </c>
      <c r="D213" s="672" t="s">
        <v>1055</v>
      </c>
      <c r="E213" s="672" t="s">
        <v>630</v>
      </c>
      <c r="F213" s="238">
        <v>0.30000000000000004</v>
      </c>
      <c r="G213" s="238">
        <v>280.98</v>
      </c>
      <c r="H213" s="238">
        <v>1</v>
      </c>
      <c r="I213" s="238">
        <v>936.59999999999991</v>
      </c>
      <c r="J213" s="238">
        <v>0.1</v>
      </c>
      <c r="K213" s="238">
        <v>94.48</v>
      </c>
      <c r="L213" s="238">
        <v>0.33625169051178017</v>
      </c>
      <c r="M213" s="238">
        <v>944.8</v>
      </c>
      <c r="N213" s="238">
        <v>0.1</v>
      </c>
      <c r="O213" s="238">
        <v>94.48</v>
      </c>
      <c r="P213" s="683">
        <v>0.33625169051178017</v>
      </c>
      <c r="Q213" s="714">
        <v>944.8</v>
      </c>
    </row>
    <row r="214" spans="1:17" ht="14.4" customHeight="1" x14ac:dyDescent="0.3">
      <c r="A214" s="681" t="s">
        <v>483</v>
      </c>
      <c r="B214" s="672" t="s">
        <v>1050</v>
      </c>
      <c r="C214" s="672" t="s">
        <v>1058</v>
      </c>
      <c r="D214" s="672" t="s">
        <v>1061</v>
      </c>
      <c r="E214" s="672" t="s">
        <v>1062</v>
      </c>
      <c r="F214" s="238">
        <v>1740</v>
      </c>
      <c r="G214" s="238">
        <v>3166.8</v>
      </c>
      <c r="H214" s="238">
        <v>1</v>
      </c>
      <c r="I214" s="238">
        <v>1.82</v>
      </c>
      <c r="J214" s="238">
        <v>2860</v>
      </c>
      <c r="K214" s="238">
        <v>5445.3</v>
      </c>
      <c r="L214" s="238">
        <v>1.7194960212201591</v>
      </c>
      <c r="M214" s="238">
        <v>1.9039510489510489</v>
      </c>
      <c r="N214" s="238">
        <v>2740</v>
      </c>
      <c r="O214" s="238">
        <v>5480</v>
      </c>
      <c r="P214" s="683">
        <v>1.7304534545913854</v>
      </c>
      <c r="Q214" s="714">
        <v>2</v>
      </c>
    </row>
    <row r="215" spans="1:17" ht="14.4" customHeight="1" x14ac:dyDescent="0.3">
      <c r="A215" s="681" t="s">
        <v>483</v>
      </c>
      <c r="B215" s="672" t="s">
        <v>1050</v>
      </c>
      <c r="C215" s="672" t="s">
        <v>1058</v>
      </c>
      <c r="D215" s="672" t="s">
        <v>1069</v>
      </c>
      <c r="E215" s="672" t="s">
        <v>1070</v>
      </c>
      <c r="F215" s="238">
        <v>800</v>
      </c>
      <c r="G215" s="238">
        <v>4248</v>
      </c>
      <c r="H215" s="238">
        <v>1</v>
      </c>
      <c r="I215" s="238">
        <v>5.31</v>
      </c>
      <c r="J215" s="238"/>
      <c r="K215" s="238"/>
      <c r="L215" s="238"/>
      <c r="M215" s="238"/>
      <c r="N215" s="238"/>
      <c r="O215" s="238"/>
      <c r="P215" s="683"/>
      <c r="Q215" s="714"/>
    </row>
    <row r="216" spans="1:17" ht="14.4" customHeight="1" x14ac:dyDescent="0.3">
      <c r="A216" s="681" t="s">
        <v>483</v>
      </c>
      <c r="B216" s="672" t="s">
        <v>1050</v>
      </c>
      <c r="C216" s="672" t="s">
        <v>1058</v>
      </c>
      <c r="D216" s="672" t="s">
        <v>1077</v>
      </c>
      <c r="E216" s="672" t="s">
        <v>1078</v>
      </c>
      <c r="F216" s="238">
        <v>2886.58</v>
      </c>
      <c r="G216" s="238">
        <v>126460.95999999999</v>
      </c>
      <c r="H216" s="238">
        <v>1</v>
      </c>
      <c r="I216" s="238">
        <v>43.809961961906474</v>
      </c>
      <c r="J216" s="238">
        <v>2516</v>
      </c>
      <c r="K216" s="238">
        <v>87167.56</v>
      </c>
      <c r="L216" s="238">
        <v>0.68928434514493642</v>
      </c>
      <c r="M216" s="238">
        <v>34.645294117647055</v>
      </c>
      <c r="N216" s="238">
        <v>2812.4</v>
      </c>
      <c r="O216" s="238">
        <v>107658.66</v>
      </c>
      <c r="P216" s="683">
        <v>0.85131933206896426</v>
      </c>
      <c r="Q216" s="714">
        <v>38.279995733181622</v>
      </c>
    </row>
    <row r="217" spans="1:17" ht="14.4" customHeight="1" x14ac:dyDescent="0.3">
      <c r="A217" s="681" t="s">
        <v>483</v>
      </c>
      <c r="B217" s="672" t="s">
        <v>1050</v>
      </c>
      <c r="C217" s="672" t="s">
        <v>1058</v>
      </c>
      <c r="D217" s="672" t="s">
        <v>1093</v>
      </c>
      <c r="E217" s="672" t="s">
        <v>1094</v>
      </c>
      <c r="F217" s="238">
        <v>2460</v>
      </c>
      <c r="G217" s="238">
        <v>76555.200000000012</v>
      </c>
      <c r="H217" s="238">
        <v>1</v>
      </c>
      <c r="I217" s="238">
        <v>31.120000000000005</v>
      </c>
      <c r="J217" s="238">
        <v>1433</v>
      </c>
      <c r="K217" s="238">
        <v>47524.71</v>
      </c>
      <c r="L217" s="238">
        <v>0.62079009655777784</v>
      </c>
      <c r="M217" s="238">
        <v>33.164487090020934</v>
      </c>
      <c r="N217" s="238">
        <v>894</v>
      </c>
      <c r="O217" s="238">
        <v>29770.2</v>
      </c>
      <c r="P217" s="683">
        <v>0.38887234309361085</v>
      </c>
      <c r="Q217" s="714">
        <v>33.300000000000004</v>
      </c>
    </row>
    <row r="218" spans="1:17" ht="14.4" customHeight="1" x14ac:dyDescent="0.3">
      <c r="A218" s="681" t="s">
        <v>483</v>
      </c>
      <c r="B218" s="672" t="s">
        <v>1050</v>
      </c>
      <c r="C218" s="672" t="s">
        <v>1058</v>
      </c>
      <c r="D218" s="672" t="s">
        <v>1101</v>
      </c>
      <c r="E218" s="672" t="s">
        <v>1047</v>
      </c>
      <c r="F218" s="238">
        <v>2000</v>
      </c>
      <c r="G218" s="238">
        <v>25000</v>
      </c>
      <c r="H218" s="238">
        <v>1</v>
      </c>
      <c r="I218" s="238">
        <v>12.5</v>
      </c>
      <c r="J218" s="238"/>
      <c r="K218" s="238"/>
      <c r="L218" s="238"/>
      <c r="M218" s="238"/>
      <c r="N218" s="238"/>
      <c r="O218" s="238"/>
      <c r="P218" s="683"/>
      <c r="Q218" s="714"/>
    </row>
    <row r="219" spans="1:17" ht="14.4" customHeight="1" x14ac:dyDescent="0.3">
      <c r="A219" s="681" t="s">
        <v>483</v>
      </c>
      <c r="B219" s="672" t="s">
        <v>1050</v>
      </c>
      <c r="C219" s="672" t="s">
        <v>1110</v>
      </c>
      <c r="D219" s="672" t="s">
        <v>1111</v>
      </c>
      <c r="E219" s="672" t="s">
        <v>1112</v>
      </c>
      <c r="F219" s="238"/>
      <c r="G219" s="238"/>
      <c r="H219" s="238"/>
      <c r="I219" s="238"/>
      <c r="J219" s="238"/>
      <c r="K219" s="238"/>
      <c r="L219" s="238"/>
      <c r="M219" s="238"/>
      <c r="N219" s="238">
        <v>2</v>
      </c>
      <c r="O219" s="238">
        <v>1768.64</v>
      </c>
      <c r="P219" s="683"/>
      <c r="Q219" s="714">
        <v>884.32</v>
      </c>
    </row>
    <row r="220" spans="1:17" ht="14.4" customHeight="1" x14ac:dyDescent="0.3">
      <c r="A220" s="681" t="s">
        <v>483</v>
      </c>
      <c r="B220" s="672" t="s">
        <v>1050</v>
      </c>
      <c r="C220" s="672" t="s">
        <v>1113</v>
      </c>
      <c r="D220" s="672" t="s">
        <v>1125</v>
      </c>
      <c r="E220" s="672" t="s">
        <v>1126</v>
      </c>
      <c r="F220" s="238">
        <v>1</v>
      </c>
      <c r="G220" s="238">
        <v>1961</v>
      </c>
      <c r="H220" s="238">
        <v>1</v>
      </c>
      <c r="I220" s="238">
        <v>1961</v>
      </c>
      <c r="J220" s="238"/>
      <c r="K220" s="238"/>
      <c r="L220" s="238"/>
      <c r="M220" s="238"/>
      <c r="N220" s="238"/>
      <c r="O220" s="238"/>
      <c r="P220" s="683"/>
      <c r="Q220" s="714"/>
    </row>
    <row r="221" spans="1:17" ht="14.4" customHeight="1" x14ac:dyDescent="0.3">
      <c r="A221" s="681" t="s">
        <v>483</v>
      </c>
      <c r="B221" s="672" t="s">
        <v>1050</v>
      </c>
      <c r="C221" s="672" t="s">
        <v>1113</v>
      </c>
      <c r="D221" s="672" t="s">
        <v>1141</v>
      </c>
      <c r="E221" s="672" t="s">
        <v>1142</v>
      </c>
      <c r="F221" s="238">
        <v>6</v>
      </c>
      <c r="G221" s="238">
        <v>10506</v>
      </c>
      <c r="H221" s="238">
        <v>1</v>
      </c>
      <c r="I221" s="238">
        <v>1751</v>
      </c>
      <c r="J221" s="238">
        <v>13</v>
      </c>
      <c r="K221" s="238">
        <v>22802</v>
      </c>
      <c r="L221" s="238">
        <v>2.1703788311441081</v>
      </c>
      <c r="M221" s="238">
        <v>1754</v>
      </c>
      <c r="N221" s="238">
        <v>11</v>
      </c>
      <c r="O221" s="238">
        <v>19294</v>
      </c>
      <c r="P221" s="683">
        <v>1.8364743955834761</v>
      </c>
      <c r="Q221" s="714">
        <v>1754</v>
      </c>
    </row>
    <row r="222" spans="1:17" ht="14.4" customHeight="1" x14ac:dyDescent="0.3">
      <c r="A222" s="681" t="s">
        <v>483</v>
      </c>
      <c r="B222" s="672" t="s">
        <v>1050</v>
      </c>
      <c r="C222" s="672" t="s">
        <v>1113</v>
      </c>
      <c r="D222" s="672" t="s">
        <v>1147</v>
      </c>
      <c r="E222" s="672" t="s">
        <v>1148</v>
      </c>
      <c r="F222" s="238"/>
      <c r="G222" s="238"/>
      <c r="H222" s="238"/>
      <c r="I222" s="238"/>
      <c r="J222" s="238">
        <v>3</v>
      </c>
      <c r="K222" s="238">
        <v>42984</v>
      </c>
      <c r="L222" s="238"/>
      <c r="M222" s="238">
        <v>14328</v>
      </c>
      <c r="N222" s="238">
        <v>2</v>
      </c>
      <c r="O222" s="238">
        <v>28656</v>
      </c>
      <c r="P222" s="683"/>
      <c r="Q222" s="714">
        <v>14328</v>
      </c>
    </row>
    <row r="223" spans="1:17" ht="14.4" customHeight="1" x14ac:dyDescent="0.3">
      <c r="A223" s="681" t="s">
        <v>483</v>
      </c>
      <c r="B223" s="672" t="s">
        <v>1050</v>
      </c>
      <c r="C223" s="672" t="s">
        <v>1113</v>
      </c>
      <c r="D223" s="672" t="s">
        <v>1153</v>
      </c>
      <c r="E223" s="672" t="s">
        <v>1047</v>
      </c>
      <c r="F223" s="238">
        <v>8</v>
      </c>
      <c r="G223" s="238">
        <v>113264</v>
      </c>
      <c r="H223" s="238">
        <v>1</v>
      </c>
      <c r="I223" s="238">
        <v>14158</v>
      </c>
      <c r="J223" s="238"/>
      <c r="K223" s="238"/>
      <c r="L223" s="238"/>
      <c r="M223" s="238"/>
      <c r="N223" s="238"/>
      <c r="O223" s="238"/>
      <c r="P223" s="683"/>
      <c r="Q223" s="714"/>
    </row>
    <row r="224" spans="1:17" ht="14.4" customHeight="1" x14ac:dyDescent="0.3">
      <c r="A224" s="681" t="s">
        <v>483</v>
      </c>
      <c r="B224" s="672" t="s">
        <v>1050</v>
      </c>
      <c r="C224" s="672" t="s">
        <v>1113</v>
      </c>
      <c r="D224" s="672" t="s">
        <v>1225</v>
      </c>
      <c r="E224" s="672" t="s">
        <v>1226</v>
      </c>
      <c r="F224" s="238">
        <v>51</v>
      </c>
      <c r="G224" s="238">
        <v>99093</v>
      </c>
      <c r="H224" s="238">
        <v>1</v>
      </c>
      <c r="I224" s="238">
        <v>1943</v>
      </c>
      <c r="J224" s="238">
        <v>43</v>
      </c>
      <c r="K224" s="238">
        <v>83807</v>
      </c>
      <c r="L224" s="238">
        <v>0.84574086968807083</v>
      </c>
      <c r="M224" s="238">
        <v>1949</v>
      </c>
      <c r="N224" s="238">
        <v>48</v>
      </c>
      <c r="O224" s="238">
        <v>93552</v>
      </c>
      <c r="P224" s="683">
        <v>0.94408283127970694</v>
      </c>
      <c r="Q224" s="714">
        <v>1949</v>
      </c>
    </row>
    <row r="225" spans="1:17" ht="14.4" customHeight="1" x14ac:dyDescent="0.3">
      <c r="A225" s="681" t="s">
        <v>483</v>
      </c>
      <c r="B225" s="672" t="s">
        <v>1050</v>
      </c>
      <c r="C225" s="672" t="s">
        <v>1113</v>
      </c>
      <c r="D225" s="672" t="s">
        <v>1156</v>
      </c>
      <c r="E225" s="672" t="s">
        <v>1157</v>
      </c>
      <c r="F225" s="238">
        <v>25</v>
      </c>
      <c r="G225" s="238">
        <v>10425</v>
      </c>
      <c r="H225" s="238">
        <v>1</v>
      </c>
      <c r="I225" s="238">
        <v>417</v>
      </c>
      <c r="J225" s="238">
        <v>31</v>
      </c>
      <c r="K225" s="238">
        <v>12958</v>
      </c>
      <c r="L225" s="238">
        <v>1.2429736211031175</v>
      </c>
      <c r="M225" s="238">
        <v>418</v>
      </c>
      <c r="N225" s="238">
        <v>24</v>
      </c>
      <c r="O225" s="238">
        <v>10032</v>
      </c>
      <c r="P225" s="683">
        <v>0.96230215827338128</v>
      </c>
      <c r="Q225" s="714">
        <v>418</v>
      </c>
    </row>
    <row r="226" spans="1:17" ht="14.4" customHeight="1" x14ac:dyDescent="0.3">
      <c r="A226" s="681" t="s">
        <v>483</v>
      </c>
      <c r="B226" s="672" t="s">
        <v>1050</v>
      </c>
      <c r="C226" s="672" t="s">
        <v>1113</v>
      </c>
      <c r="D226" s="672" t="s">
        <v>1164</v>
      </c>
      <c r="E226" s="672" t="s">
        <v>1165</v>
      </c>
      <c r="F226" s="238">
        <v>2</v>
      </c>
      <c r="G226" s="238">
        <v>5058</v>
      </c>
      <c r="H226" s="238">
        <v>1</v>
      </c>
      <c r="I226" s="238">
        <v>2529</v>
      </c>
      <c r="J226" s="238"/>
      <c r="K226" s="238"/>
      <c r="L226" s="238"/>
      <c r="M226" s="238"/>
      <c r="N226" s="238"/>
      <c r="O226" s="238"/>
      <c r="P226" s="683"/>
      <c r="Q226" s="714"/>
    </row>
    <row r="227" spans="1:17" ht="14.4" customHeight="1" x14ac:dyDescent="0.3">
      <c r="A227" s="681" t="s">
        <v>483</v>
      </c>
      <c r="B227" s="672" t="s">
        <v>1050</v>
      </c>
      <c r="C227" s="672" t="s">
        <v>1113</v>
      </c>
      <c r="D227" s="672" t="s">
        <v>1170</v>
      </c>
      <c r="E227" s="672" t="s">
        <v>1171</v>
      </c>
      <c r="F227" s="238">
        <v>3</v>
      </c>
      <c r="G227" s="238">
        <v>2913</v>
      </c>
      <c r="H227" s="238">
        <v>1</v>
      </c>
      <c r="I227" s="238">
        <v>971</v>
      </c>
      <c r="J227" s="238"/>
      <c r="K227" s="238"/>
      <c r="L227" s="238"/>
      <c r="M227" s="238"/>
      <c r="N227" s="238">
        <v>2</v>
      </c>
      <c r="O227" s="238">
        <v>1964</v>
      </c>
      <c r="P227" s="683">
        <v>0.67421901819430141</v>
      </c>
      <c r="Q227" s="714">
        <v>982</v>
      </c>
    </row>
    <row r="228" spans="1:17" ht="14.4" customHeight="1" x14ac:dyDescent="0.3">
      <c r="A228" s="681" t="s">
        <v>483</v>
      </c>
      <c r="B228" s="672" t="s">
        <v>1227</v>
      </c>
      <c r="C228" s="672" t="s">
        <v>1051</v>
      </c>
      <c r="D228" s="672" t="s">
        <v>1228</v>
      </c>
      <c r="E228" s="672" t="s">
        <v>636</v>
      </c>
      <c r="F228" s="238"/>
      <c r="G228" s="238"/>
      <c r="H228" s="238"/>
      <c r="I228" s="238"/>
      <c r="J228" s="238"/>
      <c r="K228" s="238"/>
      <c r="L228" s="238"/>
      <c r="M228" s="238"/>
      <c r="N228" s="238">
        <v>1</v>
      </c>
      <c r="O228" s="238">
        <v>20569.86</v>
      </c>
      <c r="P228" s="683"/>
      <c r="Q228" s="714">
        <v>20569.86</v>
      </c>
    </row>
    <row r="229" spans="1:17" ht="14.4" customHeight="1" x14ac:dyDescent="0.3">
      <c r="A229" s="681" t="s">
        <v>483</v>
      </c>
      <c r="B229" s="672" t="s">
        <v>1227</v>
      </c>
      <c r="C229" s="672" t="s">
        <v>1058</v>
      </c>
      <c r="D229" s="672" t="s">
        <v>1229</v>
      </c>
      <c r="E229" s="672" t="s">
        <v>1230</v>
      </c>
      <c r="F229" s="238">
        <v>3130</v>
      </c>
      <c r="G229" s="238">
        <v>5070.6000000000004</v>
      </c>
      <c r="H229" s="238">
        <v>1</v>
      </c>
      <c r="I229" s="238">
        <v>1.62</v>
      </c>
      <c r="J229" s="238">
        <v>2850</v>
      </c>
      <c r="K229" s="238">
        <v>4879</v>
      </c>
      <c r="L229" s="238">
        <v>0.96221354474815601</v>
      </c>
      <c r="M229" s="238">
        <v>1.7119298245614034</v>
      </c>
      <c r="N229" s="238">
        <v>1580</v>
      </c>
      <c r="O229" s="238">
        <v>2385.8000000000002</v>
      </c>
      <c r="P229" s="683">
        <v>0.47051630970693803</v>
      </c>
      <c r="Q229" s="714">
        <v>1.51</v>
      </c>
    </row>
    <row r="230" spans="1:17" ht="14.4" customHeight="1" x14ac:dyDescent="0.3">
      <c r="A230" s="681" t="s">
        <v>483</v>
      </c>
      <c r="B230" s="672" t="s">
        <v>1227</v>
      </c>
      <c r="C230" s="672" t="s">
        <v>1058</v>
      </c>
      <c r="D230" s="672" t="s">
        <v>1231</v>
      </c>
      <c r="E230" s="672" t="s">
        <v>1232</v>
      </c>
      <c r="F230" s="238">
        <v>99100</v>
      </c>
      <c r="G230" s="238">
        <v>158560</v>
      </c>
      <c r="H230" s="238">
        <v>1</v>
      </c>
      <c r="I230" s="238">
        <v>1.6</v>
      </c>
      <c r="J230" s="238">
        <v>84900</v>
      </c>
      <c r="K230" s="238">
        <v>154284.20000000001</v>
      </c>
      <c r="L230" s="238">
        <v>0.97303355196770946</v>
      </c>
      <c r="M230" s="238">
        <v>1.8172461719670201</v>
      </c>
      <c r="N230" s="238">
        <v>42000</v>
      </c>
      <c r="O230" s="238">
        <v>74340</v>
      </c>
      <c r="P230" s="683">
        <v>0.46884460141271445</v>
      </c>
      <c r="Q230" s="714">
        <v>1.77</v>
      </c>
    </row>
    <row r="231" spans="1:17" ht="14.4" customHeight="1" x14ac:dyDescent="0.3">
      <c r="A231" s="681" t="s">
        <v>483</v>
      </c>
      <c r="B231" s="672" t="s">
        <v>1227</v>
      </c>
      <c r="C231" s="672" t="s">
        <v>1113</v>
      </c>
      <c r="D231" s="672" t="s">
        <v>1233</v>
      </c>
      <c r="E231" s="672" t="s">
        <v>1234</v>
      </c>
      <c r="F231" s="238">
        <v>338</v>
      </c>
      <c r="G231" s="238">
        <v>333701</v>
      </c>
      <c r="H231" s="238">
        <v>1</v>
      </c>
      <c r="I231" s="238">
        <v>987.28106508875737</v>
      </c>
      <c r="J231" s="238">
        <v>323</v>
      </c>
      <c r="K231" s="238">
        <v>324245</v>
      </c>
      <c r="L231" s="238">
        <v>0.97166325542926157</v>
      </c>
      <c r="M231" s="238">
        <v>1003.8544891640867</v>
      </c>
      <c r="N231" s="238">
        <v>287</v>
      </c>
      <c r="O231" s="238">
        <v>290210</v>
      </c>
      <c r="P231" s="683">
        <v>0.86967075315926534</v>
      </c>
      <c r="Q231" s="714">
        <v>1011.184668989547</v>
      </c>
    </row>
    <row r="232" spans="1:17" ht="14.4" customHeight="1" x14ac:dyDescent="0.3">
      <c r="A232" s="681" t="s">
        <v>483</v>
      </c>
      <c r="B232" s="672" t="s">
        <v>1227</v>
      </c>
      <c r="C232" s="672" t="s">
        <v>1113</v>
      </c>
      <c r="D232" s="672" t="s">
        <v>1235</v>
      </c>
      <c r="E232" s="672" t="s">
        <v>1236</v>
      </c>
      <c r="F232" s="238">
        <v>6</v>
      </c>
      <c r="G232" s="238">
        <v>3834</v>
      </c>
      <c r="H232" s="238">
        <v>1</v>
      </c>
      <c r="I232" s="238">
        <v>639</v>
      </c>
      <c r="J232" s="238">
        <v>8</v>
      </c>
      <c r="K232" s="238">
        <v>5136</v>
      </c>
      <c r="L232" s="238">
        <v>1.3395931142410016</v>
      </c>
      <c r="M232" s="238">
        <v>642</v>
      </c>
      <c r="N232" s="238">
        <v>9</v>
      </c>
      <c r="O232" s="238">
        <v>5778</v>
      </c>
      <c r="P232" s="683">
        <v>1.5070422535211268</v>
      </c>
      <c r="Q232" s="714">
        <v>642</v>
      </c>
    </row>
    <row r="233" spans="1:17" ht="14.4" customHeight="1" x14ac:dyDescent="0.3">
      <c r="A233" s="681" t="s">
        <v>483</v>
      </c>
      <c r="B233" s="672" t="s">
        <v>1227</v>
      </c>
      <c r="C233" s="672" t="s">
        <v>1113</v>
      </c>
      <c r="D233" s="672" t="s">
        <v>1237</v>
      </c>
      <c r="E233" s="672" t="s">
        <v>1238</v>
      </c>
      <c r="F233" s="238">
        <v>0</v>
      </c>
      <c r="G233" s="238">
        <v>0</v>
      </c>
      <c r="H233" s="238"/>
      <c r="I233" s="238"/>
      <c r="J233" s="238">
        <v>0</v>
      </c>
      <c r="K233" s="238">
        <v>0</v>
      </c>
      <c r="L233" s="238"/>
      <c r="M233" s="238"/>
      <c r="N233" s="238">
        <v>0</v>
      </c>
      <c r="O233" s="238">
        <v>0</v>
      </c>
      <c r="P233" s="683"/>
      <c r="Q233" s="714"/>
    </row>
    <row r="234" spans="1:17" ht="14.4" customHeight="1" x14ac:dyDescent="0.3">
      <c r="A234" s="681" t="s">
        <v>483</v>
      </c>
      <c r="B234" s="672" t="s">
        <v>1227</v>
      </c>
      <c r="C234" s="672" t="s">
        <v>1113</v>
      </c>
      <c r="D234" s="672" t="s">
        <v>1239</v>
      </c>
      <c r="E234" s="672" t="s">
        <v>1240</v>
      </c>
      <c r="F234" s="238">
        <v>1</v>
      </c>
      <c r="G234" s="238">
        <v>0</v>
      </c>
      <c r="H234" s="238"/>
      <c r="I234" s="238">
        <v>0</v>
      </c>
      <c r="J234" s="238">
        <v>1</v>
      </c>
      <c r="K234" s="238">
        <v>0</v>
      </c>
      <c r="L234" s="238"/>
      <c r="M234" s="238">
        <v>0</v>
      </c>
      <c r="N234" s="238"/>
      <c r="O234" s="238"/>
      <c r="P234" s="683"/>
      <c r="Q234" s="714"/>
    </row>
    <row r="235" spans="1:17" ht="14.4" customHeight="1" x14ac:dyDescent="0.3">
      <c r="A235" s="681" t="s">
        <v>483</v>
      </c>
      <c r="B235" s="672" t="s">
        <v>1227</v>
      </c>
      <c r="C235" s="672" t="s">
        <v>1113</v>
      </c>
      <c r="D235" s="672" t="s">
        <v>1149</v>
      </c>
      <c r="E235" s="672" t="s">
        <v>1150</v>
      </c>
      <c r="F235" s="238">
        <v>5</v>
      </c>
      <c r="G235" s="238">
        <v>0</v>
      </c>
      <c r="H235" s="238"/>
      <c r="I235" s="238">
        <v>0</v>
      </c>
      <c r="J235" s="238">
        <v>5</v>
      </c>
      <c r="K235" s="238">
        <v>0</v>
      </c>
      <c r="L235" s="238"/>
      <c r="M235" s="238">
        <v>0</v>
      </c>
      <c r="N235" s="238"/>
      <c r="O235" s="238"/>
      <c r="P235" s="683"/>
      <c r="Q235" s="714"/>
    </row>
    <row r="236" spans="1:17" ht="14.4" customHeight="1" x14ac:dyDescent="0.3">
      <c r="A236" s="681" t="s">
        <v>483</v>
      </c>
      <c r="B236" s="672" t="s">
        <v>1227</v>
      </c>
      <c r="C236" s="672" t="s">
        <v>1113</v>
      </c>
      <c r="D236" s="672" t="s">
        <v>1241</v>
      </c>
      <c r="E236" s="672" t="s">
        <v>1242</v>
      </c>
      <c r="F236" s="238">
        <v>123</v>
      </c>
      <c r="G236" s="238">
        <v>0</v>
      </c>
      <c r="H236" s="238"/>
      <c r="I236" s="238">
        <v>0</v>
      </c>
      <c r="J236" s="238">
        <v>314</v>
      </c>
      <c r="K236" s="238">
        <v>0</v>
      </c>
      <c r="L236" s="238"/>
      <c r="M236" s="238">
        <v>0</v>
      </c>
      <c r="N236" s="238"/>
      <c r="O236" s="238"/>
      <c r="P236" s="683"/>
      <c r="Q236" s="714"/>
    </row>
    <row r="237" spans="1:17" ht="14.4" customHeight="1" x14ac:dyDescent="0.3">
      <c r="A237" s="681" t="s">
        <v>483</v>
      </c>
      <c r="B237" s="672" t="s">
        <v>1227</v>
      </c>
      <c r="C237" s="672" t="s">
        <v>1113</v>
      </c>
      <c r="D237" s="672" t="s">
        <v>1243</v>
      </c>
      <c r="E237" s="672" t="s">
        <v>1244</v>
      </c>
      <c r="F237" s="238">
        <v>4</v>
      </c>
      <c r="G237" s="238">
        <v>0</v>
      </c>
      <c r="H237" s="238"/>
      <c r="I237" s="238">
        <v>0</v>
      </c>
      <c r="J237" s="238"/>
      <c r="K237" s="238"/>
      <c r="L237" s="238"/>
      <c r="M237" s="238"/>
      <c r="N237" s="238"/>
      <c r="O237" s="238"/>
      <c r="P237" s="683"/>
      <c r="Q237" s="714"/>
    </row>
    <row r="238" spans="1:17" ht="14.4" customHeight="1" x14ac:dyDescent="0.3">
      <c r="A238" s="681" t="s">
        <v>483</v>
      </c>
      <c r="B238" s="672" t="s">
        <v>1227</v>
      </c>
      <c r="C238" s="672" t="s">
        <v>1113</v>
      </c>
      <c r="D238" s="672" t="s">
        <v>1166</v>
      </c>
      <c r="E238" s="672" t="s">
        <v>1167</v>
      </c>
      <c r="F238" s="238">
        <v>65</v>
      </c>
      <c r="G238" s="238">
        <v>21190</v>
      </c>
      <c r="H238" s="238">
        <v>1</v>
      </c>
      <c r="I238" s="238">
        <v>326</v>
      </c>
      <c r="J238" s="238">
        <v>61</v>
      </c>
      <c r="K238" s="238">
        <v>19947</v>
      </c>
      <c r="L238" s="238">
        <v>0.94134025483718731</v>
      </c>
      <c r="M238" s="238">
        <v>327</v>
      </c>
      <c r="N238" s="238">
        <v>49</v>
      </c>
      <c r="O238" s="238">
        <v>16023</v>
      </c>
      <c r="P238" s="683">
        <v>0.75615856536101933</v>
      </c>
      <c r="Q238" s="714">
        <v>327</v>
      </c>
    </row>
    <row r="239" spans="1:17" ht="14.4" customHeight="1" x14ac:dyDescent="0.3">
      <c r="A239" s="681" t="s">
        <v>483</v>
      </c>
      <c r="B239" s="672" t="s">
        <v>1227</v>
      </c>
      <c r="C239" s="672" t="s">
        <v>1113</v>
      </c>
      <c r="D239" s="672" t="s">
        <v>1245</v>
      </c>
      <c r="E239" s="672" t="s">
        <v>1246</v>
      </c>
      <c r="F239" s="238">
        <v>7</v>
      </c>
      <c r="G239" s="238">
        <v>2254</v>
      </c>
      <c r="H239" s="238">
        <v>1</v>
      </c>
      <c r="I239" s="238">
        <v>322</v>
      </c>
      <c r="J239" s="238">
        <v>5</v>
      </c>
      <c r="K239" s="238">
        <v>1615</v>
      </c>
      <c r="L239" s="238">
        <v>0.71650399290150846</v>
      </c>
      <c r="M239" s="238">
        <v>323</v>
      </c>
      <c r="N239" s="238">
        <v>3</v>
      </c>
      <c r="O239" s="238">
        <v>969</v>
      </c>
      <c r="P239" s="683">
        <v>0.42990239574090505</v>
      </c>
      <c r="Q239" s="714">
        <v>323</v>
      </c>
    </row>
    <row r="240" spans="1:17" ht="14.4" customHeight="1" x14ac:dyDescent="0.3">
      <c r="A240" s="681" t="s">
        <v>483</v>
      </c>
      <c r="B240" s="672" t="s">
        <v>1227</v>
      </c>
      <c r="C240" s="672" t="s">
        <v>1113</v>
      </c>
      <c r="D240" s="672" t="s">
        <v>1247</v>
      </c>
      <c r="E240" s="672" t="s">
        <v>1248</v>
      </c>
      <c r="F240" s="238">
        <v>57</v>
      </c>
      <c r="G240" s="238">
        <v>36594</v>
      </c>
      <c r="H240" s="238">
        <v>1</v>
      </c>
      <c r="I240" s="238">
        <v>642</v>
      </c>
      <c r="J240" s="238">
        <v>49</v>
      </c>
      <c r="K240" s="238">
        <v>31605</v>
      </c>
      <c r="L240" s="238">
        <v>0.86366617478275132</v>
      </c>
      <c r="M240" s="238">
        <v>645</v>
      </c>
      <c r="N240" s="238">
        <v>49</v>
      </c>
      <c r="O240" s="238">
        <v>31605</v>
      </c>
      <c r="P240" s="683">
        <v>0.86366617478275132</v>
      </c>
      <c r="Q240" s="714">
        <v>645</v>
      </c>
    </row>
    <row r="241" spans="1:17" ht="14.4" customHeight="1" x14ac:dyDescent="0.3">
      <c r="A241" s="681" t="s">
        <v>483</v>
      </c>
      <c r="B241" s="672" t="s">
        <v>1227</v>
      </c>
      <c r="C241" s="672" t="s">
        <v>1113</v>
      </c>
      <c r="D241" s="672" t="s">
        <v>1249</v>
      </c>
      <c r="E241" s="672" t="s">
        <v>1250</v>
      </c>
      <c r="F241" s="238">
        <v>10</v>
      </c>
      <c r="G241" s="238">
        <v>6390</v>
      </c>
      <c r="H241" s="238">
        <v>1</v>
      </c>
      <c r="I241" s="238">
        <v>639</v>
      </c>
      <c r="J241" s="238">
        <v>7</v>
      </c>
      <c r="K241" s="238">
        <v>4494</v>
      </c>
      <c r="L241" s="238">
        <v>0.70328638497652585</v>
      </c>
      <c r="M241" s="238">
        <v>642</v>
      </c>
      <c r="N241" s="238">
        <v>1</v>
      </c>
      <c r="O241" s="238">
        <v>642</v>
      </c>
      <c r="P241" s="683">
        <v>0.10046948356807511</v>
      </c>
      <c r="Q241" s="714">
        <v>642</v>
      </c>
    </row>
    <row r="242" spans="1:17" ht="14.4" customHeight="1" x14ac:dyDescent="0.3">
      <c r="A242" s="681" t="s">
        <v>1251</v>
      </c>
      <c r="B242" s="672" t="s">
        <v>1050</v>
      </c>
      <c r="C242" s="672" t="s">
        <v>1058</v>
      </c>
      <c r="D242" s="672" t="s">
        <v>1099</v>
      </c>
      <c r="E242" s="672" t="s">
        <v>1100</v>
      </c>
      <c r="F242" s="238">
        <v>685</v>
      </c>
      <c r="G242" s="238">
        <v>12145.05</v>
      </c>
      <c r="H242" s="238">
        <v>1</v>
      </c>
      <c r="I242" s="238">
        <v>17.73</v>
      </c>
      <c r="J242" s="238"/>
      <c r="K242" s="238"/>
      <c r="L242" s="238"/>
      <c r="M242" s="238"/>
      <c r="N242" s="238"/>
      <c r="O242" s="238"/>
      <c r="P242" s="683"/>
      <c r="Q242" s="714"/>
    </row>
    <row r="243" spans="1:17" ht="14.4" customHeight="1" x14ac:dyDescent="0.3">
      <c r="A243" s="681" t="s">
        <v>1251</v>
      </c>
      <c r="B243" s="672" t="s">
        <v>1050</v>
      </c>
      <c r="C243" s="672" t="s">
        <v>1058</v>
      </c>
      <c r="D243" s="672" t="s">
        <v>1101</v>
      </c>
      <c r="E243" s="672" t="s">
        <v>1047</v>
      </c>
      <c r="F243" s="238">
        <v>1000</v>
      </c>
      <c r="G243" s="238">
        <v>12500</v>
      </c>
      <c r="H243" s="238">
        <v>1</v>
      </c>
      <c r="I243" s="238">
        <v>12.5</v>
      </c>
      <c r="J243" s="238"/>
      <c r="K243" s="238"/>
      <c r="L243" s="238"/>
      <c r="M243" s="238"/>
      <c r="N243" s="238"/>
      <c r="O243" s="238"/>
      <c r="P243" s="683"/>
      <c r="Q243" s="714"/>
    </row>
    <row r="244" spans="1:17" ht="14.4" customHeight="1" x14ac:dyDescent="0.3">
      <c r="A244" s="681" t="s">
        <v>1251</v>
      </c>
      <c r="B244" s="672" t="s">
        <v>1050</v>
      </c>
      <c r="C244" s="672" t="s">
        <v>1113</v>
      </c>
      <c r="D244" s="672" t="s">
        <v>1141</v>
      </c>
      <c r="E244" s="672" t="s">
        <v>1142</v>
      </c>
      <c r="F244" s="238">
        <v>2</v>
      </c>
      <c r="G244" s="238">
        <v>3502</v>
      </c>
      <c r="H244" s="238">
        <v>1</v>
      </c>
      <c r="I244" s="238">
        <v>1751</v>
      </c>
      <c r="J244" s="238"/>
      <c r="K244" s="238"/>
      <c r="L244" s="238"/>
      <c r="M244" s="238"/>
      <c r="N244" s="238"/>
      <c r="O244" s="238"/>
      <c r="P244" s="683"/>
      <c r="Q244" s="714"/>
    </row>
    <row r="245" spans="1:17" ht="14.4" customHeight="1" x14ac:dyDescent="0.3">
      <c r="A245" s="681" t="s">
        <v>1251</v>
      </c>
      <c r="B245" s="672" t="s">
        <v>1050</v>
      </c>
      <c r="C245" s="672" t="s">
        <v>1113</v>
      </c>
      <c r="D245" s="672" t="s">
        <v>1145</v>
      </c>
      <c r="E245" s="672" t="s">
        <v>1146</v>
      </c>
      <c r="F245" s="238">
        <v>9</v>
      </c>
      <c r="G245" s="238">
        <v>30879</v>
      </c>
      <c r="H245" s="238">
        <v>1</v>
      </c>
      <c r="I245" s="238">
        <v>3431</v>
      </c>
      <c r="J245" s="238"/>
      <c r="K245" s="238"/>
      <c r="L245" s="238"/>
      <c r="M245" s="238"/>
      <c r="N245" s="238"/>
      <c r="O245" s="238"/>
      <c r="P245" s="683"/>
      <c r="Q245" s="714"/>
    </row>
    <row r="246" spans="1:17" ht="14.4" customHeight="1" x14ac:dyDescent="0.3">
      <c r="A246" s="681" t="s">
        <v>1251</v>
      </c>
      <c r="B246" s="672" t="s">
        <v>1050</v>
      </c>
      <c r="C246" s="672" t="s">
        <v>1113</v>
      </c>
      <c r="D246" s="672" t="s">
        <v>1153</v>
      </c>
      <c r="E246" s="672" t="s">
        <v>1047</v>
      </c>
      <c r="F246" s="238">
        <v>1</v>
      </c>
      <c r="G246" s="238">
        <v>14158</v>
      </c>
      <c r="H246" s="238">
        <v>1</v>
      </c>
      <c r="I246" s="238">
        <v>14158</v>
      </c>
      <c r="J246" s="238"/>
      <c r="K246" s="238"/>
      <c r="L246" s="238"/>
      <c r="M246" s="238"/>
      <c r="N246" s="238"/>
      <c r="O246" s="238"/>
      <c r="P246" s="683"/>
      <c r="Q246" s="714"/>
    </row>
    <row r="247" spans="1:17" ht="14.4" customHeight="1" x14ac:dyDescent="0.3">
      <c r="A247" s="681" t="s">
        <v>1251</v>
      </c>
      <c r="B247" s="672" t="s">
        <v>1050</v>
      </c>
      <c r="C247" s="672" t="s">
        <v>1113</v>
      </c>
      <c r="D247" s="672" t="s">
        <v>1164</v>
      </c>
      <c r="E247" s="672" t="s">
        <v>1165</v>
      </c>
      <c r="F247" s="238">
        <v>1</v>
      </c>
      <c r="G247" s="238">
        <v>2529</v>
      </c>
      <c r="H247" s="238">
        <v>1</v>
      </c>
      <c r="I247" s="238">
        <v>2529</v>
      </c>
      <c r="J247" s="238"/>
      <c r="K247" s="238"/>
      <c r="L247" s="238"/>
      <c r="M247" s="238"/>
      <c r="N247" s="238"/>
      <c r="O247" s="238"/>
      <c r="P247" s="683"/>
      <c r="Q247" s="714"/>
    </row>
    <row r="248" spans="1:17" ht="14.4" customHeight="1" x14ac:dyDescent="0.3">
      <c r="A248" s="681" t="s">
        <v>1252</v>
      </c>
      <c r="B248" s="672" t="s">
        <v>1050</v>
      </c>
      <c r="C248" s="672" t="s">
        <v>1058</v>
      </c>
      <c r="D248" s="672" t="s">
        <v>1061</v>
      </c>
      <c r="E248" s="672" t="s">
        <v>1062</v>
      </c>
      <c r="F248" s="238"/>
      <c r="G248" s="238"/>
      <c r="H248" s="238"/>
      <c r="I248" s="238"/>
      <c r="J248" s="238">
        <v>100</v>
      </c>
      <c r="K248" s="238">
        <v>190</v>
      </c>
      <c r="L248" s="238"/>
      <c r="M248" s="238">
        <v>1.9</v>
      </c>
      <c r="N248" s="238"/>
      <c r="O248" s="238"/>
      <c r="P248" s="683"/>
      <c r="Q248" s="714"/>
    </row>
    <row r="249" spans="1:17" ht="14.4" customHeight="1" x14ac:dyDescent="0.3">
      <c r="A249" s="681" t="s">
        <v>1252</v>
      </c>
      <c r="B249" s="672" t="s">
        <v>1050</v>
      </c>
      <c r="C249" s="672" t="s">
        <v>1058</v>
      </c>
      <c r="D249" s="672" t="s">
        <v>1063</v>
      </c>
      <c r="E249" s="672" t="s">
        <v>1064</v>
      </c>
      <c r="F249" s="238"/>
      <c r="G249" s="238"/>
      <c r="H249" s="238"/>
      <c r="I249" s="238"/>
      <c r="J249" s="238">
        <v>150</v>
      </c>
      <c r="K249" s="238">
        <v>699</v>
      </c>
      <c r="L249" s="238"/>
      <c r="M249" s="238">
        <v>4.66</v>
      </c>
      <c r="N249" s="238">
        <v>300</v>
      </c>
      <c r="O249" s="238">
        <v>1530</v>
      </c>
      <c r="P249" s="683"/>
      <c r="Q249" s="714">
        <v>5.0999999999999996</v>
      </c>
    </row>
    <row r="250" spans="1:17" ht="14.4" customHeight="1" x14ac:dyDescent="0.3">
      <c r="A250" s="681" t="s">
        <v>1252</v>
      </c>
      <c r="B250" s="672" t="s">
        <v>1050</v>
      </c>
      <c r="C250" s="672" t="s">
        <v>1058</v>
      </c>
      <c r="D250" s="672" t="s">
        <v>1069</v>
      </c>
      <c r="E250" s="672" t="s">
        <v>1070</v>
      </c>
      <c r="F250" s="238"/>
      <c r="G250" s="238"/>
      <c r="H250" s="238"/>
      <c r="I250" s="238"/>
      <c r="J250" s="238">
        <v>800</v>
      </c>
      <c r="K250" s="238">
        <v>4424</v>
      </c>
      <c r="L250" s="238"/>
      <c r="M250" s="238">
        <v>5.53</v>
      </c>
      <c r="N250" s="238"/>
      <c r="O250" s="238"/>
      <c r="P250" s="683"/>
      <c r="Q250" s="714"/>
    </row>
    <row r="251" spans="1:17" ht="14.4" customHeight="1" x14ac:dyDescent="0.3">
      <c r="A251" s="681" t="s">
        <v>1252</v>
      </c>
      <c r="B251" s="672" t="s">
        <v>1050</v>
      </c>
      <c r="C251" s="672" t="s">
        <v>1058</v>
      </c>
      <c r="D251" s="672" t="s">
        <v>1085</v>
      </c>
      <c r="E251" s="672" t="s">
        <v>1086</v>
      </c>
      <c r="F251" s="238"/>
      <c r="G251" s="238"/>
      <c r="H251" s="238"/>
      <c r="I251" s="238"/>
      <c r="J251" s="238">
        <v>1</v>
      </c>
      <c r="K251" s="238">
        <v>2261.84</v>
      </c>
      <c r="L251" s="238"/>
      <c r="M251" s="238">
        <v>2261.84</v>
      </c>
      <c r="N251" s="238">
        <v>2</v>
      </c>
      <c r="O251" s="238">
        <v>4390.7</v>
      </c>
      <c r="P251" s="683"/>
      <c r="Q251" s="714">
        <v>2195.35</v>
      </c>
    </row>
    <row r="252" spans="1:17" ht="14.4" customHeight="1" x14ac:dyDescent="0.3">
      <c r="A252" s="681" t="s">
        <v>1252</v>
      </c>
      <c r="B252" s="672" t="s">
        <v>1050</v>
      </c>
      <c r="C252" s="672" t="s">
        <v>1058</v>
      </c>
      <c r="D252" s="672" t="s">
        <v>1089</v>
      </c>
      <c r="E252" s="672" t="s">
        <v>1090</v>
      </c>
      <c r="F252" s="238"/>
      <c r="G252" s="238"/>
      <c r="H252" s="238"/>
      <c r="I252" s="238"/>
      <c r="J252" s="238"/>
      <c r="K252" s="238"/>
      <c r="L252" s="238"/>
      <c r="M252" s="238"/>
      <c r="N252" s="238">
        <v>780</v>
      </c>
      <c r="O252" s="238">
        <v>2542.8000000000002</v>
      </c>
      <c r="P252" s="683"/>
      <c r="Q252" s="714">
        <v>3.2600000000000002</v>
      </c>
    </row>
    <row r="253" spans="1:17" ht="14.4" customHeight="1" x14ac:dyDescent="0.3">
      <c r="A253" s="681" t="s">
        <v>1252</v>
      </c>
      <c r="B253" s="672" t="s">
        <v>1050</v>
      </c>
      <c r="C253" s="672" t="s">
        <v>1113</v>
      </c>
      <c r="D253" s="672" t="s">
        <v>1125</v>
      </c>
      <c r="E253" s="672" t="s">
        <v>1126</v>
      </c>
      <c r="F253" s="238"/>
      <c r="G253" s="238"/>
      <c r="H253" s="238"/>
      <c r="I253" s="238"/>
      <c r="J253" s="238">
        <v>1</v>
      </c>
      <c r="K253" s="238">
        <v>1965</v>
      </c>
      <c r="L253" s="238"/>
      <c r="M253" s="238">
        <v>1965</v>
      </c>
      <c r="N253" s="238"/>
      <c r="O253" s="238"/>
      <c r="P253" s="683"/>
      <c r="Q253" s="714"/>
    </row>
    <row r="254" spans="1:17" ht="14.4" customHeight="1" x14ac:dyDescent="0.3">
      <c r="A254" s="681" t="s">
        <v>1252</v>
      </c>
      <c r="B254" s="672" t="s">
        <v>1050</v>
      </c>
      <c r="C254" s="672" t="s">
        <v>1113</v>
      </c>
      <c r="D254" s="672" t="s">
        <v>1137</v>
      </c>
      <c r="E254" s="672" t="s">
        <v>1138</v>
      </c>
      <c r="F254" s="238"/>
      <c r="G254" s="238"/>
      <c r="H254" s="238"/>
      <c r="I254" s="238"/>
      <c r="J254" s="238">
        <v>1</v>
      </c>
      <c r="K254" s="238">
        <v>654</v>
      </c>
      <c r="L254" s="238"/>
      <c r="M254" s="238">
        <v>654</v>
      </c>
      <c r="N254" s="238">
        <v>2</v>
      </c>
      <c r="O254" s="238">
        <v>1308</v>
      </c>
      <c r="P254" s="683"/>
      <c r="Q254" s="714">
        <v>654</v>
      </c>
    </row>
    <row r="255" spans="1:17" ht="14.4" customHeight="1" x14ac:dyDescent="0.3">
      <c r="A255" s="681" t="s">
        <v>1252</v>
      </c>
      <c r="B255" s="672" t="s">
        <v>1050</v>
      </c>
      <c r="C255" s="672" t="s">
        <v>1113</v>
      </c>
      <c r="D255" s="672" t="s">
        <v>1141</v>
      </c>
      <c r="E255" s="672" t="s">
        <v>1142</v>
      </c>
      <c r="F255" s="238"/>
      <c r="G255" s="238"/>
      <c r="H255" s="238"/>
      <c r="I255" s="238"/>
      <c r="J255" s="238">
        <v>1</v>
      </c>
      <c r="K255" s="238">
        <v>1754</v>
      </c>
      <c r="L255" s="238"/>
      <c r="M255" s="238">
        <v>1754</v>
      </c>
      <c r="N255" s="238">
        <v>2</v>
      </c>
      <c r="O255" s="238">
        <v>3508</v>
      </c>
      <c r="P255" s="683"/>
      <c r="Q255" s="714">
        <v>1754</v>
      </c>
    </row>
    <row r="256" spans="1:17" ht="14.4" customHeight="1" x14ac:dyDescent="0.3">
      <c r="A256" s="681" t="s">
        <v>1252</v>
      </c>
      <c r="B256" s="672" t="s">
        <v>1050</v>
      </c>
      <c r="C256" s="672" t="s">
        <v>1113</v>
      </c>
      <c r="D256" s="672" t="s">
        <v>1158</v>
      </c>
      <c r="E256" s="672" t="s">
        <v>1159</v>
      </c>
      <c r="F256" s="238"/>
      <c r="G256" s="238"/>
      <c r="H256" s="238"/>
      <c r="I256" s="238"/>
      <c r="J256" s="238"/>
      <c r="K256" s="238"/>
      <c r="L256" s="238"/>
      <c r="M256" s="238"/>
      <c r="N256" s="238">
        <v>1</v>
      </c>
      <c r="O256" s="238">
        <v>1286</v>
      </c>
      <c r="P256" s="683"/>
      <c r="Q256" s="714">
        <v>1286</v>
      </c>
    </row>
    <row r="257" spans="1:17" ht="14.4" customHeight="1" x14ac:dyDescent="0.3">
      <c r="A257" s="681" t="s">
        <v>1252</v>
      </c>
      <c r="B257" s="672" t="s">
        <v>1050</v>
      </c>
      <c r="C257" s="672" t="s">
        <v>1113</v>
      </c>
      <c r="D257" s="672" t="s">
        <v>1160</v>
      </c>
      <c r="E257" s="672" t="s">
        <v>1161</v>
      </c>
      <c r="F257" s="238"/>
      <c r="G257" s="238"/>
      <c r="H257" s="238"/>
      <c r="I257" s="238"/>
      <c r="J257" s="238">
        <v>1</v>
      </c>
      <c r="K257" s="238">
        <v>487</v>
      </c>
      <c r="L257" s="238"/>
      <c r="M257" s="238">
        <v>487</v>
      </c>
      <c r="N257" s="238">
        <v>2</v>
      </c>
      <c r="O257" s="238">
        <v>974</v>
      </c>
      <c r="P257" s="683"/>
      <c r="Q257" s="714">
        <v>487</v>
      </c>
    </row>
    <row r="258" spans="1:17" ht="14.4" customHeight="1" x14ac:dyDescent="0.3">
      <c r="A258" s="681" t="s">
        <v>1253</v>
      </c>
      <c r="B258" s="672" t="s">
        <v>1050</v>
      </c>
      <c r="C258" s="672" t="s">
        <v>1051</v>
      </c>
      <c r="D258" s="672" t="s">
        <v>1054</v>
      </c>
      <c r="E258" s="672" t="s">
        <v>634</v>
      </c>
      <c r="F258" s="238"/>
      <c r="G258" s="238"/>
      <c r="H258" s="238"/>
      <c r="I258" s="238"/>
      <c r="J258" s="238">
        <v>0.5</v>
      </c>
      <c r="K258" s="238">
        <v>1092.1600000000001</v>
      </c>
      <c r="L258" s="238"/>
      <c r="M258" s="238">
        <v>2184.3200000000002</v>
      </c>
      <c r="N258" s="238"/>
      <c r="O258" s="238"/>
      <c r="P258" s="683"/>
      <c r="Q258" s="714"/>
    </row>
    <row r="259" spans="1:17" ht="14.4" customHeight="1" x14ac:dyDescent="0.3">
      <c r="A259" s="681" t="s">
        <v>1253</v>
      </c>
      <c r="B259" s="672" t="s">
        <v>1050</v>
      </c>
      <c r="C259" s="672" t="s">
        <v>1058</v>
      </c>
      <c r="D259" s="672" t="s">
        <v>1069</v>
      </c>
      <c r="E259" s="672" t="s">
        <v>1070</v>
      </c>
      <c r="F259" s="238"/>
      <c r="G259" s="238"/>
      <c r="H259" s="238"/>
      <c r="I259" s="238"/>
      <c r="J259" s="238">
        <v>1000</v>
      </c>
      <c r="K259" s="238">
        <v>5530</v>
      </c>
      <c r="L259" s="238"/>
      <c r="M259" s="238">
        <v>5.53</v>
      </c>
      <c r="N259" s="238"/>
      <c r="O259" s="238"/>
      <c r="P259" s="683"/>
      <c r="Q259" s="714"/>
    </row>
    <row r="260" spans="1:17" ht="14.4" customHeight="1" x14ac:dyDescent="0.3">
      <c r="A260" s="681" t="s">
        <v>1253</v>
      </c>
      <c r="B260" s="672" t="s">
        <v>1050</v>
      </c>
      <c r="C260" s="672" t="s">
        <v>1058</v>
      </c>
      <c r="D260" s="672" t="s">
        <v>1081</v>
      </c>
      <c r="E260" s="672" t="s">
        <v>1082</v>
      </c>
      <c r="F260" s="238">
        <v>1611</v>
      </c>
      <c r="G260" s="238">
        <v>25663.230000000003</v>
      </c>
      <c r="H260" s="238">
        <v>1</v>
      </c>
      <c r="I260" s="238">
        <v>15.930000000000001</v>
      </c>
      <c r="J260" s="238">
        <v>2306</v>
      </c>
      <c r="K260" s="238">
        <v>39542.47</v>
      </c>
      <c r="L260" s="238">
        <v>1.5408220243515722</v>
      </c>
      <c r="M260" s="238">
        <v>17.147645273200347</v>
      </c>
      <c r="N260" s="238">
        <v>570</v>
      </c>
      <c r="O260" s="238">
        <v>10898.4</v>
      </c>
      <c r="P260" s="683">
        <v>0.42466984865116347</v>
      </c>
      <c r="Q260" s="714">
        <v>19.12</v>
      </c>
    </row>
    <row r="261" spans="1:17" ht="14.4" customHeight="1" x14ac:dyDescent="0.3">
      <c r="A261" s="681" t="s">
        <v>1253</v>
      </c>
      <c r="B261" s="672" t="s">
        <v>1050</v>
      </c>
      <c r="C261" s="672" t="s">
        <v>1058</v>
      </c>
      <c r="D261" s="672" t="s">
        <v>1089</v>
      </c>
      <c r="E261" s="672" t="s">
        <v>1090</v>
      </c>
      <c r="F261" s="238">
        <v>680</v>
      </c>
      <c r="G261" s="238">
        <v>1999.2</v>
      </c>
      <c r="H261" s="238">
        <v>1</v>
      </c>
      <c r="I261" s="238">
        <v>2.94</v>
      </c>
      <c r="J261" s="238"/>
      <c r="K261" s="238"/>
      <c r="L261" s="238"/>
      <c r="M261" s="238"/>
      <c r="N261" s="238"/>
      <c r="O261" s="238"/>
      <c r="P261" s="683"/>
      <c r="Q261" s="714"/>
    </row>
    <row r="262" spans="1:17" ht="14.4" customHeight="1" x14ac:dyDescent="0.3">
      <c r="A262" s="681" t="s">
        <v>1253</v>
      </c>
      <c r="B262" s="672" t="s">
        <v>1050</v>
      </c>
      <c r="C262" s="672" t="s">
        <v>1058</v>
      </c>
      <c r="D262" s="672" t="s">
        <v>1093</v>
      </c>
      <c r="E262" s="672" t="s">
        <v>1094</v>
      </c>
      <c r="F262" s="238"/>
      <c r="G262" s="238"/>
      <c r="H262" s="238"/>
      <c r="I262" s="238"/>
      <c r="J262" s="238">
        <v>410</v>
      </c>
      <c r="K262" s="238">
        <v>13497.2</v>
      </c>
      <c r="L262" s="238"/>
      <c r="M262" s="238">
        <v>32.92</v>
      </c>
      <c r="N262" s="238">
        <v>367</v>
      </c>
      <c r="O262" s="238">
        <v>12221.1</v>
      </c>
      <c r="P262" s="683"/>
      <c r="Q262" s="714">
        <v>33.300000000000004</v>
      </c>
    </row>
    <row r="263" spans="1:17" ht="14.4" customHeight="1" x14ac:dyDescent="0.3">
      <c r="A263" s="681" t="s">
        <v>1253</v>
      </c>
      <c r="B263" s="672" t="s">
        <v>1050</v>
      </c>
      <c r="C263" s="672" t="s">
        <v>1113</v>
      </c>
      <c r="D263" s="672" t="s">
        <v>1116</v>
      </c>
      <c r="E263" s="672" t="s">
        <v>1117</v>
      </c>
      <c r="F263" s="238"/>
      <c r="G263" s="238"/>
      <c r="H263" s="238"/>
      <c r="I263" s="238"/>
      <c r="J263" s="238">
        <v>1</v>
      </c>
      <c r="K263" s="238">
        <v>420</v>
      </c>
      <c r="L263" s="238"/>
      <c r="M263" s="238">
        <v>420</v>
      </c>
      <c r="N263" s="238"/>
      <c r="O263" s="238"/>
      <c r="P263" s="683"/>
      <c r="Q263" s="714"/>
    </row>
    <row r="264" spans="1:17" ht="14.4" customHeight="1" x14ac:dyDescent="0.3">
      <c r="A264" s="681" t="s">
        <v>1253</v>
      </c>
      <c r="B264" s="672" t="s">
        <v>1050</v>
      </c>
      <c r="C264" s="672" t="s">
        <v>1113</v>
      </c>
      <c r="D264" s="672" t="s">
        <v>1141</v>
      </c>
      <c r="E264" s="672" t="s">
        <v>1142</v>
      </c>
      <c r="F264" s="238">
        <v>4</v>
      </c>
      <c r="G264" s="238">
        <v>7004</v>
      </c>
      <c r="H264" s="238">
        <v>1</v>
      </c>
      <c r="I264" s="238">
        <v>1751</v>
      </c>
      <c r="J264" s="238">
        <v>6</v>
      </c>
      <c r="K264" s="238">
        <v>10524</v>
      </c>
      <c r="L264" s="238">
        <v>1.5025699600228442</v>
      </c>
      <c r="M264" s="238">
        <v>1754</v>
      </c>
      <c r="N264" s="238">
        <v>1</v>
      </c>
      <c r="O264" s="238">
        <v>1754</v>
      </c>
      <c r="P264" s="683">
        <v>0.25042832667047399</v>
      </c>
      <c r="Q264" s="714">
        <v>1754</v>
      </c>
    </row>
    <row r="265" spans="1:17" ht="14.4" customHeight="1" x14ac:dyDescent="0.3">
      <c r="A265" s="681" t="s">
        <v>1253</v>
      </c>
      <c r="B265" s="672" t="s">
        <v>1050</v>
      </c>
      <c r="C265" s="672" t="s">
        <v>1113</v>
      </c>
      <c r="D265" s="672" t="s">
        <v>1143</v>
      </c>
      <c r="E265" s="672" t="s">
        <v>1144</v>
      </c>
      <c r="F265" s="238"/>
      <c r="G265" s="238"/>
      <c r="H265" s="238"/>
      <c r="I265" s="238"/>
      <c r="J265" s="238">
        <v>2</v>
      </c>
      <c r="K265" s="238">
        <v>820</v>
      </c>
      <c r="L265" s="238"/>
      <c r="M265" s="238">
        <v>410</v>
      </c>
      <c r="N265" s="238"/>
      <c r="O265" s="238"/>
      <c r="P265" s="683"/>
      <c r="Q265" s="714"/>
    </row>
    <row r="266" spans="1:17" ht="14.4" customHeight="1" x14ac:dyDescent="0.3">
      <c r="A266" s="681" t="s">
        <v>1253</v>
      </c>
      <c r="B266" s="672" t="s">
        <v>1050</v>
      </c>
      <c r="C266" s="672" t="s">
        <v>1113</v>
      </c>
      <c r="D266" s="672" t="s">
        <v>1147</v>
      </c>
      <c r="E266" s="672" t="s">
        <v>1148</v>
      </c>
      <c r="F266" s="238"/>
      <c r="G266" s="238"/>
      <c r="H266" s="238"/>
      <c r="I266" s="238"/>
      <c r="J266" s="238">
        <v>1</v>
      </c>
      <c r="K266" s="238">
        <v>14328</v>
      </c>
      <c r="L266" s="238"/>
      <c r="M266" s="238">
        <v>14328</v>
      </c>
      <c r="N266" s="238">
        <v>1</v>
      </c>
      <c r="O266" s="238">
        <v>14328</v>
      </c>
      <c r="P266" s="683"/>
      <c r="Q266" s="714">
        <v>14328</v>
      </c>
    </row>
    <row r="267" spans="1:17" ht="14.4" customHeight="1" x14ac:dyDescent="0.3">
      <c r="A267" s="681" t="s">
        <v>1253</v>
      </c>
      <c r="B267" s="672" t="s">
        <v>1050</v>
      </c>
      <c r="C267" s="672" t="s">
        <v>1113</v>
      </c>
      <c r="D267" s="672" t="s">
        <v>1153</v>
      </c>
      <c r="E267" s="672" t="s">
        <v>1047</v>
      </c>
      <c r="F267" s="238">
        <v>2</v>
      </c>
      <c r="G267" s="238">
        <v>28316</v>
      </c>
      <c r="H267" s="238">
        <v>1</v>
      </c>
      <c r="I267" s="238">
        <v>14158</v>
      </c>
      <c r="J267" s="238"/>
      <c r="K267" s="238"/>
      <c r="L267" s="238"/>
      <c r="M267" s="238"/>
      <c r="N267" s="238"/>
      <c r="O267" s="238"/>
      <c r="P267" s="683"/>
      <c r="Q267" s="714"/>
    </row>
    <row r="268" spans="1:17" ht="14.4" customHeight="1" x14ac:dyDescent="0.3">
      <c r="A268" s="681" t="s">
        <v>1253</v>
      </c>
      <c r="B268" s="672" t="s">
        <v>1050</v>
      </c>
      <c r="C268" s="672" t="s">
        <v>1113</v>
      </c>
      <c r="D268" s="672" t="s">
        <v>1158</v>
      </c>
      <c r="E268" s="672" t="s">
        <v>1159</v>
      </c>
      <c r="F268" s="238">
        <v>1</v>
      </c>
      <c r="G268" s="238">
        <v>1283</v>
      </c>
      <c r="H268" s="238">
        <v>1</v>
      </c>
      <c r="I268" s="238">
        <v>1283</v>
      </c>
      <c r="J268" s="238"/>
      <c r="K268" s="238"/>
      <c r="L268" s="238"/>
      <c r="M268" s="238"/>
      <c r="N268" s="238"/>
      <c r="O268" s="238"/>
      <c r="P268" s="683"/>
      <c r="Q268" s="714"/>
    </row>
    <row r="269" spans="1:17" ht="14.4" customHeight="1" x14ac:dyDescent="0.3">
      <c r="A269" s="681" t="s">
        <v>1253</v>
      </c>
      <c r="B269" s="672" t="s">
        <v>1050</v>
      </c>
      <c r="C269" s="672" t="s">
        <v>1113</v>
      </c>
      <c r="D269" s="672" t="s">
        <v>1162</v>
      </c>
      <c r="E269" s="672" t="s">
        <v>1163</v>
      </c>
      <c r="F269" s="238">
        <v>3</v>
      </c>
      <c r="G269" s="238">
        <v>6708</v>
      </c>
      <c r="H269" s="238">
        <v>1</v>
      </c>
      <c r="I269" s="238">
        <v>2236</v>
      </c>
      <c r="J269" s="238">
        <v>4</v>
      </c>
      <c r="K269" s="238">
        <v>8968</v>
      </c>
      <c r="L269" s="238">
        <v>1.3369111508646392</v>
      </c>
      <c r="M269" s="238">
        <v>2242</v>
      </c>
      <c r="N269" s="238">
        <v>1</v>
      </c>
      <c r="O269" s="238">
        <v>2242</v>
      </c>
      <c r="P269" s="683">
        <v>0.3342277877161598</v>
      </c>
      <c r="Q269" s="714">
        <v>2242</v>
      </c>
    </row>
    <row r="270" spans="1:17" ht="14.4" customHeight="1" x14ac:dyDescent="0.3">
      <c r="A270" s="681" t="s">
        <v>1254</v>
      </c>
      <c r="B270" s="672" t="s">
        <v>1050</v>
      </c>
      <c r="C270" s="672" t="s">
        <v>1051</v>
      </c>
      <c r="D270" s="672" t="s">
        <v>1053</v>
      </c>
      <c r="E270" s="672" t="s">
        <v>634</v>
      </c>
      <c r="F270" s="238"/>
      <c r="G270" s="238"/>
      <c r="H270" s="238"/>
      <c r="I270" s="238"/>
      <c r="J270" s="238">
        <v>0.8</v>
      </c>
      <c r="K270" s="238">
        <v>873.72</v>
      </c>
      <c r="L270" s="238"/>
      <c r="M270" s="238">
        <v>1092.1499999999999</v>
      </c>
      <c r="N270" s="238">
        <v>0.60000000000000009</v>
      </c>
      <c r="O270" s="238">
        <v>655.29</v>
      </c>
      <c r="P270" s="683"/>
      <c r="Q270" s="714">
        <v>1092.1499999999999</v>
      </c>
    </row>
    <row r="271" spans="1:17" ht="14.4" customHeight="1" x14ac:dyDescent="0.3">
      <c r="A271" s="681" t="s">
        <v>1254</v>
      </c>
      <c r="B271" s="672" t="s">
        <v>1050</v>
      </c>
      <c r="C271" s="672" t="s">
        <v>1051</v>
      </c>
      <c r="D271" s="672" t="s">
        <v>1054</v>
      </c>
      <c r="E271" s="672" t="s">
        <v>634</v>
      </c>
      <c r="F271" s="238">
        <v>1.5</v>
      </c>
      <c r="G271" s="238">
        <v>3248</v>
      </c>
      <c r="H271" s="238">
        <v>1</v>
      </c>
      <c r="I271" s="238">
        <v>2165.3333333333335</v>
      </c>
      <c r="J271" s="238">
        <v>6.9</v>
      </c>
      <c r="K271" s="238">
        <v>15071.780000000002</v>
      </c>
      <c r="L271" s="238">
        <v>4.6403263546798037</v>
      </c>
      <c r="M271" s="238">
        <v>2184.3159420289858</v>
      </c>
      <c r="N271" s="238">
        <v>6.7000000000000011</v>
      </c>
      <c r="O271" s="238">
        <v>14634.91</v>
      </c>
      <c r="P271" s="683">
        <v>4.505822044334975</v>
      </c>
      <c r="Q271" s="714">
        <v>2184.314925373134</v>
      </c>
    </row>
    <row r="272" spans="1:17" ht="14.4" customHeight="1" x14ac:dyDescent="0.3">
      <c r="A272" s="681" t="s">
        <v>1254</v>
      </c>
      <c r="B272" s="672" t="s">
        <v>1050</v>
      </c>
      <c r="C272" s="672" t="s">
        <v>1051</v>
      </c>
      <c r="D272" s="672" t="s">
        <v>1055</v>
      </c>
      <c r="E272" s="672" t="s">
        <v>630</v>
      </c>
      <c r="F272" s="238">
        <v>0.15</v>
      </c>
      <c r="G272" s="238">
        <v>140.49</v>
      </c>
      <c r="H272" s="238">
        <v>1</v>
      </c>
      <c r="I272" s="238">
        <v>936.60000000000014</v>
      </c>
      <c r="J272" s="238">
        <v>0.39999999999999997</v>
      </c>
      <c r="K272" s="238">
        <v>377.92</v>
      </c>
      <c r="L272" s="238">
        <v>2.6900135240942413</v>
      </c>
      <c r="M272" s="238">
        <v>944.80000000000007</v>
      </c>
      <c r="N272" s="238">
        <v>0.75</v>
      </c>
      <c r="O272" s="238">
        <v>708.6</v>
      </c>
      <c r="P272" s="683">
        <v>5.0437753576767026</v>
      </c>
      <c r="Q272" s="714">
        <v>944.80000000000007</v>
      </c>
    </row>
    <row r="273" spans="1:17" ht="14.4" customHeight="1" x14ac:dyDescent="0.3">
      <c r="A273" s="681" t="s">
        <v>1254</v>
      </c>
      <c r="B273" s="672" t="s">
        <v>1050</v>
      </c>
      <c r="C273" s="672" t="s">
        <v>1058</v>
      </c>
      <c r="D273" s="672" t="s">
        <v>1071</v>
      </c>
      <c r="E273" s="672" t="s">
        <v>1072</v>
      </c>
      <c r="F273" s="238"/>
      <c r="G273" s="238"/>
      <c r="H273" s="238"/>
      <c r="I273" s="238"/>
      <c r="J273" s="238">
        <v>130</v>
      </c>
      <c r="K273" s="238">
        <v>1028.3</v>
      </c>
      <c r="L273" s="238"/>
      <c r="M273" s="238">
        <v>7.9099999999999993</v>
      </c>
      <c r="N273" s="238"/>
      <c r="O273" s="238"/>
      <c r="P273" s="683"/>
      <c r="Q273" s="714"/>
    </row>
    <row r="274" spans="1:17" ht="14.4" customHeight="1" x14ac:dyDescent="0.3">
      <c r="A274" s="681" t="s">
        <v>1254</v>
      </c>
      <c r="B274" s="672" t="s">
        <v>1050</v>
      </c>
      <c r="C274" s="672" t="s">
        <v>1058</v>
      </c>
      <c r="D274" s="672" t="s">
        <v>1255</v>
      </c>
      <c r="E274" s="672" t="s">
        <v>1256</v>
      </c>
      <c r="F274" s="238">
        <v>8</v>
      </c>
      <c r="G274" s="238">
        <v>18100.96</v>
      </c>
      <c r="H274" s="238">
        <v>1</v>
      </c>
      <c r="I274" s="238">
        <v>2262.62</v>
      </c>
      <c r="J274" s="238"/>
      <c r="K274" s="238"/>
      <c r="L274" s="238"/>
      <c r="M274" s="238"/>
      <c r="N274" s="238"/>
      <c r="O274" s="238"/>
      <c r="P274" s="683"/>
      <c r="Q274" s="714"/>
    </row>
    <row r="275" spans="1:17" ht="14.4" customHeight="1" x14ac:dyDescent="0.3">
      <c r="A275" s="681" t="s">
        <v>1254</v>
      </c>
      <c r="B275" s="672" t="s">
        <v>1050</v>
      </c>
      <c r="C275" s="672" t="s">
        <v>1058</v>
      </c>
      <c r="D275" s="672" t="s">
        <v>1089</v>
      </c>
      <c r="E275" s="672" t="s">
        <v>1090</v>
      </c>
      <c r="F275" s="238">
        <v>654</v>
      </c>
      <c r="G275" s="238">
        <v>1922.76</v>
      </c>
      <c r="H275" s="238">
        <v>1</v>
      </c>
      <c r="I275" s="238">
        <v>2.94</v>
      </c>
      <c r="J275" s="238">
        <v>647</v>
      </c>
      <c r="K275" s="238">
        <v>2018.64</v>
      </c>
      <c r="L275" s="238">
        <v>1.0498658178867879</v>
      </c>
      <c r="M275" s="238">
        <v>3.12</v>
      </c>
      <c r="N275" s="238"/>
      <c r="O275" s="238"/>
      <c r="P275" s="683"/>
      <c r="Q275" s="714"/>
    </row>
    <row r="276" spans="1:17" ht="14.4" customHeight="1" x14ac:dyDescent="0.3">
      <c r="A276" s="681" t="s">
        <v>1254</v>
      </c>
      <c r="B276" s="672" t="s">
        <v>1050</v>
      </c>
      <c r="C276" s="672" t="s">
        <v>1058</v>
      </c>
      <c r="D276" s="672" t="s">
        <v>1093</v>
      </c>
      <c r="E276" s="672" t="s">
        <v>1094</v>
      </c>
      <c r="F276" s="238">
        <v>1276</v>
      </c>
      <c r="G276" s="238">
        <v>39709.119999999995</v>
      </c>
      <c r="H276" s="238">
        <v>1</v>
      </c>
      <c r="I276" s="238">
        <v>31.119999999999997</v>
      </c>
      <c r="J276" s="238">
        <v>6438</v>
      </c>
      <c r="K276" s="238">
        <v>212665.21</v>
      </c>
      <c r="L276" s="238">
        <v>5.3555759986622729</v>
      </c>
      <c r="M276" s="238">
        <v>33.032806772289533</v>
      </c>
      <c r="N276" s="238">
        <v>7786</v>
      </c>
      <c r="O276" s="238">
        <v>259273.8</v>
      </c>
      <c r="P276" s="683">
        <v>6.529326260566843</v>
      </c>
      <c r="Q276" s="714">
        <v>33.299999999999997</v>
      </c>
    </row>
    <row r="277" spans="1:17" ht="14.4" customHeight="1" x14ac:dyDescent="0.3">
      <c r="A277" s="681" t="s">
        <v>1254</v>
      </c>
      <c r="B277" s="672" t="s">
        <v>1050</v>
      </c>
      <c r="C277" s="672" t="s">
        <v>1110</v>
      </c>
      <c r="D277" s="672" t="s">
        <v>1111</v>
      </c>
      <c r="E277" s="672" t="s">
        <v>1112</v>
      </c>
      <c r="F277" s="238"/>
      <c r="G277" s="238"/>
      <c r="H277" s="238"/>
      <c r="I277" s="238"/>
      <c r="J277" s="238"/>
      <c r="K277" s="238"/>
      <c r="L277" s="238"/>
      <c r="M277" s="238"/>
      <c r="N277" s="238">
        <v>12</v>
      </c>
      <c r="O277" s="238">
        <v>10611.84</v>
      </c>
      <c r="P277" s="683"/>
      <c r="Q277" s="714">
        <v>884.32</v>
      </c>
    </row>
    <row r="278" spans="1:17" ht="14.4" customHeight="1" x14ac:dyDescent="0.3">
      <c r="A278" s="681" t="s">
        <v>1254</v>
      </c>
      <c r="B278" s="672" t="s">
        <v>1050</v>
      </c>
      <c r="C278" s="672" t="s">
        <v>1113</v>
      </c>
      <c r="D278" s="672" t="s">
        <v>1129</v>
      </c>
      <c r="E278" s="672" t="s">
        <v>1130</v>
      </c>
      <c r="F278" s="238"/>
      <c r="G278" s="238"/>
      <c r="H278" s="238"/>
      <c r="I278" s="238"/>
      <c r="J278" s="238">
        <v>1</v>
      </c>
      <c r="K278" s="238">
        <v>1383</v>
      </c>
      <c r="L278" s="238"/>
      <c r="M278" s="238">
        <v>1383</v>
      </c>
      <c r="N278" s="238"/>
      <c r="O278" s="238"/>
      <c r="P278" s="683"/>
      <c r="Q278" s="714"/>
    </row>
    <row r="279" spans="1:17" ht="14.4" customHeight="1" x14ac:dyDescent="0.3">
      <c r="A279" s="681" t="s">
        <v>1254</v>
      </c>
      <c r="B279" s="672" t="s">
        <v>1050</v>
      </c>
      <c r="C279" s="672" t="s">
        <v>1113</v>
      </c>
      <c r="D279" s="672" t="s">
        <v>1257</v>
      </c>
      <c r="E279" s="672" t="s">
        <v>1258</v>
      </c>
      <c r="F279" s="238">
        <v>2</v>
      </c>
      <c r="G279" s="238">
        <v>2384</v>
      </c>
      <c r="H279" s="238">
        <v>1</v>
      </c>
      <c r="I279" s="238">
        <v>1192</v>
      </c>
      <c r="J279" s="238"/>
      <c r="K279" s="238"/>
      <c r="L279" s="238"/>
      <c r="M279" s="238"/>
      <c r="N279" s="238"/>
      <c r="O279" s="238"/>
      <c r="P279" s="683"/>
      <c r="Q279" s="714"/>
    </row>
    <row r="280" spans="1:17" ht="14.4" customHeight="1" x14ac:dyDescent="0.3">
      <c r="A280" s="681" t="s">
        <v>1254</v>
      </c>
      <c r="B280" s="672" t="s">
        <v>1050</v>
      </c>
      <c r="C280" s="672" t="s">
        <v>1113</v>
      </c>
      <c r="D280" s="672" t="s">
        <v>1133</v>
      </c>
      <c r="E280" s="672" t="s">
        <v>1134</v>
      </c>
      <c r="F280" s="238"/>
      <c r="G280" s="238"/>
      <c r="H280" s="238"/>
      <c r="I280" s="238"/>
      <c r="J280" s="238">
        <v>1</v>
      </c>
      <c r="K280" s="238">
        <v>1169</v>
      </c>
      <c r="L280" s="238"/>
      <c r="M280" s="238">
        <v>1169</v>
      </c>
      <c r="N280" s="238"/>
      <c r="O280" s="238"/>
      <c r="P280" s="683"/>
      <c r="Q280" s="714"/>
    </row>
    <row r="281" spans="1:17" ht="14.4" customHeight="1" x14ac:dyDescent="0.3">
      <c r="A281" s="681" t="s">
        <v>1254</v>
      </c>
      <c r="B281" s="672" t="s">
        <v>1050</v>
      </c>
      <c r="C281" s="672" t="s">
        <v>1113</v>
      </c>
      <c r="D281" s="672" t="s">
        <v>1141</v>
      </c>
      <c r="E281" s="672" t="s">
        <v>1142</v>
      </c>
      <c r="F281" s="238">
        <v>2</v>
      </c>
      <c r="G281" s="238">
        <v>3502</v>
      </c>
      <c r="H281" s="238">
        <v>1</v>
      </c>
      <c r="I281" s="238">
        <v>1751</v>
      </c>
      <c r="J281" s="238">
        <v>1</v>
      </c>
      <c r="K281" s="238">
        <v>1754</v>
      </c>
      <c r="L281" s="238">
        <v>0.50085665334094798</v>
      </c>
      <c r="M281" s="238">
        <v>1754</v>
      </c>
      <c r="N281" s="238"/>
      <c r="O281" s="238"/>
      <c r="P281" s="683"/>
      <c r="Q281" s="714"/>
    </row>
    <row r="282" spans="1:17" ht="14.4" customHeight="1" x14ac:dyDescent="0.3">
      <c r="A282" s="681" t="s">
        <v>1254</v>
      </c>
      <c r="B282" s="672" t="s">
        <v>1050</v>
      </c>
      <c r="C282" s="672" t="s">
        <v>1113</v>
      </c>
      <c r="D282" s="672" t="s">
        <v>1147</v>
      </c>
      <c r="E282" s="672" t="s">
        <v>1148</v>
      </c>
      <c r="F282" s="238"/>
      <c r="G282" s="238"/>
      <c r="H282" s="238"/>
      <c r="I282" s="238"/>
      <c r="J282" s="238">
        <v>15</v>
      </c>
      <c r="K282" s="238">
        <v>214920</v>
      </c>
      <c r="L282" s="238"/>
      <c r="M282" s="238">
        <v>14328</v>
      </c>
      <c r="N282" s="238">
        <v>18</v>
      </c>
      <c r="O282" s="238">
        <v>257904</v>
      </c>
      <c r="P282" s="683"/>
      <c r="Q282" s="714">
        <v>14328</v>
      </c>
    </row>
    <row r="283" spans="1:17" ht="14.4" customHeight="1" x14ac:dyDescent="0.3">
      <c r="A283" s="681" t="s">
        <v>1254</v>
      </c>
      <c r="B283" s="672" t="s">
        <v>1050</v>
      </c>
      <c r="C283" s="672" t="s">
        <v>1113</v>
      </c>
      <c r="D283" s="672" t="s">
        <v>1153</v>
      </c>
      <c r="E283" s="672" t="s">
        <v>1047</v>
      </c>
      <c r="F283" s="238">
        <v>12</v>
      </c>
      <c r="G283" s="238">
        <v>169896</v>
      </c>
      <c r="H283" s="238">
        <v>1</v>
      </c>
      <c r="I283" s="238">
        <v>14158</v>
      </c>
      <c r="J283" s="238"/>
      <c r="K283" s="238"/>
      <c r="L283" s="238"/>
      <c r="M283" s="238"/>
      <c r="N283" s="238"/>
      <c r="O283" s="238"/>
      <c r="P283" s="683"/>
      <c r="Q283" s="714"/>
    </row>
    <row r="284" spans="1:17" ht="14.4" customHeight="1" x14ac:dyDescent="0.3">
      <c r="A284" s="681" t="s">
        <v>1254</v>
      </c>
      <c r="B284" s="672" t="s">
        <v>1050</v>
      </c>
      <c r="C284" s="672" t="s">
        <v>1113</v>
      </c>
      <c r="D284" s="672" t="s">
        <v>1158</v>
      </c>
      <c r="E284" s="672" t="s">
        <v>1159</v>
      </c>
      <c r="F284" s="238">
        <v>1</v>
      </c>
      <c r="G284" s="238">
        <v>1283</v>
      </c>
      <c r="H284" s="238">
        <v>1</v>
      </c>
      <c r="I284" s="238">
        <v>1283</v>
      </c>
      <c r="J284" s="238">
        <v>1</v>
      </c>
      <c r="K284" s="238">
        <v>1286</v>
      </c>
      <c r="L284" s="238">
        <v>1.0023382696804364</v>
      </c>
      <c r="M284" s="238">
        <v>1286</v>
      </c>
      <c r="N284" s="238"/>
      <c r="O284" s="238"/>
      <c r="P284" s="683"/>
      <c r="Q284" s="714"/>
    </row>
    <row r="285" spans="1:17" ht="14.4" customHeight="1" x14ac:dyDescent="0.3">
      <c r="A285" s="681" t="s">
        <v>1259</v>
      </c>
      <c r="B285" s="672" t="s">
        <v>1050</v>
      </c>
      <c r="C285" s="672" t="s">
        <v>1058</v>
      </c>
      <c r="D285" s="672" t="s">
        <v>1069</v>
      </c>
      <c r="E285" s="672" t="s">
        <v>1070</v>
      </c>
      <c r="F285" s="238"/>
      <c r="G285" s="238"/>
      <c r="H285" s="238"/>
      <c r="I285" s="238"/>
      <c r="J285" s="238"/>
      <c r="K285" s="238"/>
      <c r="L285" s="238"/>
      <c r="M285" s="238"/>
      <c r="N285" s="238">
        <v>1000</v>
      </c>
      <c r="O285" s="238">
        <v>5550</v>
      </c>
      <c r="P285" s="683"/>
      <c r="Q285" s="714">
        <v>5.55</v>
      </c>
    </row>
    <row r="286" spans="1:17" ht="14.4" customHeight="1" x14ac:dyDescent="0.3">
      <c r="A286" s="681" t="s">
        <v>1259</v>
      </c>
      <c r="B286" s="672" t="s">
        <v>1050</v>
      </c>
      <c r="C286" s="672" t="s">
        <v>1113</v>
      </c>
      <c r="D286" s="672" t="s">
        <v>1116</v>
      </c>
      <c r="E286" s="672" t="s">
        <v>1117</v>
      </c>
      <c r="F286" s="238"/>
      <c r="G286" s="238"/>
      <c r="H286" s="238"/>
      <c r="I286" s="238"/>
      <c r="J286" s="238"/>
      <c r="K286" s="238"/>
      <c r="L286" s="238"/>
      <c r="M286" s="238"/>
      <c r="N286" s="238">
        <v>1</v>
      </c>
      <c r="O286" s="238">
        <v>420</v>
      </c>
      <c r="P286" s="683"/>
      <c r="Q286" s="714">
        <v>420</v>
      </c>
    </row>
    <row r="287" spans="1:17" ht="14.4" customHeight="1" x14ac:dyDescent="0.3">
      <c r="A287" s="681" t="s">
        <v>1259</v>
      </c>
      <c r="B287" s="672" t="s">
        <v>1050</v>
      </c>
      <c r="C287" s="672" t="s">
        <v>1113</v>
      </c>
      <c r="D287" s="672" t="s">
        <v>1118</v>
      </c>
      <c r="E287" s="672" t="s">
        <v>1119</v>
      </c>
      <c r="F287" s="238"/>
      <c r="G287" s="238"/>
      <c r="H287" s="238"/>
      <c r="I287" s="238"/>
      <c r="J287" s="238">
        <v>1</v>
      </c>
      <c r="K287" s="238">
        <v>163</v>
      </c>
      <c r="L287" s="238"/>
      <c r="M287" s="238">
        <v>163</v>
      </c>
      <c r="N287" s="238"/>
      <c r="O287" s="238"/>
      <c r="P287" s="683"/>
      <c r="Q287" s="714"/>
    </row>
    <row r="288" spans="1:17" ht="14.4" customHeight="1" x14ac:dyDescent="0.3">
      <c r="A288" s="681" t="s">
        <v>1259</v>
      </c>
      <c r="B288" s="672" t="s">
        <v>1050</v>
      </c>
      <c r="C288" s="672" t="s">
        <v>1113</v>
      </c>
      <c r="D288" s="672" t="s">
        <v>1141</v>
      </c>
      <c r="E288" s="672" t="s">
        <v>1142</v>
      </c>
      <c r="F288" s="238"/>
      <c r="G288" s="238"/>
      <c r="H288" s="238"/>
      <c r="I288" s="238"/>
      <c r="J288" s="238"/>
      <c r="K288" s="238"/>
      <c r="L288" s="238"/>
      <c r="M288" s="238"/>
      <c r="N288" s="238">
        <v>2</v>
      </c>
      <c r="O288" s="238">
        <v>3508</v>
      </c>
      <c r="P288" s="683"/>
      <c r="Q288" s="714">
        <v>1754</v>
      </c>
    </row>
    <row r="289" spans="1:17" ht="14.4" customHeight="1" thickBot="1" x14ac:dyDescent="0.35">
      <c r="A289" s="637" t="s">
        <v>1259</v>
      </c>
      <c r="B289" s="674" t="s">
        <v>1050</v>
      </c>
      <c r="C289" s="674" t="s">
        <v>1113</v>
      </c>
      <c r="D289" s="674" t="s">
        <v>1143</v>
      </c>
      <c r="E289" s="674" t="s">
        <v>1144</v>
      </c>
      <c r="F289" s="675"/>
      <c r="G289" s="675"/>
      <c r="H289" s="675"/>
      <c r="I289" s="675"/>
      <c r="J289" s="675"/>
      <c r="K289" s="675"/>
      <c r="L289" s="675"/>
      <c r="M289" s="675"/>
      <c r="N289" s="675">
        <v>2</v>
      </c>
      <c r="O289" s="675">
        <v>820</v>
      </c>
      <c r="P289" s="684"/>
      <c r="Q289" s="715">
        <v>410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2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7" customWidth="1"/>
    <col min="2" max="4" width="7.88671875" style="367" customWidth="1"/>
    <col min="5" max="5" width="7.88671875" style="376" customWidth="1"/>
    <col min="6" max="8" width="7.88671875" style="367" customWidth="1"/>
    <col min="9" max="9" width="7.88671875" style="377" customWidth="1"/>
    <col min="10" max="13" width="7.88671875" style="367" customWidth="1"/>
    <col min="14" max="16384" width="9.33203125" style="367"/>
  </cols>
  <sheetData>
    <row r="1" spans="1:13" ht="18.600000000000001" customHeight="1" thickBot="1" x14ac:dyDescent="0.4">
      <c r="A1" s="549" t="s">
        <v>139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89" t="s">
        <v>298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4.4" customHeight="1" thickBot="1" x14ac:dyDescent="0.35">
      <c r="A3" s="550" t="s">
        <v>73</v>
      </c>
      <c r="B3" s="529" t="s">
        <v>74</v>
      </c>
      <c r="C3" s="530"/>
      <c r="D3" s="530"/>
      <c r="E3" s="531"/>
      <c r="F3" s="529" t="s">
        <v>242</v>
      </c>
      <c r="G3" s="530"/>
      <c r="H3" s="530"/>
      <c r="I3" s="531"/>
      <c r="J3" s="123"/>
      <c r="K3" s="124"/>
      <c r="L3" s="123"/>
      <c r="M3" s="125"/>
    </row>
    <row r="4" spans="1:13" ht="14.4" customHeight="1" thickBot="1" x14ac:dyDescent="0.35">
      <c r="A4" s="551"/>
      <c r="B4" s="126">
        <v>2012</v>
      </c>
      <c r="C4" s="127">
        <v>2013</v>
      </c>
      <c r="D4" s="127">
        <v>2014</v>
      </c>
      <c r="E4" s="128" t="s">
        <v>5</v>
      </c>
      <c r="F4" s="127">
        <v>2012</v>
      </c>
      <c r="G4" s="127">
        <v>2013</v>
      </c>
      <c r="H4" s="127">
        <v>2014</v>
      </c>
      <c r="I4" s="128" t="s">
        <v>5</v>
      </c>
      <c r="J4" s="123"/>
      <c r="K4" s="123"/>
      <c r="L4" s="129" t="s">
        <v>75</v>
      </c>
      <c r="M4" s="130" t="s">
        <v>76</v>
      </c>
    </row>
    <row r="5" spans="1:13" ht="14.4" hidden="1" customHeight="1" outlineLevel="1" x14ac:dyDescent="0.3">
      <c r="A5" s="118" t="s">
        <v>172</v>
      </c>
      <c r="B5" s="121">
        <v>31.038</v>
      </c>
      <c r="C5" s="114">
        <v>29.35</v>
      </c>
      <c r="D5" s="114">
        <v>18.154</v>
      </c>
      <c r="E5" s="131">
        <v>0.58489593401636708</v>
      </c>
      <c r="F5" s="132">
        <v>27</v>
      </c>
      <c r="G5" s="114">
        <v>30</v>
      </c>
      <c r="H5" s="114">
        <v>20</v>
      </c>
      <c r="I5" s="133">
        <v>0.7407407407407407</v>
      </c>
      <c r="J5" s="123"/>
      <c r="K5" s="123"/>
      <c r="L5" s="7">
        <f>D5-B5</f>
        <v>-12.884</v>
      </c>
      <c r="M5" s="8">
        <f>H5-F5</f>
        <v>-7</v>
      </c>
    </row>
    <row r="6" spans="1:13" ht="14.4" hidden="1" customHeight="1" outlineLevel="1" x14ac:dyDescent="0.3">
      <c r="A6" s="119" t="s">
        <v>173</v>
      </c>
      <c r="B6" s="122">
        <v>4.6079999999999997</v>
      </c>
      <c r="C6" s="113">
        <v>3.226</v>
      </c>
      <c r="D6" s="113">
        <v>3.028</v>
      </c>
      <c r="E6" s="134">
        <v>0.65711805555555558</v>
      </c>
      <c r="F6" s="135">
        <v>4</v>
      </c>
      <c r="G6" s="113">
        <v>3</v>
      </c>
      <c r="H6" s="113">
        <v>5</v>
      </c>
      <c r="I6" s="136">
        <v>1.25</v>
      </c>
      <c r="J6" s="123"/>
      <c r="K6" s="123"/>
      <c r="L6" s="5">
        <f t="shared" ref="L6:L11" si="0">D6-B6</f>
        <v>-1.5799999999999996</v>
      </c>
      <c r="M6" s="6">
        <f t="shared" ref="M6:M13" si="1">H6-F6</f>
        <v>1</v>
      </c>
    </row>
    <row r="7" spans="1:13" ht="14.4" hidden="1" customHeight="1" outlineLevel="1" x14ac:dyDescent="0.3">
      <c r="A7" s="119" t="s">
        <v>174</v>
      </c>
      <c r="B7" s="122">
        <v>34.942999999999998</v>
      </c>
      <c r="C7" s="113">
        <v>14.634</v>
      </c>
      <c r="D7" s="113">
        <v>17.553000000000001</v>
      </c>
      <c r="E7" s="134">
        <v>0.50233236985948548</v>
      </c>
      <c r="F7" s="135">
        <v>27</v>
      </c>
      <c r="G7" s="113">
        <v>12</v>
      </c>
      <c r="H7" s="113">
        <v>18</v>
      </c>
      <c r="I7" s="136">
        <v>0.66666666666666663</v>
      </c>
      <c r="J7" s="123"/>
      <c r="K7" s="123"/>
      <c r="L7" s="5">
        <f t="shared" si="0"/>
        <v>-17.389999999999997</v>
      </c>
      <c r="M7" s="6">
        <f t="shared" si="1"/>
        <v>-9</v>
      </c>
    </row>
    <row r="8" spans="1:13" ht="14.4" hidden="1" customHeight="1" outlineLevel="1" x14ac:dyDescent="0.3">
      <c r="A8" s="119" t="s">
        <v>175</v>
      </c>
      <c r="B8" s="122">
        <v>1.6319999999999999</v>
      </c>
      <c r="C8" s="113">
        <v>0.39700000000000002</v>
      </c>
      <c r="D8" s="113">
        <v>0.40799999999999997</v>
      </c>
      <c r="E8" s="134">
        <v>0.25</v>
      </c>
      <c r="F8" s="135">
        <v>2</v>
      </c>
      <c r="G8" s="113">
        <v>1</v>
      </c>
      <c r="H8" s="113">
        <v>1</v>
      </c>
      <c r="I8" s="136">
        <v>0.5</v>
      </c>
      <c r="J8" s="123"/>
      <c r="K8" s="123"/>
      <c r="L8" s="5">
        <f t="shared" si="0"/>
        <v>-1.224</v>
      </c>
      <c r="M8" s="6">
        <f t="shared" si="1"/>
        <v>-1</v>
      </c>
    </row>
    <row r="9" spans="1:13" ht="14.4" hidden="1" customHeight="1" outlineLevel="1" x14ac:dyDescent="0.3">
      <c r="A9" s="119" t="s">
        <v>176</v>
      </c>
      <c r="B9" s="122">
        <v>0</v>
      </c>
      <c r="C9" s="113">
        <v>0</v>
      </c>
      <c r="D9" s="113">
        <v>0</v>
      </c>
      <c r="E9" s="134" t="s">
        <v>484</v>
      </c>
      <c r="F9" s="135">
        <v>0</v>
      </c>
      <c r="G9" s="113">
        <v>0</v>
      </c>
      <c r="H9" s="113">
        <v>0</v>
      </c>
      <c r="I9" s="136" t="s">
        <v>484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177</v>
      </c>
      <c r="B10" s="122">
        <v>3.2639999999999998</v>
      </c>
      <c r="C10" s="113">
        <v>7.01</v>
      </c>
      <c r="D10" s="113">
        <v>1.6319999999999999</v>
      </c>
      <c r="E10" s="134">
        <v>0.5</v>
      </c>
      <c r="F10" s="135">
        <v>4</v>
      </c>
      <c r="G10" s="113">
        <v>8</v>
      </c>
      <c r="H10" s="113">
        <v>4</v>
      </c>
      <c r="I10" s="136">
        <v>1</v>
      </c>
      <c r="J10" s="123"/>
      <c r="K10" s="123"/>
      <c r="L10" s="5">
        <f t="shared" si="0"/>
        <v>-1.6319999999999999</v>
      </c>
      <c r="M10" s="6">
        <f t="shared" si="1"/>
        <v>0</v>
      </c>
    </row>
    <row r="11" spans="1:13" ht="14.4" hidden="1" customHeight="1" outlineLevel="1" x14ac:dyDescent="0.3">
      <c r="A11" s="119" t="s">
        <v>178</v>
      </c>
      <c r="B11" s="122">
        <v>1.1080000000000001</v>
      </c>
      <c r="C11" s="113">
        <v>0.39700000000000002</v>
      </c>
      <c r="D11" s="113">
        <v>0</v>
      </c>
      <c r="E11" s="134" t="s">
        <v>484</v>
      </c>
      <c r="F11" s="135">
        <v>1</v>
      </c>
      <c r="G11" s="113">
        <v>1</v>
      </c>
      <c r="H11" s="113">
        <v>0</v>
      </c>
      <c r="I11" s="136" t="s">
        <v>484</v>
      </c>
      <c r="J11" s="123"/>
      <c r="K11" s="123"/>
      <c r="L11" s="5">
        <f t="shared" si="0"/>
        <v>-1.1080000000000001</v>
      </c>
      <c r="M11" s="6">
        <f t="shared" si="1"/>
        <v>-1</v>
      </c>
    </row>
    <row r="12" spans="1:13" ht="14.4" hidden="1" customHeight="1" outlineLevel="1" thickBot="1" x14ac:dyDescent="0.35">
      <c r="A12" s="250" t="s">
        <v>241</v>
      </c>
      <c r="B12" s="251">
        <v>0</v>
      </c>
      <c r="C12" s="252">
        <v>0</v>
      </c>
      <c r="D12" s="252">
        <v>0.40799999999999997</v>
      </c>
      <c r="E12" s="253"/>
      <c r="F12" s="254">
        <v>0</v>
      </c>
      <c r="G12" s="252">
        <v>0</v>
      </c>
      <c r="H12" s="252">
        <v>1</v>
      </c>
      <c r="I12" s="255"/>
      <c r="J12" s="123"/>
      <c r="K12" s="123"/>
      <c r="L12" s="256">
        <f>D12-B12</f>
        <v>0.40799999999999997</v>
      </c>
      <c r="M12" s="257">
        <f>H12-F12</f>
        <v>1</v>
      </c>
    </row>
    <row r="13" spans="1:13" ht="14.4" customHeight="1" collapsed="1" thickBot="1" x14ac:dyDescent="0.35">
      <c r="A13" s="120" t="s">
        <v>6</v>
      </c>
      <c r="B13" s="115">
        <f>SUM(B5:B12)</f>
        <v>76.593000000000004</v>
      </c>
      <c r="C13" s="116">
        <f>SUM(C5:C12)</f>
        <v>55.013999999999996</v>
      </c>
      <c r="D13" s="116">
        <f>SUM(D5:D12)</f>
        <v>41.183</v>
      </c>
      <c r="E13" s="137">
        <f>IF(OR(D13=0,B13=0),0,D13/B13)</f>
        <v>0.53768621153369101</v>
      </c>
      <c r="F13" s="138">
        <f>SUM(F5:F12)</f>
        <v>65</v>
      </c>
      <c r="G13" s="116">
        <f>SUM(G5:G12)</f>
        <v>55</v>
      </c>
      <c r="H13" s="116">
        <f>SUM(H5:H12)</f>
        <v>49</v>
      </c>
      <c r="I13" s="139">
        <f>IF(OR(H13=0,F13=0),0,H13/F13)</f>
        <v>0.75384615384615383</v>
      </c>
      <c r="J13" s="123"/>
      <c r="K13" s="123"/>
      <c r="L13" s="129">
        <f>D13-B13</f>
        <v>-35.410000000000004</v>
      </c>
      <c r="M13" s="140">
        <f t="shared" si="1"/>
        <v>-16</v>
      </c>
    </row>
    <row r="14" spans="1:13" ht="14.4" customHeight="1" x14ac:dyDescent="0.3">
      <c r="A14" s="141"/>
      <c r="B14" s="552"/>
      <c r="C14" s="552"/>
      <c r="D14" s="552"/>
      <c r="E14" s="552"/>
      <c r="F14" s="552"/>
      <c r="G14" s="552"/>
      <c r="H14" s="552"/>
      <c r="I14" s="552"/>
      <c r="J14" s="123"/>
      <c r="K14" s="123"/>
      <c r="L14" s="123"/>
      <c r="M14" s="125"/>
    </row>
    <row r="15" spans="1:13" ht="14.4" customHeight="1" thickBot="1" x14ac:dyDescent="0.35">
      <c r="A15" s="141"/>
      <c r="B15" s="369"/>
      <c r="C15" s="370"/>
      <c r="D15" s="370"/>
      <c r="E15" s="370"/>
      <c r="F15" s="369"/>
      <c r="G15" s="370"/>
      <c r="H15" s="370"/>
      <c r="I15" s="370"/>
      <c r="J15" s="123"/>
      <c r="K15" s="123"/>
      <c r="L15" s="123"/>
      <c r="M15" s="125"/>
    </row>
    <row r="16" spans="1:13" ht="14.4" customHeight="1" thickBot="1" x14ac:dyDescent="0.35">
      <c r="A16" s="558" t="s">
        <v>235</v>
      </c>
      <c r="B16" s="560" t="s">
        <v>74</v>
      </c>
      <c r="C16" s="561"/>
      <c r="D16" s="561"/>
      <c r="E16" s="562"/>
      <c r="F16" s="560" t="s">
        <v>242</v>
      </c>
      <c r="G16" s="561"/>
      <c r="H16" s="561"/>
      <c r="I16" s="562"/>
      <c r="J16" s="543" t="s">
        <v>183</v>
      </c>
      <c r="K16" s="544"/>
      <c r="L16" s="158"/>
      <c r="M16" s="158"/>
    </row>
    <row r="17" spans="1:13" ht="14.4" customHeight="1" thickBot="1" x14ac:dyDescent="0.35">
      <c r="A17" s="559"/>
      <c r="B17" s="142">
        <v>2012</v>
      </c>
      <c r="C17" s="143">
        <v>2013</v>
      </c>
      <c r="D17" s="143">
        <v>2014</v>
      </c>
      <c r="E17" s="144" t="s">
        <v>5</v>
      </c>
      <c r="F17" s="142">
        <v>2012</v>
      </c>
      <c r="G17" s="143">
        <v>2013</v>
      </c>
      <c r="H17" s="143">
        <v>2014</v>
      </c>
      <c r="I17" s="144" t="s">
        <v>5</v>
      </c>
      <c r="J17" s="545" t="s">
        <v>184</v>
      </c>
      <c r="K17" s="546"/>
      <c r="L17" s="145" t="s">
        <v>75</v>
      </c>
      <c r="M17" s="146" t="s">
        <v>76</v>
      </c>
    </row>
    <row r="18" spans="1:13" ht="14.4" hidden="1" customHeight="1" outlineLevel="1" x14ac:dyDescent="0.3">
      <c r="A18" s="118" t="s">
        <v>172</v>
      </c>
      <c r="B18" s="121">
        <v>31.038</v>
      </c>
      <c r="C18" s="114">
        <v>29.35</v>
      </c>
      <c r="D18" s="114">
        <v>18.154</v>
      </c>
      <c r="E18" s="131">
        <v>0.58489593401636708</v>
      </c>
      <c r="F18" s="121">
        <v>27</v>
      </c>
      <c r="G18" s="114">
        <v>30</v>
      </c>
      <c r="H18" s="114">
        <v>20</v>
      </c>
      <c r="I18" s="133">
        <v>0.7407407407407407</v>
      </c>
      <c r="J18" s="547">
        <f>0.97*0.976</f>
        <v>0.94672000000000001</v>
      </c>
      <c r="K18" s="548"/>
      <c r="L18" s="147">
        <f>D18-B18</f>
        <v>-12.884</v>
      </c>
      <c r="M18" s="148">
        <f>H18-F18</f>
        <v>-7</v>
      </c>
    </row>
    <row r="19" spans="1:13" ht="14.4" hidden="1" customHeight="1" outlineLevel="1" x14ac:dyDescent="0.3">
      <c r="A19" s="119" t="s">
        <v>173</v>
      </c>
      <c r="B19" s="122">
        <v>4.6079999999999997</v>
      </c>
      <c r="C19" s="113">
        <v>3.226</v>
      </c>
      <c r="D19" s="113">
        <v>3.028</v>
      </c>
      <c r="E19" s="134">
        <v>0.65711805555555558</v>
      </c>
      <c r="F19" s="122">
        <v>4</v>
      </c>
      <c r="G19" s="113">
        <v>3</v>
      </c>
      <c r="H19" s="113">
        <v>5</v>
      </c>
      <c r="I19" s="136">
        <v>1.25</v>
      </c>
      <c r="J19" s="547">
        <f>0.97*1.096</f>
        <v>1.0631200000000001</v>
      </c>
      <c r="K19" s="548"/>
      <c r="L19" s="149">
        <f t="shared" ref="L19:L26" si="2">D19-B19</f>
        <v>-1.5799999999999996</v>
      </c>
      <c r="M19" s="150">
        <f t="shared" ref="M19:M26" si="3">H19-F19</f>
        <v>1</v>
      </c>
    </row>
    <row r="20" spans="1:13" ht="14.4" hidden="1" customHeight="1" outlineLevel="1" x14ac:dyDescent="0.3">
      <c r="A20" s="119" t="s">
        <v>174</v>
      </c>
      <c r="B20" s="122">
        <v>34.942999999999998</v>
      </c>
      <c r="C20" s="113">
        <v>14.634</v>
      </c>
      <c r="D20" s="113">
        <v>17.553000000000001</v>
      </c>
      <c r="E20" s="134">
        <v>0.50233236985948548</v>
      </c>
      <c r="F20" s="122">
        <v>27</v>
      </c>
      <c r="G20" s="113">
        <v>12</v>
      </c>
      <c r="H20" s="113">
        <v>18</v>
      </c>
      <c r="I20" s="136">
        <v>0.66666666666666663</v>
      </c>
      <c r="J20" s="547">
        <f>0.97*1.047</f>
        <v>1.01559</v>
      </c>
      <c r="K20" s="548"/>
      <c r="L20" s="149">
        <f t="shared" si="2"/>
        <v>-17.389999999999997</v>
      </c>
      <c r="M20" s="150">
        <f t="shared" si="3"/>
        <v>-9</v>
      </c>
    </row>
    <row r="21" spans="1:13" ht="14.4" hidden="1" customHeight="1" outlineLevel="1" x14ac:dyDescent="0.3">
      <c r="A21" s="119" t="s">
        <v>175</v>
      </c>
      <c r="B21" s="122">
        <v>1.6319999999999999</v>
      </c>
      <c r="C21" s="113">
        <v>0.39700000000000002</v>
      </c>
      <c r="D21" s="113">
        <v>0.40799999999999997</v>
      </c>
      <c r="E21" s="134">
        <v>0.25</v>
      </c>
      <c r="F21" s="122">
        <v>2</v>
      </c>
      <c r="G21" s="113">
        <v>1</v>
      </c>
      <c r="H21" s="113">
        <v>1</v>
      </c>
      <c r="I21" s="136">
        <v>0.5</v>
      </c>
      <c r="J21" s="547">
        <f>0.97*1.091</f>
        <v>1.05827</v>
      </c>
      <c r="K21" s="548"/>
      <c r="L21" s="149">
        <f t="shared" si="2"/>
        <v>-1.224</v>
      </c>
      <c r="M21" s="150">
        <f t="shared" si="3"/>
        <v>-1</v>
      </c>
    </row>
    <row r="22" spans="1:13" ht="14.4" hidden="1" customHeight="1" outlineLevel="1" x14ac:dyDescent="0.3">
      <c r="A22" s="119" t="s">
        <v>176</v>
      </c>
      <c r="B22" s="122">
        <v>0</v>
      </c>
      <c r="C22" s="113">
        <v>0</v>
      </c>
      <c r="D22" s="113">
        <v>0</v>
      </c>
      <c r="E22" s="134" t="s">
        <v>484</v>
      </c>
      <c r="F22" s="122">
        <v>0</v>
      </c>
      <c r="G22" s="113">
        <v>0</v>
      </c>
      <c r="H22" s="113">
        <v>0</v>
      </c>
      <c r="I22" s="136" t="s">
        <v>484</v>
      </c>
      <c r="J22" s="547">
        <f>0.97*1</f>
        <v>0.97</v>
      </c>
      <c r="K22" s="548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177</v>
      </c>
      <c r="B23" s="122">
        <v>3.2639999999999998</v>
      </c>
      <c r="C23" s="113">
        <v>7.01</v>
      </c>
      <c r="D23" s="113">
        <v>1.6319999999999999</v>
      </c>
      <c r="E23" s="134">
        <v>0.5</v>
      </c>
      <c r="F23" s="122">
        <v>4</v>
      </c>
      <c r="G23" s="113">
        <v>8</v>
      </c>
      <c r="H23" s="113">
        <v>4</v>
      </c>
      <c r="I23" s="136">
        <v>1</v>
      </c>
      <c r="J23" s="547">
        <f>0.97*1.096</f>
        <v>1.0631200000000001</v>
      </c>
      <c r="K23" s="548"/>
      <c r="L23" s="149">
        <f t="shared" si="2"/>
        <v>-1.6319999999999999</v>
      </c>
      <c r="M23" s="150">
        <f t="shared" si="3"/>
        <v>0</v>
      </c>
    </row>
    <row r="24" spans="1:13" ht="14.4" hidden="1" customHeight="1" outlineLevel="1" x14ac:dyDescent="0.3">
      <c r="A24" s="119" t="s">
        <v>178</v>
      </c>
      <c r="B24" s="122">
        <v>1.1080000000000001</v>
      </c>
      <c r="C24" s="113">
        <v>0.39700000000000002</v>
      </c>
      <c r="D24" s="113">
        <v>0</v>
      </c>
      <c r="E24" s="134" t="s">
        <v>484</v>
      </c>
      <c r="F24" s="122">
        <v>1</v>
      </c>
      <c r="G24" s="113">
        <v>1</v>
      </c>
      <c r="H24" s="113">
        <v>0</v>
      </c>
      <c r="I24" s="136" t="s">
        <v>484</v>
      </c>
      <c r="J24" s="547">
        <f>0.97*0.989</f>
        <v>0.95933000000000002</v>
      </c>
      <c r="K24" s="548"/>
      <c r="L24" s="149">
        <f t="shared" si="2"/>
        <v>-1.1080000000000001</v>
      </c>
      <c r="M24" s="150">
        <f t="shared" si="3"/>
        <v>-1</v>
      </c>
    </row>
    <row r="25" spans="1:13" ht="14.4" hidden="1" customHeight="1" outlineLevel="1" thickBot="1" x14ac:dyDescent="0.35">
      <c r="A25" s="250" t="s">
        <v>241</v>
      </c>
      <c r="B25" s="251">
        <v>0</v>
      </c>
      <c r="C25" s="252">
        <v>0</v>
      </c>
      <c r="D25" s="252">
        <v>0.40799999999999997</v>
      </c>
      <c r="E25" s="253"/>
      <c r="F25" s="251">
        <v>0</v>
      </c>
      <c r="G25" s="252">
        <v>0</v>
      </c>
      <c r="H25" s="252">
        <v>1</v>
      </c>
      <c r="I25" s="255"/>
      <c r="J25" s="371"/>
      <c r="K25" s="372"/>
      <c r="L25" s="258">
        <f>D25-B25</f>
        <v>0.40799999999999997</v>
      </c>
      <c r="M25" s="259">
        <f>H25-F25</f>
        <v>1</v>
      </c>
    </row>
    <row r="26" spans="1:13" ht="14.4" customHeight="1" collapsed="1" thickBot="1" x14ac:dyDescent="0.35">
      <c r="A26" s="151" t="s">
        <v>6</v>
      </c>
      <c r="B26" s="152">
        <f>SUM(B18:B25)</f>
        <v>76.593000000000004</v>
      </c>
      <c r="C26" s="153">
        <f>SUM(C18:C25)</f>
        <v>55.013999999999996</v>
      </c>
      <c r="D26" s="153">
        <f>SUM(D18:D25)</f>
        <v>41.183</v>
      </c>
      <c r="E26" s="154">
        <f>IF(OR(D26=0,B26=0),0,D26/B26)</f>
        <v>0.53768621153369101</v>
      </c>
      <c r="F26" s="152">
        <f>SUM(F18:F25)</f>
        <v>65</v>
      </c>
      <c r="G26" s="153">
        <f>SUM(G18:G25)</f>
        <v>55</v>
      </c>
      <c r="H26" s="153">
        <f>SUM(H18:H25)</f>
        <v>49</v>
      </c>
      <c r="I26" s="155">
        <f>IF(OR(H26=0,F26=0),0,H26/F26)</f>
        <v>0.75384615384615383</v>
      </c>
      <c r="J26" s="123"/>
      <c r="K26" s="123"/>
      <c r="L26" s="145">
        <f t="shared" si="2"/>
        <v>-35.410000000000004</v>
      </c>
      <c r="M26" s="156">
        <f t="shared" si="3"/>
        <v>-16</v>
      </c>
    </row>
    <row r="27" spans="1:13" ht="14.4" customHeight="1" x14ac:dyDescent="0.3">
      <c r="A27" s="157"/>
      <c r="B27" s="552" t="s">
        <v>237</v>
      </c>
      <c r="C27" s="563"/>
      <c r="D27" s="563"/>
      <c r="E27" s="563"/>
      <c r="F27" s="552" t="s">
        <v>238</v>
      </c>
      <c r="G27" s="563"/>
      <c r="H27" s="563"/>
      <c r="I27" s="563"/>
      <c r="J27" s="158"/>
      <c r="K27" s="158"/>
      <c r="L27" s="158"/>
      <c r="M27" s="159"/>
    </row>
    <row r="28" spans="1:13" ht="14.4" customHeight="1" thickBot="1" x14ac:dyDescent="0.35">
      <c r="A28" s="157"/>
      <c r="B28" s="369"/>
      <c r="C28" s="370"/>
      <c r="D28" s="370"/>
      <c r="E28" s="370"/>
      <c r="F28" s="369"/>
      <c r="G28" s="370"/>
      <c r="H28" s="370"/>
      <c r="I28" s="370"/>
      <c r="J28" s="158"/>
      <c r="K28" s="158"/>
      <c r="L28" s="158"/>
      <c r="M28" s="159"/>
    </row>
    <row r="29" spans="1:13" ht="14.4" customHeight="1" thickBot="1" x14ac:dyDescent="0.35">
      <c r="A29" s="553" t="s">
        <v>236</v>
      </c>
      <c r="B29" s="555" t="s">
        <v>74</v>
      </c>
      <c r="C29" s="556"/>
      <c r="D29" s="556"/>
      <c r="E29" s="557"/>
      <c r="F29" s="556" t="s">
        <v>242</v>
      </c>
      <c r="G29" s="556"/>
      <c r="H29" s="556"/>
      <c r="I29" s="557"/>
      <c r="J29" s="158"/>
      <c r="K29" s="158"/>
      <c r="L29" s="158"/>
      <c r="M29" s="159"/>
    </row>
    <row r="30" spans="1:13" ht="14.4" customHeight="1" thickBot="1" x14ac:dyDescent="0.35">
      <c r="A30" s="554"/>
      <c r="B30" s="160">
        <v>2012</v>
      </c>
      <c r="C30" s="161">
        <v>2013</v>
      </c>
      <c r="D30" s="161">
        <v>2014</v>
      </c>
      <c r="E30" s="162" t="s">
        <v>5</v>
      </c>
      <c r="F30" s="161">
        <v>2012</v>
      </c>
      <c r="G30" s="161">
        <v>2013</v>
      </c>
      <c r="H30" s="161">
        <v>2014</v>
      </c>
      <c r="I30" s="162" t="s">
        <v>5</v>
      </c>
      <c r="J30" s="158"/>
      <c r="K30" s="158"/>
      <c r="L30" s="163" t="s">
        <v>75</v>
      </c>
      <c r="M30" s="164" t="s">
        <v>76</v>
      </c>
    </row>
    <row r="31" spans="1:13" ht="14.4" hidden="1" customHeight="1" outlineLevel="1" x14ac:dyDescent="0.3">
      <c r="A31" s="118" t="s">
        <v>172</v>
      </c>
      <c r="B31" s="121">
        <v>0</v>
      </c>
      <c r="C31" s="114">
        <v>0</v>
      </c>
      <c r="D31" s="114">
        <v>0</v>
      </c>
      <c r="E31" s="131" t="s">
        <v>484</v>
      </c>
      <c r="F31" s="132">
        <v>0</v>
      </c>
      <c r="G31" s="114">
        <v>0</v>
      </c>
      <c r="H31" s="114">
        <v>0</v>
      </c>
      <c r="I31" s="133" t="s">
        <v>484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173</v>
      </c>
      <c r="B32" s="122">
        <v>0</v>
      </c>
      <c r="C32" s="113">
        <v>0</v>
      </c>
      <c r="D32" s="113">
        <v>0</v>
      </c>
      <c r="E32" s="134" t="s">
        <v>484</v>
      </c>
      <c r="F32" s="135">
        <v>0</v>
      </c>
      <c r="G32" s="113">
        <v>0</v>
      </c>
      <c r="H32" s="113">
        <v>0</v>
      </c>
      <c r="I32" s="136" t="s">
        <v>484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174</v>
      </c>
      <c r="B33" s="122">
        <v>0</v>
      </c>
      <c r="C33" s="113">
        <v>0</v>
      </c>
      <c r="D33" s="113">
        <v>0</v>
      </c>
      <c r="E33" s="134" t="s">
        <v>484</v>
      </c>
      <c r="F33" s="135">
        <v>0</v>
      </c>
      <c r="G33" s="113">
        <v>0</v>
      </c>
      <c r="H33" s="113">
        <v>0</v>
      </c>
      <c r="I33" s="136" t="s">
        <v>484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175</v>
      </c>
      <c r="B34" s="122">
        <v>0</v>
      </c>
      <c r="C34" s="113">
        <v>0</v>
      </c>
      <c r="D34" s="113">
        <v>0</v>
      </c>
      <c r="E34" s="134" t="s">
        <v>484</v>
      </c>
      <c r="F34" s="135">
        <v>0</v>
      </c>
      <c r="G34" s="113">
        <v>0</v>
      </c>
      <c r="H34" s="113">
        <v>0</v>
      </c>
      <c r="I34" s="136" t="s">
        <v>484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176</v>
      </c>
      <c r="B35" s="122">
        <v>0</v>
      </c>
      <c r="C35" s="113">
        <v>0</v>
      </c>
      <c r="D35" s="113">
        <v>0</v>
      </c>
      <c r="E35" s="134" t="s">
        <v>484</v>
      </c>
      <c r="F35" s="135">
        <v>0</v>
      </c>
      <c r="G35" s="113">
        <v>0</v>
      </c>
      <c r="H35" s="113">
        <v>0</v>
      </c>
      <c r="I35" s="136" t="s">
        <v>484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177</v>
      </c>
      <c r="B36" s="122">
        <v>0</v>
      </c>
      <c r="C36" s="113">
        <v>0</v>
      </c>
      <c r="D36" s="113">
        <v>0</v>
      </c>
      <c r="E36" s="134" t="s">
        <v>484</v>
      </c>
      <c r="F36" s="135">
        <v>0</v>
      </c>
      <c r="G36" s="113">
        <v>0</v>
      </c>
      <c r="H36" s="113">
        <v>0</v>
      </c>
      <c r="I36" s="136" t="s">
        <v>484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178</v>
      </c>
      <c r="B37" s="122">
        <v>0</v>
      </c>
      <c r="C37" s="113">
        <v>0</v>
      </c>
      <c r="D37" s="113">
        <v>0</v>
      </c>
      <c r="E37" s="134" t="s">
        <v>484</v>
      </c>
      <c r="F37" s="135">
        <v>0</v>
      </c>
      <c r="G37" s="113">
        <v>0</v>
      </c>
      <c r="H37" s="113">
        <v>0</v>
      </c>
      <c r="I37" s="136" t="s">
        <v>484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50" t="s">
        <v>241</v>
      </c>
      <c r="B38" s="251">
        <v>0</v>
      </c>
      <c r="C38" s="252">
        <v>0</v>
      </c>
      <c r="D38" s="252">
        <v>0</v>
      </c>
      <c r="E38" s="253"/>
      <c r="F38" s="254">
        <v>0</v>
      </c>
      <c r="G38" s="252">
        <v>0</v>
      </c>
      <c r="H38" s="252">
        <v>0</v>
      </c>
      <c r="I38" s="255"/>
      <c r="J38" s="158"/>
      <c r="K38" s="158"/>
      <c r="L38" s="258">
        <f>D38-B38</f>
        <v>0</v>
      </c>
      <c r="M38" s="259">
        <f>H38-F38</f>
        <v>0</v>
      </c>
    </row>
    <row r="39" spans="1:13" ht="14.4" customHeight="1" collapsed="1" thickBot="1" x14ac:dyDescent="0.35">
      <c r="A39" s="165" t="s">
        <v>6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3"/>
      <c r="B40" s="373"/>
      <c r="C40" s="373"/>
      <c r="D40" s="373"/>
      <c r="E40" s="374"/>
      <c r="F40" s="373"/>
      <c r="G40" s="373"/>
      <c r="H40" s="373"/>
      <c r="I40" s="375"/>
      <c r="J40" s="373"/>
      <c r="K40" s="373"/>
      <c r="L40" s="373"/>
      <c r="M40" s="373"/>
    </row>
    <row r="41" spans="1:13" ht="14.4" customHeight="1" x14ac:dyDescent="0.3">
      <c r="A41" s="268" t="s">
        <v>239</v>
      </c>
      <c r="B41" s="373"/>
      <c r="C41" s="373"/>
      <c r="D41" s="373"/>
      <c r="E41" s="374"/>
      <c r="F41" s="373"/>
      <c r="G41" s="373"/>
      <c r="H41" s="373"/>
      <c r="I41" s="375"/>
      <c r="J41" s="373"/>
      <c r="K41" s="373"/>
      <c r="L41" s="373"/>
      <c r="M41" s="373"/>
    </row>
    <row r="42" spans="1:13" ht="14.4" customHeight="1" x14ac:dyDescent="0.3">
      <c r="A42" s="249" t="s">
        <v>240</v>
      </c>
      <c r="B42" s="373"/>
      <c r="C42" s="373"/>
      <c r="D42" s="373"/>
      <c r="E42" s="374"/>
      <c r="F42" s="373"/>
      <c r="G42" s="373"/>
      <c r="H42" s="373"/>
      <c r="I42" s="375"/>
      <c r="J42" s="373"/>
      <c r="K42" s="373"/>
      <c r="L42" s="373"/>
      <c r="M42" s="373"/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7" t="s">
        <v>118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89" t="s">
        <v>298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8"/>
      <c r="C3" s="378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8"/>
      <c r="C4" s="378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8"/>
      <c r="C5" s="378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8"/>
      <c r="C6" s="378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8"/>
      <c r="C7" s="378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8"/>
      <c r="C8" s="378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8"/>
      <c r="C9" s="378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8"/>
      <c r="C10" s="378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8"/>
      <c r="C11" s="378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8"/>
      <c r="C12" s="378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8"/>
      <c r="C13" s="378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8"/>
      <c r="C14" s="378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8"/>
      <c r="C15" s="378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8"/>
      <c r="C16" s="378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8"/>
      <c r="C17" s="378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8"/>
      <c r="C18" s="378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8"/>
      <c r="C19" s="378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8"/>
      <c r="C20" s="378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8"/>
      <c r="C21" s="378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8"/>
      <c r="C22" s="378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8"/>
      <c r="C23" s="378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8"/>
      <c r="C24" s="378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8"/>
      <c r="C25" s="378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8"/>
      <c r="C26" s="378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8"/>
      <c r="C27" s="378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8"/>
      <c r="C28" s="378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8"/>
      <c r="C29" s="378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8"/>
      <c r="C30" s="378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4" t="s">
        <v>86</v>
      </c>
      <c r="C31" s="565"/>
      <c r="D31" s="565"/>
      <c r="E31" s="566"/>
      <c r="F31" s="171" t="s">
        <v>86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70</v>
      </c>
      <c r="B32" s="172" t="s">
        <v>89</v>
      </c>
      <c r="C32" s="173" t="s">
        <v>90</v>
      </c>
      <c r="D32" s="173" t="s">
        <v>91</v>
      </c>
      <c r="E32" s="174" t="s">
        <v>5</v>
      </c>
      <c r="F32" s="175" t="s">
        <v>92</v>
      </c>
      <c r="G32" s="379"/>
      <c r="H32" s="379" t="s">
        <v>119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106</v>
      </c>
      <c r="B33" s="206">
        <v>149.34</v>
      </c>
      <c r="C33" s="206">
        <v>153</v>
      </c>
      <c r="D33" s="84">
        <f>IF(C33="","",C33-B33)</f>
        <v>3.6599999999999966</v>
      </c>
      <c r="E33" s="85">
        <f>IF(C33="","",C33/B33)</f>
        <v>1.0245078344716754</v>
      </c>
      <c r="F33" s="86">
        <v>39.74</v>
      </c>
      <c r="G33" s="379">
        <v>0</v>
      </c>
      <c r="H33" s="380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107</v>
      </c>
      <c r="B34" s="207">
        <v>298.83999999999997</v>
      </c>
      <c r="C34" s="207">
        <v>336</v>
      </c>
      <c r="D34" s="87">
        <f t="shared" ref="D34:D45" si="0">IF(C34="","",C34-B34)</f>
        <v>37.160000000000025</v>
      </c>
      <c r="E34" s="88">
        <f t="shared" ref="E34:E45" si="1">IF(C34="","",C34/B34)</f>
        <v>1.1243474769107216</v>
      </c>
      <c r="F34" s="89">
        <v>93.96</v>
      </c>
      <c r="G34" s="379">
        <v>1</v>
      </c>
      <c r="H34" s="380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108</v>
      </c>
      <c r="B35" s="207"/>
      <c r="C35" s="207"/>
      <c r="D35" s="87" t="str">
        <f t="shared" si="0"/>
        <v/>
      </c>
      <c r="E35" s="88" t="str">
        <f t="shared" si="1"/>
        <v/>
      </c>
      <c r="F35" s="89"/>
      <c r="G35" s="381"/>
      <c r="H35" s="381"/>
      <c r="I35" s="80"/>
      <c r="J35" s="80"/>
      <c r="K35" s="80"/>
      <c r="L35" s="80"/>
      <c r="M35" s="80"/>
    </row>
    <row r="36" spans="1:13" ht="14.4" customHeight="1" x14ac:dyDescent="0.3">
      <c r="A36" s="177" t="s">
        <v>109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81"/>
      <c r="H36" s="381"/>
      <c r="I36" s="80"/>
      <c r="J36" s="80"/>
      <c r="K36" s="80"/>
      <c r="L36" s="80"/>
      <c r="M36" s="80"/>
    </row>
    <row r="37" spans="1:13" ht="14.4" customHeight="1" x14ac:dyDescent="0.3">
      <c r="A37" s="177" t="s">
        <v>110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81"/>
      <c r="H37" s="381"/>
      <c r="I37" s="80"/>
      <c r="J37" s="80"/>
      <c r="K37" s="80"/>
      <c r="L37" s="80"/>
      <c r="M37" s="80"/>
    </row>
    <row r="38" spans="1:13" ht="14.4" customHeight="1" x14ac:dyDescent="0.3">
      <c r="A38" s="177" t="s">
        <v>111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81"/>
      <c r="H38" s="381"/>
      <c r="I38" s="80"/>
      <c r="J38" s="80"/>
      <c r="K38" s="80"/>
      <c r="L38" s="80"/>
      <c r="M38" s="80"/>
    </row>
    <row r="39" spans="1:13" ht="14.4" customHeight="1" x14ac:dyDescent="0.3">
      <c r="A39" s="177" t="s">
        <v>112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81"/>
      <c r="H39" s="381"/>
      <c r="I39" s="80"/>
      <c r="J39" s="80"/>
      <c r="K39" s="80"/>
      <c r="L39" s="80"/>
      <c r="M39" s="80"/>
    </row>
    <row r="40" spans="1:13" ht="14.4" customHeight="1" x14ac:dyDescent="0.3">
      <c r="A40" s="177" t="s">
        <v>113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81"/>
      <c r="H40" s="381"/>
      <c r="I40" s="80"/>
      <c r="J40" s="80"/>
      <c r="K40" s="80"/>
      <c r="L40" s="80"/>
      <c r="M40" s="80"/>
    </row>
    <row r="41" spans="1:13" ht="14.4" customHeight="1" x14ac:dyDescent="0.3">
      <c r="A41" s="177" t="s">
        <v>114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81"/>
      <c r="H41" s="381"/>
      <c r="I41" s="80"/>
      <c r="J41" s="80"/>
      <c r="K41" s="80"/>
      <c r="L41" s="80"/>
      <c r="M41" s="80"/>
    </row>
    <row r="42" spans="1:13" ht="14.4" customHeight="1" x14ac:dyDescent="0.3">
      <c r="A42" s="177" t="s">
        <v>115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81"/>
      <c r="H42" s="381"/>
      <c r="I42" s="80"/>
      <c r="J42" s="80"/>
      <c r="K42" s="80"/>
      <c r="L42" s="80"/>
      <c r="M42" s="80"/>
    </row>
    <row r="43" spans="1:13" ht="14.4" customHeight="1" x14ac:dyDescent="0.3">
      <c r="A43" s="177" t="s">
        <v>116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81"/>
      <c r="H43" s="381"/>
      <c r="I43" s="80"/>
      <c r="J43" s="80"/>
      <c r="K43" s="80"/>
      <c r="L43" s="80"/>
      <c r="M43" s="80"/>
    </row>
    <row r="44" spans="1:13" ht="14.4" customHeight="1" x14ac:dyDescent="0.3">
      <c r="A44" s="177" t="s">
        <v>117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81"/>
      <c r="H44" s="381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120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81"/>
      <c r="H45" s="381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3" customWidth="1"/>
    <col min="3" max="3" width="5.88671875" style="223" customWidth="1"/>
    <col min="4" max="4" width="7.6640625" style="223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3" customWidth="1"/>
    <col min="20" max="20" width="9.6640625" style="223" customWidth="1"/>
    <col min="21" max="21" width="7.6640625" style="22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7" customFormat="1" ht="18.600000000000001" customHeight="1" thickBot="1" x14ac:dyDescent="0.4">
      <c r="A1" s="520" t="s">
        <v>1272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ht="14.4" customHeight="1" thickBot="1" x14ac:dyDescent="0.35">
      <c r="A2" s="389" t="s">
        <v>298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2"/>
      <c r="Q2" s="382"/>
      <c r="R2" s="382"/>
      <c r="S2" s="383"/>
      <c r="T2" s="383"/>
      <c r="U2" s="383"/>
      <c r="V2" s="382"/>
      <c r="W2" s="384"/>
    </row>
    <row r="3" spans="1:23" s="94" customFormat="1" ht="14.4" customHeight="1" x14ac:dyDescent="0.3">
      <c r="A3" s="573" t="s">
        <v>78</v>
      </c>
      <c r="B3" s="574">
        <v>2012</v>
      </c>
      <c r="C3" s="575"/>
      <c r="D3" s="576"/>
      <c r="E3" s="574">
        <v>2013</v>
      </c>
      <c r="F3" s="575"/>
      <c r="G3" s="576"/>
      <c r="H3" s="574">
        <v>2014</v>
      </c>
      <c r="I3" s="575"/>
      <c r="J3" s="576"/>
      <c r="K3" s="577" t="s">
        <v>79</v>
      </c>
      <c r="L3" s="569" t="s">
        <v>80</v>
      </c>
      <c r="M3" s="569" t="s">
        <v>81</v>
      </c>
      <c r="N3" s="569" t="s">
        <v>82</v>
      </c>
      <c r="O3" s="276" t="s">
        <v>83</v>
      </c>
      <c r="P3" s="570" t="s">
        <v>84</v>
      </c>
      <c r="Q3" s="571" t="s">
        <v>85</v>
      </c>
      <c r="R3" s="572"/>
      <c r="S3" s="567" t="s">
        <v>86</v>
      </c>
      <c r="T3" s="568"/>
      <c r="U3" s="568"/>
      <c r="V3" s="568"/>
      <c r="W3" s="224" t="s">
        <v>86</v>
      </c>
    </row>
    <row r="4" spans="1:23" s="95" customFormat="1" ht="14.4" customHeight="1" thickBot="1" x14ac:dyDescent="0.35">
      <c r="A4" s="779"/>
      <c r="B4" s="780" t="s">
        <v>87</v>
      </c>
      <c r="C4" s="781" t="s">
        <v>75</v>
      </c>
      <c r="D4" s="782" t="s">
        <v>88</v>
      </c>
      <c r="E4" s="780" t="s">
        <v>87</v>
      </c>
      <c r="F4" s="781" t="s">
        <v>75</v>
      </c>
      <c r="G4" s="782" t="s">
        <v>88</v>
      </c>
      <c r="H4" s="780" t="s">
        <v>87</v>
      </c>
      <c r="I4" s="781" t="s">
        <v>75</v>
      </c>
      <c r="J4" s="782" t="s">
        <v>88</v>
      </c>
      <c r="K4" s="783"/>
      <c r="L4" s="784"/>
      <c r="M4" s="784"/>
      <c r="N4" s="784"/>
      <c r="O4" s="785"/>
      <c r="P4" s="786"/>
      <c r="Q4" s="787" t="s">
        <v>76</v>
      </c>
      <c r="R4" s="788" t="s">
        <v>75</v>
      </c>
      <c r="S4" s="789" t="s">
        <v>89</v>
      </c>
      <c r="T4" s="790" t="s">
        <v>90</v>
      </c>
      <c r="U4" s="790" t="s">
        <v>91</v>
      </c>
      <c r="V4" s="791" t="s">
        <v>5</v>
      </c>
      <c r="W4" s="792" t="s">
        <v>92</v>
      </c>
    </row>
    <row r="5" spans="1:23" ht="14.4" customHeight="1" x14ac:dyDescent="0.3">
      <c r="A5" s="818" t="s">
        <v>1261</v>
      </c>
      <c r="B5" s="793">
        <v>1</v>
      </c>
      <c r="C5" s="794">
        <v>0.91</v>
      </c>
      <c r="D5" s="795">
        <v>2</v>
      </c>
      <c r="E5" s="796"/>
      <c r="F5" s="797"/>
      <c r="G5" s="798"/>
      <c r="H5" s="799"/>
      <c r="I5" s="797"/>
      <c r="J5" s="798"/>
      <c r="K5" s="800">
        <v>0.66</v>
      </c>
      <c r="L5" s="799">
        <v>2</v>
      </c>
      <c r="M5" s="799">
        <v>18</v>
      </c>
      <c r="N5" s="801">
        <v>5.95</v>
      </c>
      <c r="O5" s="799" t="s">
        <v>1262</v>
      </c>
      <c r="P5" s="802" t="s">
        <v>1263</v>
      </c>
      <c r="Q5" s="803">
        <f>H5-B5</f>
        <v>-1</v>
      </c>
      <c r="R5" s="803">
        <f>I5-C5</f>
        <v>-0.91</v>
      </c>
      <c r="S5" s="804" t="str">
        <f>IF(H5=0,"",H5*N5)</f>
        <v/>
      </c>
      <c r="T5" s="804" t="str">
        <f>IF(H5=0,"",H5*J5)</f>
        <v/>
      </c>
      <c r="U5" s="804" t="str">
        <f>IF(H5=0,"",T5-S5)</f>
        <v/>
      </c>
      <c r="V5" s="805" t="str">
        <f>IF(H5=0,"",T5/S5)</f>
        <v/>
      </c>
      <c r="W5" s="806"/>
    </row>
    <row r="6" spans="1:23" ht="14.4" customHeight="1" x14ac:dyDescent="0.3">
      <c r="A6" s="819" t="s">
        <v>1264</v>
      </c>
      <c r="B6" s="756">
        <v>47</v>
      </c>
      <c r="C6" s="757">
        <v>39.950000000000003</v>
      </c>
      <c r="D6" s="758">
        <v>6.2</v>
      </c>
      <c r="E6" s="773">
        <v>4</v>
      </c>
      <c r="F6" s="759">
        <v>3.27</v>
      </c>
      <c r="G6" s="760">
        <v>10.5</v>
      </c>
      <c r="H6" s="761">
        <v>4</v>
      </c>
      <c r="I6" s="759">
        <v>3.74</v>
      </c>
      <c r="J6" s="766">
        <v>9</v>
      </c>
      <c r="K6" s="762">
        <v>0.82</v>
      </c>
      <c r="L6" s="761">
        <v>2</v>
      </c>
      <c r="M6" s="761">
        <v>20</v>
      </c>
      <c r="N6" s="763">
        <v>6.66</v>
      </c>
      <c r="O6" s="761" t="s">
        <v>1262</v>
      </c>
      <c r="P6" s="774" t="s">
        <v>1265</v>
      </c>
      <c r="Q6" s="764">
        <f t="shared" ref="Q6:R9" si="0">H6-B6</f>
        <v>-43</v>
      </c>
      <c r="R6" s="764">
        <f t="shared" si="0"/>
        <v>-36.21</v>
      </c>
      <c r="S6" s="775">
        <f>IF(H6=0,"",H6*N6)</f>
        <v>26.64</v>
      </c>
      <c r="T6" s="775">
        <f>IF(H6=0,"",H6*J6)</f>
        <v>36</v>
      </c>
      <c r="U6" s="775">
        <f>IF(H6=0,"",T6-S6)</f>
        <v>9.36</v>
      </c>
      <c r="V6" s="776">
        <f>IF(H6=0,"",T6/S6)</f>
        <v>1.3513513513513513</v>
      </c>
      <c r="W6" s="765">
        <v>9</v>
      </c>
    </row>
    <row r="7" spans="1:23" ht="14.4" customHeight="1" x14ac:dyDescent="0.3">
      <c r="A7" s="820" t="s">
        <v>1266</v>
      </c>
      <c r="B7" s="807">
        <v>1</v>
      </c>
      <c r="C7" s="808">
        <v>1.1100000000000001</v>
      </c>
      <c r="D7" s="767">
        <v>2</v>
      </c>
      <c r="E7" s="809"/>
      <c r="F7" s="810"/>
      <c r="G7" s="768"/>
      <c r="H7" s="811"/>
      <c r="I7" s="810"/>
      <c r="J7" s="768"/>
      <c r="K7" s="812">
        <v>0.82</v>
      </c>
      <c r="L7" s="811">
        <v>2</v>
      </c>
      <c r="M7" s="811">
        <v>20</v>
      </c>
      <c r="N7" s="813">
        <v>6.66</v>
      </c>
      <c r="O7" s="811" t="s">
        <v>1262</v>
      </c>
      <c r="P7" s="814" t="s">
        <v>1267</v>
      </c>
      <c r="Q7" s="815">
        <f t="shared" si="0"/>
        <v>-1</v>
      </c>
      <c r="R7" s="815">
        <f t="shared" si="0"/>
        <v>-1.1100000000000001</v>
      </c>
      <c r="S7" s="816" t="str">
        <f>IF(H7=0,"",H7*N7)</f>
        <v/>
      </c>
      <c r="T7" s="816" t="str">
        <f>IF(H7=0,"",H7*J7)</f>
        <v/>
      </c>
      <c r="U7" s="816" t="str">
        <f>IF(H7=0,"",T7-S7)</f>
        <v/>
      </c>
      <c r="V7" s="817" t="str">
        <f>IF(H7=0,"",T7/S7)</f>
        <v/>
      </c>
      <c r="W7" s="769"/>
    </row>
    <row r="8" spans="1:23" ht="14.4" customHeight="1" x14ac:dyDescent="0.3">
      <c r="A8" s="819" t="s">
        <v>1268</v>
      </c>
      <c r="B8" s="775">
        <v>13</v>
      </c>
      <c r="C8" s="777">
        <v>33.369999999999997</v>
      </c>
      <c r="D8" s="778">
        <v>9.9</v>
      </c>
      <c r="E8" s="770">
        <v>16</v>
      </c>
      <c r="F8" s="771">
        <v>36.76</v>
      </c>
      <c r="G8" s="772">
        <v>9.3000000000000007</v>
      </c>
      <c r="H8" s="761">
        <v>10</v>
      </c>
      <c r="I8" s="759">
        <v>22.59</v>
      </c>
      <c r="J8" s="760">
        <v>9.5</v>
      </c>
      <c r="K8" s="762">
        <v>2.04</v>
      </c>
      <c r="L8" s="761">
        <v>5</v>
      </c>
      <c r="M8" s="761">
        <v>46</v>
      </c>
      <c r="N8" s="763">
        <v>15.18</v>
      </c>
      <c r="O8" s="761" t="s">
        <v>1262</v>
      </c>
      <c r="P8" s="774" t="s">
        <v>1269</v>
      </c>
      <c r="Q8" s="764">
        <f t="shared" si="0"/>
        <v>-3</v>
      </c>
      <c r="R8" s="764">
        <f t="shared" si="0"/>
        <v>-10.779999999999998</v>
      </c>
      <c r="S8" s="775">
        <f>IF(H8=0,"",H8*N8)</f>
        <v>151.80000000000001</v>
      </c>
      <c r="T8" s="775">
        <f>IF(H8=0,"",H8*J8)</f>
        <v>95</v>
      </c>
      <c r="U8" s="775">
        <f>IF(H8=0,"",T8-S8)</f>
        <v>-56.800000000000011</v>
      </c>
      <c r="V8" s="776">
        <f>IF(H8=0,"",T8/S8)</f>
        <v>0.62582345191040833</v>
      </c>
      <c r="W8" s="765"/>
    </row>
    <row r="9" spans="1:23" ht="14.4" customHeight="1" thickBot="1" x14ac:dyDescent="0.35">
      <c r="A9" s="821" t="s">
        <v>1270</v>
      </c>
      <c r="B9" s="822">
        <v>3</v>
      </c>
      <c r="C9" s="823">
        <v>1.27</v>
      </c>
      <c r="D9" s="824">
        <v>6</v>
      </c>
      <c r="E9" s="825">
        <v>35</v>
      </c>
      <c r="F9" s="826">
        <v>14.98</v>
      </c>
      <c r="G9" s="827">
        <v>5.5</v>
      </c>
      <c r="H9" s="828">
        <v>35</v>
      </c>
      <c r="I9" s="829">
        <v>14.86</v>
      </c>
      <c r="J9" s="830">
        <v>5.9</v>
      </c>
      <c r="K9" s="831">
        <v>0.33</v>
      </c>
      <c r="L9" s="832">
        <v>1</v>
      </c>
      <c r="M9" s="832">
        <v>10</v>
      </c>
      <c r="N9" s="833">
        <v>3.44</v>
      </c>
      <c r="O9" s="832" t="s">
        <v>1262</v>
      </c>
      <c r="P9" s="834" t="s">
        <v>1271</v>
      </c>
      <c r="Q9" s="835">
        <f t="shared" si="0"/>
        <v>32</v>
      </c>
      <c r="R9" s="835">
        <f t="shared" si="0"/>
        <v>13.59</v>
      </c>
      <c r="S9" s="822">
        <f>IF(H9=0,"",H9*N9)</f>
        <v>120.39999999999999</v>
      </c>
      <c r="T9" s="822">
        <f>IF(H9=0,"",H9*J9)</f>
        <v>206.5</v>
      </c>
      <c r="U9" s="822">
        <f>IF(H9=0,"",T9-S9)</f>
        <v>86.100000000000009</v>
      </c>
      <c r="V9" s="836">
        <f>IF(H9=0,"",T9/S9)</f>
        <v>1.7151162790697676</v>
      </c>
      <c r="W9" s="837">
        <v>85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0:Q1048576">
    <cfRule type="cellIs" dxfId="12" priority="9" stopIfTrue="1" operator="lessThan">
      <formula>0</formula>
    </cfRule>
  </conditionalFormatting>
  <conditionalFormatting sqref="U10:U1048576">
    <cfRule type="cellIs" dxfId="11" priority="8" stopIfTrue="1" operator="greaterThan">
      <formula>0</formula>
    </cfRule>
  </conditionalFormatting>
  <conditionalFormatting sqref="V10:V1048576">
    <cfRule type="cellIs" dxfId="10" priority="7" stopIfTrue="1" operator="greaterThan">
      <formula>1</formula>
    </cfRule>
  </conditionalFormatting>
  <conditionalFormatting sqref="V10:V1048576">
    <cfRule type="cellIs" dxfId="9" priority="4" stopIfTrue="1" operator="greaterThan">
      <formula>1</formula>
    </cfRule>
  </conditionalFormatting>
  <conditionalFormatting sqref="U10:U1048576">
    <cfRule type="cellIs" dxfId="8" priority="5" stopIfTrue="1" operator="greaterThan">
      <formula>0</formula>
    </cfRule>
  </conditionalFormatting>
  <conditionalFormatting sqref="Q10:Q1048576">
    <cfRule type="cellIs" dxfId="7" priority="6" stopIfTrue="1" operator="lessThan">
      <formula>0</formula>
    </cfRule>
  </conditionalFormatting>
  <conditionalFormatting sqref="V5:V9">
    <cfRule type="cellIs" dxfId="6" priority="1" stopIfTrue="1" operator="greaterThan">
      <formula>1</formula>
    </cfRule>
  </conditionalFormatting>
  <conditionalFormatting sqref="U5:U9">
    <cfRule type="cellIs" dxfId="5" priority="2" stopIfTrue="1" operator="greaterThan">
      <formula>0</formula>
    </cfRule>
  </conditionalFormatting>
  <conditionalFormatting sqref="Q5:Q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60" customWidth="1"/>
    <col min="2" max="2" width="7.77734375" style="225" customWidth="1"/>
    <col min="3" max="3" width="7.21875" style="260" hidden="1" customWidth="1"/>
    <col min="4" max="4" width="7.77734375" style="225" customWidth="1"/>
    <col min="5" max="5" width="7.2187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7.21875" style="260" hidden="1" customWidth="1"/>
    <col min="10" max="10" width="7.77734375" style="225" customWidth="1"/>
    <col min="11" max="11" width="7.21875" style="260" hidden="1" customWidth="1"/>
    <col min="12" max="12" width="7.77734375" style="225" customWidth="1"/>
    <col min="13" max="13" width="7.77734375" style="346" customWidth="1"/>
    <col min="14" max="16384" width="8.88671875" style="260"/>
  </cols>
  <sheetData>
    <row r="1" spans="1:13" ht="18.600000000000001" customHeight="1" thickBot="1" x14ac:dyDescent="0.4">
      <c r="A1" s="471" t="s">
        <v>162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</row>
    <row r="3" spans="1:13" ht="14.4" customHeight="1" thickBot="1" x14ac:dyDescent="0.35">
      <c r="A3" s="356" t="s">
        <v>163</v>
      </c>
      <c r="B3" s="357">
        <f>SUBTOTAL(9,B6:B1048576)</f>
        <v>269761</v>
      </c>
      <c r="C3" s="358">
        <f t="shared" ref="C3:L3" si="0">SUBTOTAL(9,C6:C1048576)</f>
        <v>7</v>
      </c>
      <c r="D3" s="358">
        <f t="shared" si="0"/>
        <v>287540</v>
      </c>
      <c r="E3" s="358">
        <f t="shared" si="0"/>
        <v>3.4690277336098791</v>
      </c>
      <c r="F3" s="358">
        <f t="shared" si="0"/>
        <v>267628</v>
      </c>
      <c r="G3" s="361">
        <f>IF(B3&lt;&gt;0,F3/B3,"")</f>
        <v>0.99209300084148566</v>
      </c>
      <c r="H3" s="357">
        <f t="shared" si="0"/>
        <v>241341.81000000003</v>
      </c>
      <c r="I3" s="358">
        <f t="shared" si="0"/>
        <v>2</v>
      </c>
      <c r="J3" s="358">
        <f t="shared" si="0"/>
        <v>141542.64000000001</v>
      </c>
      <c r="K3" s="358">
        <f t="shared" si="0"/>
        <v>0.58859440588753087</v>
      </c>
      <c r="L3" s="358">
        <f t="shared" si="0"/>
        <v>146956.30000000002</v>
      </c>
      <c r="M3" s="359">
        <f>IF(H3&lt;&gt;0,L3/H3,"")</f>
        <v>0.60891355708320904</v>
      </c>
    </row>
    <row r="4" spans="1:13" ht="14.4" customHeight="1" x14ac:dyDescent="0.3">
      <c r="A4" s="578" t="s">
        <v>121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</row>
    <row r="5" spans="1:13" s="344" customFormat="1" ht="14.4" customHeight="1" thickBot="1" x14ac:dyDescent="0.35">
      <c r="A5" s="838"/>
      <c r="B5" s="839">
        <v>2012</v>
      </c>
      <c r="C5" s="840"/>
      <c r="D5" s="840">
        <v>2013</v>
      </c>
      <c r="E5" s="840"/>
      <c r="F5" s="840">
        <v>2014</v>
      </c>
      <c r="G5" s="732" t="s">
        <v>5</v>
      </c>
      <c r="H5" s="839">
        <v>2012</v>
      </c>
      <c r="I5" s="840"/>
      <c r="J5" s="840">
        <v>2013</v>
      </c>
      <c r="K5" s="840"/>
      <c r="L5" s="840">
        <v>2014</v>
      </c>
      <c r="M5" s="732" t="s">
        <v>5</v>
      </c>
    </row>
    <row r="6" spans="1:13" ht="14.4" customHeight="1" x14ac:dyDescent="0.3">
      <c r="A6" s="717" t="s">
        <v>1186</v>
      </c>
      <c r="B6" s="748">
        <v>124</v>
      </c>
      <c r="C6" s="698">
        <v>1</v>
      </c>
      <c r="D6" s="748"/>
      <c r="E6" s="698"/>
      <c r="F6" s="748"/>
      <c r="G6" s="703"/>
      <c r="H6" s="748"/>
      <c r="I6" s="698"/>
      <c r="J6" s="748"/>
      <c r="K6" s="698"/>
      <c r="L6" s="748"/>
      <c r="M6" s="241"/>
    </row>
    <row r="7" spans="1:13" ht="14.4" customHeight="1" x14ac:dyDescent="0.3">
      <c r="A7" s="718" t="s">
        <v>1196</v>
      </c>
      <c r="B7" s="749">
        <v>200218</v>
      </c>
      <c r="C7" s="672">
        <v>1</v>
      </c>
      <c r="D7" s="749">
        <v>225348</v>
      </c>
      <c r="E7" s="672">
        <v>1.1255131906222218</v>
      </c>
      <c r="F7" s="749">
        <v>208515</v>
      </c>
      <c r="G7" s="683">
        <v>1.0414398305846626</v>
      </c>
      <c r="H7" s="749">
        <v>240475.68000000002</v>
      </c>
      <c r="I7" s="672">
        <v>1</v>
      </c>
      <c r="J7" s="749">
        <v>141542.64000000001</v>
      </c>
      <c r="K7" s="672">
        <v>0.58859440588753087</v>
      </c>
      <c r="L7" s="749">
        <v>146956.30000000002</v>
      </c>
      <c r="M7" s="242">
        <v>0.61110670318096205</v>
      </c>
    </row>
    <row r="8" spans="1:13" ht="14.4" customHeight="1" x14ac:dyDescent="0.3">
      <c r="A8" s="718" t="s">
        <v>1200</v>
      </c>
      <c r="B8" s="749">
        <v>4438</v>
      </c>
      <c r="C8" s="672">
        <v>1</v>
      </c>
      <c r="D8" s="749">
        <v>3277</v>
      </c>
      <c r="E8" s="672">
        <v>0.73839567372690396</v>
      </c>
      <c r="F8" s="749">
        <v>3407</v>
      </c>
      <c r="G8" s="683">
        <v>0.76768814781433081</v>
      </c>
      <c r="H8" s="749"/>
      <c r="I8" s="672"/>
      <c r="J8" s="749"/>
      <c r="K8" s="672"/>
      <c r="L8" s="749"/>
      <c r="M8" s="242"/>
    </row>
    <row r="9" spans="1:13" ht="14.4" customHeight="1" x14ac:dyDescent="0.3">
      <c r="A9" s="718" t="s">
        <v>1273</v>
      </c>
      <c r="B9" s="749">
        <v>61014</v>
      </c>
      <c r="C9" s="672">
        <v>1</v>
      </c>
      <c r="D9" s="749">
        <v>56746</v>
      </c>
      <c r="E9" s="672">
        <v>0.93004884124954923</v>
      </c>
      <c r="F9" s="749">
        <v>53132</v>
      </c>
      <c r="G9" s="683">
        <v>0.87081653391025016</v>
      </c>
      <c r="H9" s="749"/>
      <c r="I9" s="672"/>
      <c r="J9" s="749"/>
      <c r="K9" s="672"/>
      <c r="L9" s="749"/>
      <c r="M9" s="242"/>
    </row>
    <row r="10" spans="1:13" ht="14.4" customHeight="1" x14ac:dyDescent="0.3">
      <c r="A10" s="718" t="s">
        <v>1274</v>
      </c>
      <c r="B10" s="749">
        <v>3213</v>
      </c>
      <c r="C10" s="672">
        <v>1</v>
      </c>
      <c r="D10" s="749">
        <v>2169</v>
      </c>
      <c r="E10" s="672">
        <v>0.67507002801120453</v>
      </c>
      <c r="F10" s="749">
        <v>173</v>
      </c>
      <c r="G10" s="683">
        <v>5.3843759726112668E-2</v>
      </c>
      <c r="H10" s="749">
        <v>866.13</v>
      </c>
      <c r="I10" s="672">
        <v>1</v>
      </c>
      <c r="J10" s="749"/>
      <c r="K10" s="672"/>
      <c r="L10" s="749"/>
      <c r="M10" s="242"/>
    </row>
    <row r="11" spans="1:13" ht="14.4" customHeight="1" x14ac:dyDescent="0.3">
      <c r="A11" s="718" t="s">
        <v>1275</v>
      </c>
      <c r="B11" s="749">
        <v>659</v>
      </c>
      <c r="C11" s="672">
        <v>1</v>
      </c>
      <c r="D11" s="749"/>
      <c r="E11" s="672"/>
      <c r="F11" s="749"/>
      <c r="G11" s="683"/>
      <c r="H11" s="749"/>
      <c r="I11" s="672"/>
      <c r="J11" s="749"/>
      <c r="K11" s="672"/>
      <c r="L11" s="749"/>
      <c r="M11" s="242"/>
    </row>
    <row r="12" spans="1:13" ht="14.4" customHeight="1" x14ac:dyDescent="0.3">
      <c r="A12" s="718" t="s">
        <v>1276</v>
      </c>
      <c r="B12" s="749">
        <v>95</v>
      </c>
      <c r="C12" s="672">
        <v>1</v>
      </c>
      <c r="D12" s="749"/>
      <c r="E12" s="672"/>
      <c r="F12" s="749"/>
      <c r="G12" s="683"/>
      <c r="H12" s="749"/>
      <c r="I12" s="672"/>
      <c r="J12" s="749"/>
      <c r="K12" s="672"/>
      <c r="L12" s="749"/>
      <c r="M12" s="242"/>
    </row>
    <row r="13" spans="1:13" ht="14.4" customHeight="1" thickBot="1" x14ac:dyDescent="0.35">
      <c r="A13" s="751" t="s">
        <v>1277</v>
      </c>
      <c r="B13" s="750"/>
      <c r="C13" s="674"/>
      <c r="D13" s="750"/>
      <c r="E13" s="674"/>
      <c r="F13" s="750">
        <v>2401</v>
      </c>
      <c r="G13" s="684"/>
      <c r="H13" s="750"/>
      <c r="I13" s="674"/>
      <c r="J13" s="750"/>
      <c r="K13" s="674"/>
      <c r="L13" s="750"/>
      <c r="M13" s="68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71" t="s">
        <v>1403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30"/>
      <c r="C2" s="230"/>
      <c r="D2" s="230"/>
      <c r="E2" s="230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3"/>
      <c r="Q2" s="366"/>
    </row>
    <row r="3" spans="1:17" ht="14.4" customHeight="1" thickBot="1" x14ac:dyDescent="0.35">
      <c r="E3" s="112" t="s">
        <v>163</v>
      </c>
      <c r="F3" s="217">
        <f t="shared" ref="F3:O3" si="0">SUBTOTAL(9,F6:F1048576)</f>
        <v>10534.16</v>
      </c>
      <c r="G3" s="221">
        <f t="shared" si="0"/>
        <v>511102.81</v>
      </c>
      <c r="H3" s="222"/>
      <c r="I3" s="222"/>
      <c r="J3" s="217">
        <f t="shared" si="0"/>
        <v>7407.8</v>
      </c>
      <c r="K3" s="221">
        <f t="shared" si="0"/>
        <v>429082.64</v>
      </c>
      <c r="L3" s="222"/>
      <c r="M3" s="222"/>
      <c r="N3" s="217">
        <f t="shared" si="0"/>
        <v>6999.5</v>
      </c>
      <c r="O3" s="221">
        <f t="shared" si="0"/>
        <v>414584.30000000005</v>
      </c>
      <c r="P3" s="181">
        <f>IF(G3=0,"",O3/G3)</f>
        <v>0.81115636988965112</v>
      </c>
      <c r="Q3" s="219">
        <f>IF(N3=0,"",O3/N3)</f>
        <v>59.230559325666128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93</v>
      </c>
      <c r="E4" s="536" t="s">
        <v>14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40"/>
      <c r="B5" s="739"/>
      <c r="C5" s="740"/>
      <c r="D5" s="741"/>
      <c r="E5" s="742"/>
      <c r="F5" s="752" t="s">
        <v>94</v>
      </c>
      <c r="G5" s="753" t="s">
        <v>17</v>
      </c>
      <c r="H5" s="754"/>
      <c r="I5" s="754"/>
      <c r="J5" s="752" t="s">
        <v>94</v>
      </c>
      <c r="K5" s="753" t="s">
        <v>17</v>
      </c>
      <c r="L5" s="754"/>
      <c r="M5" s="754"/>
      <c r="N5" s="752" t="s">
        <v>94</v>
      </c>
      <c r="O5" s="753" t="s">
        <v>17</v>
      </c>
      <c r="P5" s="755"/>
      <c r="Q5" s="747"/>
    </row>
    <row r="6" spans="1:17" ht="14.4" customHeight="1" x14ac:dyDescent="0.3">
      <c r="A6" s="697" t="s">
        <v>1213</v>
      </c>
      <c r="B6" s="698" t="s">
        <v>1278</v>
      </c>
      <c r="C6" s="698" t="s">
        <v>1113</v>
      </c>
      <c r="D6" s="698" t="s">
        <v>1279</v>
      </c>
      <c r="E6" s="698" t="s">
        <v>1280</v>
      </c>
      <c r="F6" s="235">
        <v>2</v>
      </c>
      <c r="G6" s="235">
        <v>124</v>
      </c>
      <c r="H6" s="235">
        <v>1</v>
      </c>
      <c r="I6" s="235">
        <v>62</v>
      </c>
      <c r="J6" s="235"/>
      <c r="K6" s="235"/>
      <c r="L6" s="235"/>
      <c r="M6" s="235"/>
      <c r="N6" s="235"/>
      <c r="O6" s="235"/>
      <c r="P6" s="703"/>
      <c r="Q6" s="713"/>
    </row>
    <row r="7" spans="1:17" ht="14.4" customHeight="1" x14ac:dyDescent="0.3">
      <c r="A7" s="681" t="s">
        <v>483</v>
      </c>
      <c r="B7" s="672" t="s">
        <v>1050</v>
      </c>
      <c r="C7" s="672" t="s">
        <v>1051</v>
      </c>
      <c r="D7" s="672" t="s">
        <v>1053</v>
      </c>
      <c r="E7" s="672" t="s">
        <v>634</v>
      </c>
      <c r="F7" s="238"/>
      <c r="G7" s="238"/>
      <c r="H7" s="238"/>
      <c r="I7" s="238"/>
      <c r="J7" s="238">
        <v>0.2</v>
      </c>
      <c r="K7" s="238">
        <v>218.43</v>
      </c>
      <c r="L7" s="238"/>
      <c r="M7" s="238">
        <v>1092.1499999999999</v>
      </c>
      <c r="N7" s="238"/>
      <c r="O7" s="238"/>
      <c r="P7" s="683"/>
      <c r="Q7" s="714"/>
    </row>
    <row r="8" spans="1:17" ht="14.4" customHeight="1" x14ac:dyDescent="0.3">
      <c r="A8" s="681" t="s">
        <v>483</v>
      </c>
      <c r="B8" s="672" t="s">
        <v>1050</v>
      </c>
      <c r="C8" s="672" t="s">
        <v>1051</v>
      </c>
      <c r="D8" s="672" t="s">
        <v>1054</v>
      </c>
      <c r="E8" s="672" t="s">
        <v>634</v>
      </c>
      <c r="F8" s="238">
        <v>2.2000000000000002</v>
      </c>
      <c r="G8" s="238">
        <v>4763.74</v>
      </c>
      <c r="H8" s="238">
        <v>1</v>
      </c>
      <c r="I8" s="238">
        <v>2165.3363636363633</v>
      </c>
      <c r="J8" s="238">
        <v>0.5</v>
      </c>
      <c r="K8" s="238">
        <v>1092.1600000000001</v>
      </c>
      <c r="L8" s="238">
        <v>0.22926524117605077</v>
      </c>
      <c r="M8" s="238">
        <v>2184.3200000000002</v>
      </c>
      <c r="N8" s="238">
        <v>1</v>
      </c>
      <c r="O8" s="238">
        <v>2184.3200000000002</v>
      </c>
      <c r="P8" s="683">
        <v>0.45853048235210153</v>
      </c>
      <c r="Q8" s="714">
        <v>2184.3200000000002</v>
      </c>
    </row>
    <row r="9" spans="1:17" ht="14.4" customHeight="1" x14ac:dyDescent="0.3">
      <c r="A9" s="681" t="s">
        <v>483</v>
      </c>
      <c r="B9" s="672" t="s">
        <v>1050</v>
      </c>
      <c r="C9" s="672" t="s">
        <v>1051</v>
      </c>
      <c r="D9" s="672" t="s">
        <v>1055</v>
      </c>
      <c r="E9" s="672" t="s">
        <v>630</v>
      </c>
      <c r="F9" s="238">
        <v>0.30000000000000004</v>
      </c>
      <c r="G9" s="238">
        <v>280.98</v>
      </c>
      <c r="H9" s="238">
        <v>1</v>
      </c>
      <c r="I9" s="238">
        <v>936.59999999999991</v>
      </c>
      <c r="J9" s="238">
        <v>0.1</v>
      </c>
      <c r="K9" s="238">
        <v>94.48</v>
      </c>
      <c r="L9" s="238">
        <v>0.33625169051178017</v>
      </c>
      <c r="M9" s="238">
        <v>944.8</v>
      </c>
      <c r="N9" s="238">
        <v>0.1</v>
      </c>
      <c r="O9" s="238">
        <v>94.48</v>
      </c>
      <c r="P9" s="683">
        <v>0.33625169051178017</v>
      </c>
      <c r="Q9" s="714">
        <v>944.8</v>
      </c>
    </row>
    <row r="10" spans="1:17" ht="14.4" customHeight="1" x14ac:dyDescent="0.3">
      <c r="A10" s="681" t="s">
        <v>483</v>
      </c>
      <c r="B10" s="672" t="s">
        <v>1050</v>
      </c>
      <c r="C10" s="672" t="s">
        <v>1058</v>
      </c>
      <c r="D10" s="672" t="s">
        <v>1061</v>
      </c>
      <c r="E10" s="672" t="s">
        <v>1062</v>
      </c>
      <c r="F10" s="238">
        <v>1740</v>
      </c>
      <c r="G10" s="238">
        <v>3166.8</v>
      </c>
      <c r="H10" s="238">
        <v>1</v>
      </c>
      <c r="I10" s="238">
        <v>1.82</v>
      </c>
      <c r="J10" s="238">
        <v>2860</v>
      </c>
      <c r="K10" s="238">
        <v>5445.3</v>
      </c>
      <c r="L10" s="238">
        <v>1.7194960212201591</v>
      </c>
      <c r="M10" s="238">
        <v>1.9039510489510489</v>
      </c>
      <c r="N10" s="238">
        <v>2740</v>
      </c>
      <c r="O10" s="238">
        <v>5480</v>
      </c>
      <c r="P10" s="683">
        <v>1.7304534545913854</v>
      </c>
      <c r="Q10" s="714">
        <v>2</v>
      </c>
    </row>
    <row r="11" spans="1:17" ht="14.4" customHeight="1" x14ac:dyDescent="0.3">
      <c r="A11" s="681" t="s">
        <v>483</v>
      </c>
      <c r="B11" s="672" t="s">
        <v>1050</v>
      </c>
      <c r="C11" s="672" t="s">
        <v>1058</v>
      </c>
      <c r="D11" s="672" t="s">
        <v>1069</v>
      </c>
      <c r="E11" s="672" t="s">
        <v>1070</v>
      </c>
      <c r="F11" s="238">
        <v>800</v>
      </c>
      <c r="G11" s="238">
        <v>4248</v>
      </c>
      <c r="H11" s="238">
        <v>1</v>
      </c>
      <c r="I11" s="238">
        <v>5.31</v>
      </c>
      <c r="J11" s="238"/>
      <c r="K11" s="238"/>
      <c r="L11" s="238"/>
      <c r="M11" s="238"/>
      <c r="N11" s="238"/>
      <c r="O11" s="238"/>
      <c r="P11" s="683"/>
      <c r="Q11" s="714"/>
    </row>
    <row r="12" spans="1:17" ht="14.4" customHeight="1" x14ac:dyDescent="0.3">
      <c r="A12" s="681" t="s">
        <v>483</v>
      </c>
      <c r="B12" s="672" t="s">
        <v>1050</v>
      </c>
      <c r="C12" s="672" t="s">
        <v>1058</v>
      </c>
      <c r="D12" s="672" t="s">
        <v>1077</v>
      </c>
      <c r="E12" s="672" t="s">
        <v>1078</v>
      </c>
      <c r="F12" s="238">
        <v>2886.58</v>
      </c>
      <c r="G12" s="238">
        <v>126460.95999999999</v>
      </c>
      <c r="H12" s="238">
        <v>1</v>
      </c>
      <c r="I12" s="238">
        <v>43.809961961906474</v>
      </c>
      <c r="J12" s="238">
        <v>2516</v>
      </c>
      <c r="K12" s="238">
        <v>87167.56</v>
      </c>
      <c r="L12" s="238">
        <v>0.68928434514493642</v>
      </c>
      <c r="M12" s="238">
        <v>34.645294117647055</v>
      </c>
      <c r="N12" s="238">
        <v>2812.4</v>
      </c>
      <c r="O12" s="238">
        <v>107658.66</v>
      </c>
      <c r="P12" s="683">
        <v>0.85131933206896426</v>
      </c>
      <c r="Q12" s="714">
        <v>38.279995733181622</v>
      </c>
    </row>
    <row r="13" spans="1:17" ht="14.4" customHeight="1" x14ac:dyDescent="0.3">
      <c r="A13" s="681" t="s">
        <v>483</v>
      </c>
      <c r="B13" s="672" t="s">
        <v>1050</v>
      </c>
      <c r="C13" s="672" t="s">
        <v>1058</v>
      </c>
      <c r="D13" s="672" t="s">
        <v>1093</v>
      </c>
      <c r="E13" s="672" t="s">
        <v>1094</v>
      </c>
      <c r="F13" s="238">
        <v>2460</v>
      </c>
      <c r="G13" s="238">
        <v>76555.200000000012</v>
      </c>
      <c r="H13" s="238">
        <v>1</v>
      </c>
      <c r="I13" s="238">
        <v>31.120000000000005</v>
      </c>
      <c r="J13" s="238">
        <v>1433</v>
      </c>
      <c r="K13" s="238">
        <v>47524.71</v>
      </c>
      <c r="L13" s="238">
        <v>0.62079009655777784</v>
      </c>
      <c r="M13" s="238">
        <v>33.164487090020934</v>
      </c>
      <c r="N13" s="238">
        <v>894</v>
      </c>
      <c r="O13" s="238">
        <v>29770.2</v>
      </c>
      <c r="P13" s="683">
        <v>0.38887234309361085</v>
      </c>
      <c r="Q13" s="714">
        <v>33.300000000000004</v>
      </c>
    </row>
    <row r="14" spans="1:17" ht="14.4" customHeight="1" x14ac:dyDescent="0.3">
      <c r="A14" s="681" t="s">
        <v>483</v>
      </c>
      <c r="B14" s="672" t="s">
        <v>1050</v>
      </c>
      <c r="C14" s="672" t="s">
        <v>1058</v>
      </c>
      <c r="D14" s="672" t="s">
        <v>1101</v>
      </c>
      <c r="E14" s="672" t="s">
        <v>1047</v>
      </c>
      <c r="F14" s="238">
        <v>2000</v>
      </c>
      <c r="G14" s="238">
        <v>25000</v>
      </c>
      <c r="H14" s="238">
        <v>1</v>
      </c>
      <c r="I14" s="238">
        <v>12.5</v>
      </c>
      <c r="J14" s="238"/>
      <c r="K14" s="238"/>
      <c r="L14" s="238"/>
      <c r="M14" s="238"/>
      <c r="N14" s="238"/>
      <c r="O14" s="238"/>
      <c r="P14" s="683"/>
      <c r="Q14" s="714"/>
    </row>
    <row r="15" spans="1:17" ht="14.4" customHeight="1" x14ac:dyDescent="0.3">
      <c r="A15" s="681" t="s">
        <v>483</v>
      </c>
      <c r="B15" s="672" t="s">
        <v>1050</v>
      </c>
      <c r="C15" s="672" t="s">
        <v>1110</v>
      </c>
      <c r="D15" s="672" t="s">
        <v>1111</v>
      </c>
      <c r="E15" s="672" t="s">
        <v>1112</v>
      </c>
      <c r="F15" s="238"/>
      <c r="G15" s="238"/>
      <c r="H15" s="238"/>
      <c r="I15" s="238"/>
      <c r="J15" s="238"/>
      <c r="K15" s="238"/>
      <c r="L15" s="238"/>
      <c r="M15" s="238"/>
      <c r="N15" s="238">
        <v>2</v>
      </c>
      <c r="O15" s="238">
        <v>1768.64</v>
      </c>
      <c r="P15" s="683"/>
      <c r="Q15" s="714">
        <v>884.32</v>
      </c>
    </row>
    <row r="16" spans="1:17" ht="14.4" customHeight="1" x14ac:dyDescent="0.3">
      <c r="A16" s="681" t="s">
        <v>483</v>
      </c>
      <c r="B16" s="672" t="s">
        <v>1050</v>
      </c>
      <c r="C16" s="672" t="s">
        <v>1113</v>
      </c>
      <c r="D16" s="672" t="s">
        <v>1125</v>
      </c>
      <c r="E16" s="672" t="s">
        <v>1126</v>
      </c>
      <c r="F16" s="238">
        <v>1</v>
      </c>
      <c r="G16" s="238">
        <v>1961</v>
      </c>
      <c r="H16" s="238">
        <v>1</v>
      </c>
      <c r="I16" s="238">
        <v>1961</v>
      </c>
      <c r="J16" s="238"/>
      <c r="K16" s="238"/>
      <c r="L16" s="238"/>
      <c r="M16" s="238"/>
      <c r="N16" s="238"/>
      <c r="O16" s="238"/>
      <c r="P16" s="683"/>
      <c r="Q16" s="714"/>
    </row>
    <row r="17" spans="1:17" ht="14.4" customHeight="1" x14ac:dyDescent="0.3">
      <c r="A17" s="681" t="s">
        <v>483</v>
      </c>
      <c r="B17" s="672" t="s">
        <v>1050</v>
      </c>
      <c r="C17" s="672" t="s">
        <v>1113</v>
      </c>
      <c r="D17" s="672" t="s">
        <v>1141</v>
      </c>
      <c r="E17" s="672" t="s">
        <v>1142</v>
      </c>
      <c r="F17" s="238">
        <v>6</v>
      </c>
      <c r="G17" s="238">
        <v>10506</v>
      </c>
      <c r="H17" s="238">
        <v>1</v>
      </c>
      <c r="I17" s="238">
        <v>1751</v>
      </c>
      <c r="J17" s="238">
        <v>13</v>
      </c>
      <c r="K17" s="238">
        <v>22802</v>
      </c>
      <c r="L17" s="238">
        <v>2.1703788311441081</v>
      </c>
      <c r="M17" s="238">
        <v>1754</v>
      </c>
      <c r="N17" s="238">
        <v>11</v>
      </c>
      <c r="O17" s="238">
        <v>19294</v>
      </c>
      <c r="P17" s="683">
        <v>1.8364743955834761</v>
      </c>
      <c r="Q17" s="714">
        <v>1754</v>
      </c>
    </row>
    <row r="18" spans="1:17" ht="14.4" customHeight="1" x14ac:dyDescent="0.3">
      <c r="A18" s="681" t="s">
        <v>483</v>
      </c>
      <c r="B18" s="672" t="s">
        <v>1050</v>
      </c>
      <c r="C18" s="672" t="s">
        <v>1113</v>
      </c>
      <c r="D18" s="672" t="s">
        <v>1147</v>
      </c>
      <c r="E18" s="672" t="s">
        <v>1148</v>
      </c>
      <c r="F18" s="238"/>
      <c r="G18" s="238"/>
      <c r="H18" s="238"/>
      <c r="I18" s="238"/>
      <c r="J18" s="238">
        <v>3</v>
      </c>
      <c r="K18" s="238">
        <v>42984</v>
      </c>
      <c r="L18" s="238"/>
      <c r="M18" s="238">
        <v>14328</v>
      </c>
      <c r="N18" s="238">
        <v>2</v>
      </c>
      <c r="O18" s="238">
        <v>28656</v>
      </c>
      <c r="P18" s="683"/>
      <c r="Q18" s="714">
        <v>14328</v>
      </c>
    </row>
    <row r="19" spans="1:17" ht="14.4" customHeight="1" x14ac:dyDescent="0.3">
      <c r="A19" s="681" t="s">
        <v>483</v>
      </c>
      <c r="B19" s="672" t="s">
        <v>1050</v>
      </c>
      <c r="C19" s="672" t="s">
        <v>1113</v>
      </c>
      <c r="D19" s="672" t="s">
        <v>1225</v>
      </c>
      <c r="E19" s="672" t="s">
        <v>1226</v>
      </c>
      <c r="F19" s="238">
        <v>51</v>
      </c>
      <c r="G19" s="238">
        <v>99093</v>
      </c>
      <c r="H19" s="238">
        <v>1</v>
      </c>
      <c r="I19" s="238">
        <v>1943</v>
      </c>
      <c r="J19" s="238">
        <v>43</v>
      </c>
      <c r="K19" s="238">
        <v>83807</v>
      </c>
      <c r="L19" s="238">
        <v>0.84574086968807083</v>
      </c>
      <c r="M19" s="238">
        <v>1949</v>
      </c>
      <c r="N19" s="238">
        <v>48</v>
      </c>
      <c r="O19" s="238">
        <v>93552</v>
      </c>
      <c r="P19" s="683">
        <v>0.94408283127970694</v>
      </c>
      <c r="Q19" s="714">
        <v>1949</v>
      </c>
    </row>
    <row r="20" spans="1:17" ht="14.4" customHeight="1" x14ac:dyDescent="0.3">
      <c r="A20" s="681" t="s">
        <v>483</v>
      </c>
      <c r="B20" s="672" t="s">
        <v>1050</v>
      </c>
      <c r="C20" s="672" t="s">
        <v>1113</v>
      </c>
      <c r="D20" s="672" t="s">
        <v>1156</v>
      </c>
      <c r="E20" s="672" t="s">
        <v>1157</v>
      </c>
      <c r="F20" s="238">
        <v>25</v>
      </c>
      <c r="G20" s="238">
        <v>10425</v>
      </c>
      <c r="H20" s="238">
        <v>1</v>
      </c>
      <c r="I20" s="238">
        <v>417</v>
      </c>
      <c r="J20" s="238">
        <v>31</v>
      </c>
      <c r="K20" s="238">
        <v>12958</v>
      </c>
      <c r="L20" s="238">
        <v>1.2429736211031175</v>
      </c>
      <c r="M20" s="238">
        <v>418</v>
      </c>
      <c r="N20" s="238">
        <v>24</v>
      </c>
      <c r="O20" s="238">
        <v>10032</v>
      </c>
      <c r="P20" s="683">
        <v>0.96230215827338128</v>
      </c>
      <c r="Q20" s="714">
        <v>418</v>
      </c>
    </row>
    <row r="21" spans="1:17" ht="14.4" customHeight="1" x14ac:dyDescent="0.3">
      <c r="A21" s="681" t="s">
        <v>483</v>
      </c>
      <c r="B21" s="672" t="s">
        <v>1050</v>
      </c>
      <c r="C21" s="672" t="s">
        <v>1113</v>
      </c>
      <c r="D21" s="672" t="s">
        <v>1164</v>
      </c>
      <c r="E21" s="672" t="s">
        <v>1165</v>
      </c>
      <c r="F21" s="238">
        <v>2</v>
      </c>
      <c r="G21" s="238">
        <v>5058</v>
      </c>
      <c r="H21" s="238">
        <v>1</v>
      </c>
      <c r="I21" s="238">
        <v>2529</v>
      </c>
      <c r="J21" s="238"/>
      <c r="K21" s="238"/>
      <c r="L21" s="238"/>
      <c r="M21" s="238"/>
      <c r="N21" s="238"/>
      <c r="O21" s="238"/>
      <c r="P21" s="683"/>
      <c r="Q21" s="714"/>
    </row>
    <row r="22" spans="1:17" ht="14.4" customHeight="1" x14ac:dyDescent="0.3">
      <c r="A22" s="681" t="s">
        <v>483</v>
      </c>
      <c r="B22" s="672" t="s">
        <v>1050</v>
      </c>
      <c r="C22" s="672" t="s">
        <v>1113</v>
      </c>
      <c r="D22" s="672" t="s">
        <v>1170</v>
      </c>
      <c r="E22" s="672" t="s">
        <v>1171</v>
      </c>
      <c r="F22" s="238">
        <v>3</v>
      </c>
      <c r="G22" s="238">
        <v>2913</v>
      </c>
      <c r="H22" s="238">
        <v>1</v>
      </c>
      <c r="I22" s="238">
        <v>971</v>
      </c>
      <c r="J22" s="238"/>
      <c r="K22" s="238"/>
      <c r="L22" s="238"/>
      <c r="M22" s="238"/>
      <c r="N22" s="238">
        <v>2</v>
      </c>
      <c r="O22" s="238">
        <v>1964</v>
      </c>
      <c r="P22" s="683">
        <v>0.67421901819430141</v>
      </c>
      <c r="Q22" s="714">
        <v>982</v>
      </c>
    </row>
    <row r="23" spans="1:17" ht="14.4" customHeight="1" x14ac:dyDescent="0.3">
      <c r="A23" s="681" t="s">
        <v>483</v>
      </c>
      <c r="B23" s="672" t="s">
        <v>1227</v>
      </c>
      <c r="C23" s="672" t="s">
        <v>1113</v>
      </c>
      <c r="D23" s="672" t="s">
        <v>1235</v>
      </c>
      <c r="E23" s="672" t="s">
        <v>1236</v>
      </c>
      <c r="F23" s="238">
        <v>6</v>
      </c>
      <c r="G23" s="238">
        <v>3834</v>
      </c>
      <c r="H23" s="238">
        <v>1</v>
      </c>
      <c r="I23" s="238">
        <v>639</v>
      </c>
      <c r="J23" s="238">
        <v>8</v>
      </c>
      <c r="K23" s="238">
        <v>5136</v>
      </c>
      <c r="L23" s="238">
        <v>1.3395931142410016</v>
      </c>
      <c r="M23" s="238">
        <v>642</v>
      </c>
      <c r="N23" s="238">
        <v>9</v>
      </c>
      <c r="O23" s="238">
        <v>5778</v>
      </c>
      <c r="P23" s="683">
        <v>1.5070422535211268</v>
      </c>
      <c r="Q23" s="714">
        <v>642</v>
      </c>
    </row>
    <row r="24" spans="1:17" ht="14.4" customHeight="1" x14ac:dyDescent="0.3">
      <c r="A24" s="681" t="s">
        <v>483</v>
      </c>
      <c r="B24" s="672" t="s">
        <v>1227</v>
      </c>
      <c r="C24" s="672" t="s">
        <v>1113</v>
      </c>
      <c r="D24" s="672" t="s">
        <v>1166</v>
      </c>
      <c r="E24" s="672" t="s">
        <v>1167</v>
      </c>
      <c r="F24" s="238">
        <v>65</v>
      </c>
      <c r="G24" s="238">
        <v>21190</v>
      </c>
      <c r="H24" s="238">
        <v>1</v>
      </c>
      <c r="I24" s="238">
        <v>326</v>
      </c>
      <c r="J24" s="238">
        <v>61</v>
      </c>
      <c r="K24" s="238">
        <v>19947</v>
      </c>
      <c r="L24" s="238">
        <v>0.94134025483718731</v>
      </c>
      <c r="M24" s="238">
        <v>327</v>
      </c>
      <c r="N24" s="238">
        <v>49</v>
      </c>
      <c r="O24" s="238">
        <v>16023</v>
      </c>
      <c r="P24" s="683">
        <v>0.75615856536101933</v>
      </c>
      <c r="Q24" s="714">
        <v>327</v>
      </c>
    </row>
    <row r="25" spans="1:17" ht="14.4" customHeight="1" x14ac:dyDescent="0.3">
      <c r="A25" s="681" t="s">
        <v>483</v>
      </c>
      <c r="B25" s="672" t="s">
        <v>1227</v>
      </c>
      <c r="C25" s="672" t="s">
        <v>1113</v>
      </c>
      <c r="D25" s="672" t="s">
        <v>1245</v>
      </c>
      <c r="E25" s="672" t="s">
        <v>1246</v>
      </c>
      <c r="F25" s="238">
        <v>7</v>
      </c>
      <c r="G25" s="238">
        <v>2254</v>
      </c>
      <c r="H25" s="238">
        <v>1</v>
      </c>
      <c r="I25" s="238">
        <v>322</v>
      </c>
      <c r="J25" s="238">
        <v>5</v>
      </c>
      <c r="K25" s="238">
        <v>1615</v>
      </c>
      <c r="L25" s="238">
        <v>0.71650399290150846</v>
      </c>
      <c r="M25" s="238">
        <v>323</v>
      </c>
      <c r="N25" s="238">
        <v>3</v>
      </c>
      <c r="O25" s="238">
        <v>969</v>
      </c>
      <c r="P25" s="683">
        <v>0.42990239574090505</v>
      </c>
      <c r="Q25" s="714">
        <v>323</v>
      </c>
    </row>
    <row r="26" spans="1:17" ht="14.4" customHeight="1" x14ac:dyDescent="0.3">
      <c r="A26" s="681" t="s">
        <v>483</v>
      </c>
      <c r="B26" s="672" t="s">
        <v>1227</v>
      </c>
      <c r="C26" s="672" t="s">
        <v>1113</v>
      </c>
      <c r="D26" s="672" t="s">
        <v>1247</v>
      </c>
      <c r="E26" s="672" t="s">
        <v>1248</v>
      </c>
      <c r="F26" s="238">
        <v>57</v>
      </c>
      <c r="G26" s="238">
        <v>36594</v>
      </c>
      <c r="H26" s="238">
        <v>1</v>
      </c>
      <c r="I26" s="238">
        <v>642</v>
      </c>
      <c r="J26" s="238">
        <v>49</v>
      </c>
      <c r="K26" s="238">
        <v>31605</v>
      </c>
      <c r="L26" s="238">
        <v>0.86366617478275132</v>
      </c>
      <c r="M26" s="238">
        <v>645</v>
      </c>
      <c r="N26" s="238">
        <v>49</v>
      </c>
      <c r="O26" s="238">
        <v>31605</v>
      </c>
      <c r="P26" s="683">
        <v>0.86366617478275132</v>
      </c>
      <c r="Q26" s="714">
        <v>645</v>
      </c>
    </row>
    <row r="27" spans="1:17" ht="14.4" customHeight="1" x14ac:dyDescent="0.3">
      <c r="A27" s="681" t="s">
        <v>483</v>
      </c>
      <c r="B27" s="672" t="s">
        <v>1227</v>
      </c>
      <c r="C27" s="672" t="s">
        <v>1113</v>
      </c>
      <c r="D27" s="672" t="s">
        <v>1249</v>
      </c>
      <c r="E27" s="672" t="s">
        <v>1250</v>
      </c>
      <c r="F27" s="238">
        <v>10</v>
      </c>
      <c r="G27" s="238">
        <v>6390</v>
      </c>
      <c r="H27" s="238">
        <v>1</v>
      </c>
      <c r="I27" s="238">
        <v>639</v>
      </c>
      <c r="J27" s="238">
        <v>7</v>
      </c>
      <c r="K27" s="238">
        <v>4494</v>
      </c>
      <c r="L27" s="238">
        <v>0.70328638497652585</v>
      </c>
      <c r="M27" s="238">
        <v>642</v>
      </c>
      <c r="N27" s="238">
        <v>1</v>
      </c>
      <c r="O27" s="238">
        <v>642</v>
      </c>
      <c r="P27" s="683">
        <v>0.10046948356807511</v>
      </c>
      <c r="Q27" s="714">
        <v>642</v>
      </c>
    </row>
    <row r="28" spans="1:17" ht="14.4" customHeight="1" x14ac:dyDescent="0.3">
      <c r="A28" s="681" t="s">
        <v>1254</v>
      </c>
      <c r="B28" s="672" t="s">
        <v>1281</v>
      </c>
      <c r="C28" s="672" t="s">
        <v>1113</v>
      </c>
      <c r="D28" s="672" t="s">
        <v>1282</v>
      </c>
      <c r="E28" s="672" t="s">
        <v>1283</v>
      </c>
      <c r="F28" s="238">
        <v>59</v>
      </c>
      <c r="G28" s="238">
        <v>3776</v>
      </c>
      <c r="H28" s="238">
        <v>1</v>
      </c>
      <c r="I28" s="238">
        <v>64</v>
      </c>
      <c r="J28" s="238">
        <v>49</v>
      </c>
      <c r="K28" s="238">
        <v>3185</v>
      </c>
      <c r="L28" s="238">
        <v>0.84348516949152541</v>
      </c>
      <c r="M28" s="238">
        <v>65</v>
      </c>
      <c r="N28" s="238">
        <v>51</v>
      </c>
      <c r="O28" s="238">
        <v>3315</v>
      </c>
      <c r="P28" s="683">
        <v>0.87791313559322037</v>
      </c>
      <c r="Q28" s="714">
        <v>65</v>
      </c>
    </row>
    <row r="29" spans="1:17" ht="14.4" customHeight="1" x14ac:dyDescent="0.3">
      <c r="A29" s="681" t="s">
        <v>1254</v>
      </c>
      <c r="B29" s="672" t="s">
        <v>1281</v>
      </c>
      <c r="C29" s="672" t="s">
        <v>1113</v>
      </c>
      <c r="D29" s="672" t="s">
        <v>1284</v>
      </c>
      <c r="E29" s="672" t="s">
        <v>1285</v>
      </c>
      <c r="F29" s="238">
        <v>2</v>
      </c>
      <c r="G29" s="238">
        <v>154</v>
      </c>
      <c r="H29" s="238">
        <v>1</v>
      </c>
      <c r="I29" s="238">
        <v>77</v>
      </c>
      <c r="J29" s="238"/>
      <c r="K29" s="238"/>
      <c r="L29" s="238"/>
      <c r="M29" s="238"/>
      <c r="N29" s="238"/>
      <c r="O29" s="238"/>
      <c r="P29" s="683"/>
      <c r="Q29" s="714"/>
    </row>
    <row r="30" spans="1:17" ht="14.4" customHeight="1" x14ac:dyDescent="0.3">
      <c r="A30" s="681" t="s">
        <v>1254</v>
      </c>
      <c r="B30" s="672" t="s">
        <v>1281</v>
      </c>
      <c r="C30" s="672" t="s">
        <v>1113</v>
      </c>
      <c r="D30" s="672" t="s">
        <v>1286</v>
      </c>
      <c r="E30" s="672" t="s">
        <v>1287</v>
      </c>
      <c r="F30" s="238">
        <v>2</v>
      </c>
      <c r="G30" s="238">
        <v>44</v>
      </c>
      <c r="H30" s="238">
        <v>1</v>
      </c>
      <c r="I30" s="238">
        <v>22</v>
      </c>
      <c r="J30" s="238">
        <v>2</v>
      </c>
      <c r="K30" s="238">
        <v>44</v>
      </c>
      <c r="L30" s="238">
        <v>1</v>
      </c>
      <c r="M30" s="238">
        <v>22</v>
      </c>
      <c r="N30" s="238">
        <v>2</v>
      </c>
      <c r="O30" s="238">
        <v>44</v>
      </c>
      <c r="P30" s="683">
        <v>1</v>
      </c>
      <c r="Q30" s="714">
        <v>22</v>
      </c>
    </row>
    <row r="31" spans="1:17" ht="14.4" customHeight="1" x14ac:dyDescent="0.3">
      <c r="A31" s="681" t="s">
        <v>1254</v>
      </c>
      <c r="B31" s="672" t="s">
        <v>1281</v>
      </c>
      <c r="C31" s="672" t="s">
        <v>1113</v>
      </c>
      <c r="D31" s="672" t="s">
        <v>1288</v>
      </c>
      <c r="E31" s="672" t="s">
        <v>1289</v>
      </c>
      <c r="F31" s="238">
        <v>2</v>
      </c>
      <c r="G31" s="238">
        <v>418</v>
      </c>
      <c r="H31" s="238">
        <v>1</v>
      </c>
      <c r="I31" s="238">
        <v>209</v>
      </c>
      <c r="J31" s="238"/>
      <c r="K31" s="238"/>
      <c r="L31" s="238"/>
      <c r="M31" s="238"/>
      <c r="N31" s="238"/>
      <c r="O31" s="238"/>
      <c r="P31" s="683"/>
      <c r="Q31" s="714"/>
    </row>
    <row r="32" spans="1:17" ht="14.4" customHeight="1" x14ac:dyDescent="0.3">
      <c r="A32" s="681" t="s">
        <v>1254</v>
      </c>
      <c r="B32" s="672" t="s">
        <v>1281</v>
      </c>
      <c r="C32" s="672" t="s">
        <v>1113</v>
      </c>
      <c r="D32" s="672" t="s">
        <v>1290</v>
      </c>
      <c r="E32" s="672" t="s">
        <v>1291</v>
      </c>
      <c r="F32" s="238">
        <v>2</v>
      </c>
      <c r="G32" s="238">
        <v>46</v>
      </c>
      <c r="H32" s="238">
        <v>1</v>
      </c>
      <c r="I32" s="238">
        <v>23</v>
      </c>
      <c r="J32" s="238">
        <v>2</v>
      </c>
      <c r="K32" s="238">
        <v>48</v>
      </c>
      <c r="L32" s="238">
        <v>1.0434782608695652</v>
      </c>
      <c r="M32" s="238">
        <v>24</v>
      </c>
      <c r="N32" s="238">
        <v>2</v>
      </c>
      <c r="O32" s="238">
        <v>48</v>
      </c>
      <c r="P32" s="683">
        <v>1.0434782608695652</v>
      </c>
      <c r="Q32" s="714">
        <v>24</v>
      </c>
    </row>
    <row r="33" spans="1:17" ht="14.4" customHeight="1" x14ac:dyDescent="0.3">
      <c r="A33" s="681" t="s">
        <v>1292</v>
      </c>
      <c r="B33" s="672" t="s">
        <v>1293</v>
      </c>
      <c r="C33" s="672" t="s">
        <v>1113</v>
      </c>
      <c r="D33" s="672" t="s">
        <v>1294</v>
      </c>
      <c r="E33" s="672" t="s">
        <v>1295</v>
      </c>
      <c r="F33" s="238">
        <v>1</v>
      </c>
      <c r="G33" s="238">
        <v>27</v>
      </c>
      <c r="H33" s="238">
        <v>1</v>
      </c>
      <c r="I33" s="238">
        <v>27</v>
      </c>
      <c r="J33" s="238"/>
      <c r="K33" s="238"/>
      <c r="L33" s="238"/>
      <c r="M33" s="238"/>
      <c r="N33" s="238"/>
      <c r="O33" s="238"/>
      <c r="P33" s="683"/>
      <c r="Q33" s="714"/>
    </row>
    <row r="34" spans="1:17" ht="14.4" customHeight="1" x14ac:dyDescent="0.3">
      <c r="A34" s="681" t="s">
        <v>1292</v>
      </c>
      <c r="B34" s="672" t="s">
        <v>1293</v>
      </c>
      <c r="C34" s="672" t="s">
        <v>1113</v>
      </c>
      <c r="D34" s="672" t="s">
        <v>1296</v>
      </c>
      <c r="E34" s="672" t="s">
        <v>1297</v>
      </c>
      <c r="F34" s="238">
        <v>1</v>
      </c>
      <c r="G34" s="238">
        <v>24</v>
      </c>
      <c r="H34" s="238">
        <v>1</v>
      </c>
      <c r="I34" s="238">
        <v>24</v>
      </c>
      <c r="J34" s="238"/>
      <c r="K34" s="238"/>
      <c r="L34" s="238"/>
      <c r="M34" s="238"/>
      <c r="N34" s="238"/>
      <c r="O34" s="238"/>
      <c r="P34" s="683"/>
      <c r="Q34" s="714"/>
    </row>
    <row r="35" spans="1:17" ht="14.4" customHeight="1" x14ac:dyDescent="0.3">
      <c r="A35" s="681" t="s">
        <v>1292</v>
      </c>
      <c r="B35" s="672" t="s">
        <v>1293</v>
      </c>
      <c r="C35" s="672" t="s">
        <v>1113</v>
      </c>
      <c r="D35" s="672" t="s">
        <v>1298</v>
      </c>
      <c r="E35" s="672" t="s">
        <v>1299</v>
      </c>
      <c r="F35" s="238">
        <v>1</v>
      </c>
      <c r="G35" s="238">
        <v>27</v>
      </c>
      <c r="H35" s="238">
        <v>1</v>
      </c>
      <c r="I35" s="238">
        <v>27</v>
      </c>
      <c r="J35" s="238"/>
      <c r="K35" s="238"/>
      <c r="L35" s="238"/>
      <c r="M35" s="238"/>
      <c r="N35" s="238"/>
      <c r="O35" s="238"/>
      <c r="P35" s="683"/>
      <c r="Q35" s="714"/>
    </row>
    <row r="36" spans="1:17" ht="14.4" customHeight="1" x14ac:dyDescent="0.3">
      <c r="A36" s="681" t="s">
        <v>1292</v>
      </c>
      <c r="B36" s="672" t="s">
        <v>1293</v>
      </c>
      <c r="C36" s="672" t="s">
        <v>1113</v>
      </c>
      <c r="D36" s="672" t="s">
        <v>1300</v>
      </c>
      <c r="E36" s="672" t="s">
        <v>1301</v>
      </c>
      <c r="F36" s="238">
        <v>1</v>
      </c>
      <c r="G36" s="238">
        <v>22</v>
      </c>
      <c r="H36" s="238">
        <v>1</v>
      </c>
      <c r="I36" s="238">
        <v>22</v>
      </c>
      <c r="J36" s="238"/>
      <c r="K36" s="238"/>
      <c r="L36" s="238"/>
      <c r="M36" s="238"/>
      <c r="N36" s="238"/>
      <c r="O36" s="238"/>
      <c r="P36" s="683"/>
      <c r="Q36" s="714"/>
    </row>
    <row r="37" spans="1:17" ht="14.4" customHeight="1" x14ac:dyDescent="0.3">
      <c r="A37" s="681" t="s">
        <v>1292</v>
      </c>
      <c r="B37" s="672" t="s">
        <v>1293</v>
      </c>
      <c r="C37" s="672" t="s">
        <v>1113</v>
      </c>
      <c r="D37" s="672" t="s">
        <v>1302</v>
      </c>
      <c r="E37" s="672" t="s">
        <v>1303</v>
      </c>
      <c r="F37" s="238">
        <v>4</v>
      </c>
      <c r="G37" s="238">
        <v>68</v>
      </c>
      <c r="H37" s="238">
        <v>1</v>
      </c>
      <c r="I37" s="238">
        <v>17</v>
      </c>
      <c r="J37" s="238">
        <v>12</v>
      </c>
      <c r="K37" s="238">
        <v>204</v>
      </c>
      <c r="L37" s="238">
        <v>3</v>
      </c>
      <c r="M37" s="238">
        <v>17</v>
      </c>
      <c r="N37" s="238"/>
      <c r="O37" s="238"/>
      <c r="P37" s="683"/>
      <c r="Q37" s="714"/>
    </row>
    <row r="38" spans="1:17" ht="14.4" customHeight="1" x14ac:dyDescent="0.3">
      <c r="A38" s="681" t="s">
        <v>1292</v>
      </c>
      <c r="B38" s="672" t="s">
        <v>1293</v>
      </c>
      <c r="C38" s="672" t="s">
        <v>1113</v>
      </c>
      <c r="D38" s="672" t="s">
        <v>1304</v>
      </c>
      <c r="E38" s="672" t="s">
        <v>1305</v>
      </c>
      <c r="F38" s="238">
        <v>2</v>
      </c>
      <c r="G38" s="238">
        <v>1700</v>
      </c>
      <c r="H38" s="238">
        <v>1</v>
      </c>
      <c r="I38" s="238">
        <v>850</v>
      </c>
      <c r="J38" s="238"/>
      <c r="K38" s="238"/>
      <c r="L38" s="238"/>
      <c r="M38" s="238"/>
      <c r="N38" s="238">
        <v>1</v>
      </c>
      <c r="O38" s="238">
        <v>851</v>
      </c>
      <c r="P38" s="683">
        <v>0.50058823529411767</v>
      </c>
      <c r="Q38" s="714">
        <v>851</v>
      </c>
    </row>
    <row r="39" spans="1:17" ht="14.4" customHeight="1" x14ac:dyDescent="0.3">
      <c r="A39" s="681" t="s">
        <v>1292</v>
      </c>
      <c r="B39" s="672" t="s">
        <v>1293</v>
      </c>
      <c r="C39" s="672" t="s">
        <v>1113</v>
      </c>
      <c r="D39" s="672" t="s">
        <v>1306</v>
      </c>
      <c r="E39" s="672" t="s">
        <v>1307</v>
      </c>
      <c r="F39" s="238">
        <v>1</v>
      </c>
      <c r="G39" s="238">
        <v>361</v>
      </c>
      <c r="H39" s="238">
        <v>1</v>
      </c>
      <c r="I39" s="238">
        <v>361</v>
      </c>
      <c r="J39" s="238"/>
      <c r="K39" s="238"/>
      <c r="L39" s="238"/>
      <c r="M39" s="238"/>
      <c r="N39" s="238"/>
      <c r="O39" s="238"/>
      <c r="P39" s="683"/>
      <c r="Q39" s="714"/>
    </row>
    <row r="40" spans="1:17" ht="14.4" customHeight="1" x14ac:dyDescent="0.3">
      <c r="A40" s="681" t="s">
        <v>1292</v>
      </c>
      <c r="B40" s="672" t="s">
        <v>1293</v>
      </c>
      <c r="C40" s="672" t="s">
        <v>1113</v>
      </c>
      <c r="D40" s="672" t="s">
        <v>1308</v>
      </c>
      <c r="E40" s="672" t="s">
        <v>1309</v>
      </c>
      <c r="F40" s="238">
        <v>6</v>
      </c>
      <c r="G40" s="238">
        <v>3354</v>
      </c>
      <c r="H40" s="238">
        <v>1</v>
      </c>
      <c r="I40" s="238">
        <v>559</v>
      </c>
      <c r="J40" s="238"/>
      <c r="K40" s="238"/>
      <c r="L40" s="238"/>
      <c r="M40" s="238"/>
      <c r="N40" s="238">
        <v>1</v>
      </c>
      <c r="O40" s="238">
        <v>560</v>
      </c>
      <c r="P40" s="683">
        <v>0.16696481812760883</v>
      </c>
      <c r="Q40" s="714">
        <v>560</v>
      </c>
    </row>
    <row r="41" spans="1:17" ht="14.4" customHeight="1" x14ac:dyDescent="0.3">
      <c r="A41" s="681" t="s">
        <v>1292</v>
      </c>
      <c r="B41" s="672" t="s">
        <v>1293</v>
      </c>
      <c r="C41" s="672" t="s">
        <v>1113</v>
      </c>
      <c r="D41" s="672" t="s">
        <v>1310</v>
      </c>
      <c r="E41" s="672" t="s">
        <v>1311</v>
      </c>
      <c r="F41" s="238"/>
      <c r="G41" s="238"/>
      <c r="H41" s="238"/>
      <c r="I41" s="238"/>
      <c r="J41" s="238">
        <v>1</v>
      </c>
      <c r="K41" s="238">
        <v>131</v>
      </c>
      <c r="L41" s="238"/>
      <c r="M41" s="238">
        <v>131</v>
      </c>
      <c r="N41" s="238"/>
      <c r="O41" s="238"/>
      <c r="P41" s="683"/>
      <c r="Q41" s="714"/>
    </row>
    <row r="42" spans="1:17" ht="14.4" customHeight="1" x14ac:dyDescent="0.3">
      <c r="A42" s="681" t="s">
        <v>1292</v>
      </c>
      <c r="B42" s="672" t="s">
        <v>1293</v>
      </c>
      <c r="C42" s="672" t="s">
        <v>1113</v>
      </c>
      <c r="D42" s="672" t="s">
        <v>1312</v>
      </c>
      <c r="E42" s="672" t="s">
        <v>1313</v>
      </c>
      <c r="F42" s="238">
        <v>4</v>
      </c>
      <c r="G42" s="238">
        <v>1644</v>
      </c>
      <c r="H42" s="238">
        <v>1</v>
      </c>
      <c r="I42" s="238">
        <v>411</v>
      </c>
      <c r="J42" s="238"/>
      <c r="K42" s="238"/>
      <c r="L42" s="238"/>
      <c r="M42" s="238"/>
      <c r="N42" s="238"/>
      <c r="O42" s="238"/>
      <c r="P42" s="683"/>
      <c r="Q42" s="714"/>
    </row>
    <row r="43" spans="1:17" ht="14.4" customHeight="1" x14ac:dyDescent="0.3">
      <c r="A43" s="681" t="s">
        <v>1292</v>
      </c>
      <c r="B43" s="672" t="s">
        <v>1293</v>
      </c>
      <c r="C43" s="672" t="s">
        <v>1113</v>
      </c>
      <c r="D43" s="672" t="s">
        <v>1314</v>
      </c>
      <c r="E43" s="672" t="s">
        <v>1315</v>
      </c>
      <c r="F43" s="238"/>
      <c r="G43" s="238"/>
      <c r="H43" s="238"/>
      <c r="I43" s="238"/>
      <c r="J43" s="238"/>
      <c r="K43" s="238"/>
      <c r="L43" s="238"/>
      <c r="M43" s="238"/>
      <c r="N43" s="238">
        <v>1</v>
      </c>
      <c r="O43" s="238">
        <v>939</v>
      </c>
      <c r="P43" s="683"/>
      <c r="Q43" s="714">
        <v>939</v>
      </c>
    </row>
    <row r="44" spans="1:17" ht="14.4" customHeight="1" x14ac:dyDescent="0.3">
      <c r="A44" s="681" t="s">
        <v>1292</v>
      </c>
      <c r="B44" s="672" t="s">
        <v>1293</v>
      </c>
      <c r="C44" s="672" t="s">
        <v>1113</v>
      </c>
      <c r="D44" s="672" t="s">
        <v>1316</v>
      </c>
      <c r="E44" s="672" t="s">
        <v>1317</v>
      </c>
      <c r="F44" s="238">
        <v>55</v>
      </c>
      <c r="G44" s="238">
        <v>21615</v>
      </c>
      <c r="H44" s="238">
        <v>1</v>
      </c>
      <c r="I44" s="238">
        <v>393</v>
      </c>
      <c r="J44" s="238">
        <v>58</v>
      </c>
      <c r="K44" s="238">
        <v>22852</v>
      </c>
      <c r="L44" s="238">
        <v>1.0572287763127457</v>
      </c>
      <c r="M44" s="238">
        <v>394</v>
      </c>
      <c r="N44" s="238">
        <v>51</v>
      </c>
      <c r="O44" s="238">
        <v>20094</v>
      </c>
      <c r="P44" s="683">
        <v>0.92963219986120749</v>
      </c>
      <c r="Q44" s="714">
        <v>394</v>
      </c>
    </row>
    <row r="45" spans="1:17" ht="14.4" customHeight="1" x14ac:dyDescent="0.3">
      <c r="A45" s="681" t="s">
        <v>1292</v>
      </c>
      <c r="B45" s="672" t="s">
        <v>1293</v>
      </c>
      <c r="C45" s="672" t="s">
        <v>1113</v>
      </c>
      <c r="D45" s="672" t="s">
        <v>1318</v>
      </c>
      <c r="E45" s="672" t="s">
        <v>1319</v>
      </c>
      <c r="F45" s="238">
        <v>1</v>
      </c>
      <c r="G45" s="238">
        <v>29</v>
      </c>
      <c r="H45" s="238">
        <v>1</v>
      </c>
      <c r="I45" s="238">
        <v>29</v>
      </c>
      <c r="J45" s="238"/>
      <c r="K45" s="238"/>
      <c r="L45" s="238"/>
      <c r="M45" s="238"/>
      <c r="N45" s="238"/>
      <c r="O45" s="238"/>
      <c r="P45" s="683"/>
      <c r="Q45" s="714"/>
    </row>
    <row r="46" spans="1:17" ht="14.4" customHeight="1" x14ac:dyDescent="0.3">
      <c r="A46" s="681" t="s">
        <v>1292</v>
      </c>
      <c r="B46" s="672" t="s">
        <v>1293</v>
      </c>
      <c r="C46" s="672" t="s">
        <v>1113</v>
      </c>
      <c r="D46" s="672" t="s">
        <v>1320</v>
      </c>
      <c r="E46" s="672" t="s">
        <v>1321</v>
      </c>
      <c r="F46" s="238">
        <v>12</v>
      </c>
      <c r="G46" s="238">
        <v>2160</v>
      </c>
      <c r="H46" s="238">
        <v>1</v>
      </c>
      <c r="I46" s="238">
        <v>180</v>
      </c>
      <c r="J46" s="238">
        <v>22</v>
      </c>
      <c r="K46" s="238">
        <v>3982</v>
      </c>
      <c r="L46" s="238">
        <v>1.8435185185185186</v>
      </c>
      <c r="M46" s="238">
        <v>181</v>
      </c>
      <c r="N46" s="238">
        <v>11</v>
      </c>
      <c r="O46" s="238">
        <v>1991</v>
      </c>
      <c r="P46" s="683">
        <v>0.92175925925925928</v>
      </c>
      <c r="Q46" s="714">
        <v>181</v>
      </c>
    </row>
    <row r="47" spans="1:17" ht="14.4" customHeight="1" x14ac:dyDescent="0.3">
      <c r="A47" s="681" t="s">
        <v>1292</v>
      </c>
      <c r="B47" s="672" t="s">
        <v>1293</v>
      </c>
      <c r="C47" s="672" t="s">
        <v>1113</v>
      </c>
      <c r="D47" s="672" t="s">
        <v>1322</v>
      </c>
      <c r="E47" s="672" t="s">
        <v>1323</v>
      </c>
      <c r="F47" s="238">
        <v>7</v>
      </c>
      <c r="G47" s="238">
        <v>1267</v>
      </c>
      <c r="H47" s="238">
        <v>1</v>
      </c>
      <c r="I47" s="238">
        <v>181</v>
      </c>
      <c r="J47" s="238"/>
      <c r="K47" s="238"/>
      <c r="L47" s="238"/>
      <c r="M47" s="238"/>
      <c r="N47" s="238">
        <v>1</v>
      </c>
      <c r="O47" s="238">
        <v>182</v>
      </c>
      <c r="P47" s="683">
        <v>0.143646408839779</v>
      </c>
      <c r="Q47" s="714">
        <v>182</v>
      </c>
    </row>
    <row r="48" spans="1:17" ht="14.4" customHeight="1" x14ac:dyDescent="0.3">
      <c r="A48" s="681" t="s">
        <v>1292</v>
      </c>
      <c r="B48" s="672" t="s">
        <v>1293</v>
      </c>
      <c r="C48" s="672" t="s">
        <v>1113</v>
      </c>
      <c r="D48" s="672" t="s">
        <v>1324</v>
      </c>
      <c r="E48" s="672" t="s">
        <v>1325</v>
      </c>
      <c r="F48" s="238"/>
      <c r="G48" s="238"/>
      <c r="H48" s="238"/>
      <c r="I48" s="238"/>
      <c r="J48" s="238"/>
      <c r="K48" s="238"/>
      <c r="L48" s="238"/>
      <c r="M48" s="238"/>
      <c r="N48" s="238">
        <v>1</v>
      </c>
      <c r="O48" s="238">
        <v>147</v>
      </c>
      <c r="P48" s="683"/>
      <c r="Q48" s="714">
        <v>147</v>
      </c>
    </row>
    <row r="49" spans="1:17" ht="14.4" customHeight="1" x14ac:dyDescent="0.3">
      <c r="A49" s="681" t="s">
        <v>1292</v>
      </c>
      <c r="B49" s="672" t="s">
        <v>1293</v>
      </c>
      <c r="C49" s="672" t="s">
        <v>1113</v>
      </c>
      <c r="D49" s="672" t="s">
        <v>1326</v>
      </c>
      <c r="E49" s="672" t="s">
        <v>1327</v>
      </c>
      <c r="F49" s="238">
        <v>1</v>
      </c>
      <c r="G49" s="238">
        <v>29</v>
      </c>
      <c r="H49" s="238">
        <v>1</v>
      </c>
      <c r="I49" s="238">
        <v>29</v>
      </c>
      <c r="J49" s="238"/>
      <c r="K49" s="238"/>
      <c r="L49" s="238"/>
      <c r="M49" s="238"/>
      <c r="N49" s="238"/>
      <c r="O49" s="238"/>
      <c r="P49" s="683"/>
      <c r="Q49" s="714"/>
    </row>
    <row r="50" spans="1:17" ht="14.4" customHeight="1" x14ac:dyDescent="0.3">
      <c r="A50" s="681" t="s">
        <v>1292</v>
      </c>
      <c r="B50" s="672" t="s">
        <v>1293</v>
      </c>
      <c r="C50" s="672" t="s">
        <v>1113</v>
      </c>
      <c r="D50" s="672" t="s">
        <v>1328</v>
      </c>
      <c r="E50" s="672" t="s">
        <v>1329</v>
      </c>
      <c r="F50" s="238">
        <v>1</v>
      </c>
      <c r="G50" s="238">
        <v>27</v>
      </c>
      <c r="H50" s="238">
        <v>1</v>
      </c>
      <c r="I50" s="238">
        <v>27</v>
      </c>
      <c r="J50" s="238"/>
      <c r="K50" s="238"/>
      <c r="L50" s="238"/>
      <c r="M50" s="238"/>
      <c r="N50" s="238"/>
      <c r="O50" s="238"/>
      <c r="P50" s="683"/>
      <c r="Q50" s="714"/>
    </row>
    <row r="51" spans="1:17" ht="14.4" customHeight="1" x14ac:dyDescent="0.3">
      <c r="A51" s="681" t="s">
        <v>1292</v>
      </c>
      <c r="B51" s="672" t="s">
        <v>1293</v>
      </c>
      <c r="C51" s="672" t="s">
        <v>1113</v>
      </c>
      <c r="D51" s="672" t="s">
        <v>1330</v>
      </c>
      <c r="E51" s="672" t="s">
        <v>1331</v>
      </c>
      <c r="F51" s="238">
        <v>1</v>
      </c>
      <c r="G51" s="238">
        <v>25</v>
      </c>
      <c r="H51" s="238">
        <v>1</v>
      </c>
      <c r="I51" s="238">
        <v>25</v>
      </c>
      <c r="J51" s="238"/>
      <c r="K51" s="238"/>
      <c r="L51" s="238"/>
      <c r="M51" s="238"/>
      <c r="N51" s="238"/>
      <c r="O51" s="238"/>
      <c r="P51" s="683"/>
      <c r="Q51" s="714"/>
    </row>
    <row r="52" spans="1:17" ht="14.4" customHeight="1" x14ac:dyDescent="0.3">
      <c r="A52" s="681" t="s">
        <v>1292</v>
      </c>
      <c r="B52" s="672" t="s">
        <v>1293</v>
      </c>
      <c r="C52" s="672" t="s">
        <v>1113</v>
      </c>
      <c r="D52" s="672" t="s">
        <v>1332</v>
      </c>
      <c r="E52" s="672" t="s">
        <v>1333</v>
      </c>
      <c r="F52" s="238">
        <v>63</v>
      </c>
      <c r="G52" s="238">
        <v>10899</v>
      </c>
      <c r="H52" s="238">
        <v>1</v>
      </c>
      <c r="I52" s="238">
        <v>173</v>
      </c>
      <c r="J52" s="238">
        <v>71</v>
      </c>
      <c r="K52" s="238">
        <v>12354</v>
      </c>
      <c r="L52" s="238">
        <v>1.1334984860996422</v>
      </c>
      <c r="M52" s="238">
        <v>174</v>
      </c>
      <c r="N52" s="238">
        <v>58</v>
      </c>
      <c r="O52" s="238">
        <v>10092</v>
      </c>
      <c r="P52" s="683">
        <v>0.92595650977153865</v>
      </c>
      <c r="Q52" s="714">
        <v>174</v>
      </c>
    </row>
    <row r="53" spans="1:17" ht="14.4" customHeight="1" x14ac:dyDescent="0.3">
      <c r="A53" s="681" t="s">
        <v>1292</v>
      </c>
      <c r="B53" s="672" t="s">
        <v>1293</v>
      </c>
      <c r="C53" s="672" t="s">
        <v>1113</v>
      </c>
      <c r="D53" s="672" t="s">
        <v>1334</v>
      </c>
      <c r="E53" s="672" t="s">
        <v>1335</v>
      </c>
      <c r="F53" s="238">
        <v>2</v>
      </c>
      <c r="G53" s="238">
        <v>1170</v>
      </c>
      <c r="H53" s="238">
        <v>1</v>
      </c>
      <c r="I53" s="238">
        <v>585</v>
      </c>
      <c r="J53" s="238"/>
      <c r="K53" s="238"/>
      <c r="L53" s="238"/>
      <c r="M53" s="238"/>
      <c r="N53" s="238">
        <v>1</v>
      </c>
      <c r="O53" s="238">
        <v>586</v>
      </c>
      <c r="P53" s="683">
        <v>0.50085470085470085</v>
      </c>
      <c r="Q53" s="714">
        <v>586</v>
      </c>
    </row>
    <row r="54" spans="1:17" ht="14.4" customHeight="1" x14ac:dyDescent="0.3">
      <c r="A54" s="681" t="s">
        <v>1292</v>
      </c>
      <c r="B54" s="672" t="s">
        <v>1293</v>
      </c>
      <c r="C54" s="672" t="s">
        <v>1113</v>
      </c>
      <c r="D54" s="672" t="s">
        <v>1336</v>
      </c>
      <c r="E54" s="672" t="s">
        <v>1337</v>
      </c>
      <c r="F54" s="238"/>
      <c r="G54" s="238"/>
      <c r="H54" s="238"/>
      <c r="I54" s="238"/>
      <c r="J54" s="238"/>
      <c r="K54" s="238"/>
      <c r="L54" s="238"/>
      <c r="M54" s="238"/>
      <c r="N54" s="238">
        <v>1</v>
      </c>
      <c r="O54" s="238">
        <v>331</v>
      </c>
      <c r="P54" s="683"/>
      <c r="Q54" s="714">
        <v>331</v>
      </c>
    </row>
    <row r="55" spans="1:17" ht="14.4" customHeight="1" x14ac:dyDescent="0.3">
      <c r="A55" s="681" t="s">
        <v>1292</v>
      </c>
      <c r="B55" s="672" t="s">
        <v>1293</v>
      </c>
      <c r="C55" s="672" t="s">
        <v>1113</v>
      </c>
      <c r="D55" s="672" t="s">
        <v>1338</v>
      </c>
      <c r="E55" s="672" t="s">
        <v>1339</v>
      </c>
      <c r="F55" s="238">
        <v>1</v>
      </c>
      <c r="G55" s="238">
        <v>29</v>
      </c>
      <c r="H55" s="238">
        <v>1</v>
      </c>
      <c r="I55" s="238">
        <v>29</v>
      </c>
      <c r="J55" s="238"/>
      <c r="K55" s="238"/>
      <c r="L55" s="238"/>
      <c r="M55" s="238"/>
      <c r="N55" s="238"/>
      <c r="O55" s="238"/>
      <c r="P55" s="683"/>
      <c r="Q55" s="714"/>
    </row>
    <row r="56" spans="1:17" ht="14.4" customHeight="1" x14ac:dyDescent="0.3">
      <c r="A56" s="681" t="s">
        <v>1292</v>
      </c>
      <c r="B56" s="672" t="s">
        <v>1293</v>
      </c>
      <c r="C56" s="672" t="s">
        <v>1113</v>
      </c>
      <c r="D56" s="672" t="s">
        <v>1340</v>
      </c>
      <c r="E56" s="672" t="s">
        <v>1341</v>
      </c>
      <c r="F56" s="238"/>
      <c r="G56" s="238"/>
      <c r="H56" s="238"/>
      <c r="I56" s="238"/>
      <c r="J56" s="238"/>
      <c r="K56" s="238"/>
      <c r="L56" s="238"/>
      <c r="M56" s="238"/>
      <c r="N56" s="238">
        <v>1</v>
      </c>
      <c r="O56" s="238">
        <v>15</v>
      </c>
      <c r="P56" s="683"/>
      <c r="Q56" s="714">
        <v>15</v>
      </c>
    </row>
    <row r="57" spans="1:17" ht="14.4" customHeight="1" x14ac:dyDescent="0.3">
      <c r="A57" s="681" t="s">
        <v>1292</v>
      </c>
      <c r="B57" s="672" t="s">
        <v>1293</v>
      </c>
      <c r="C57" s="672" t="s">
        <v>1113</v>
      </c>
      <c r="D57" s="672" t="s">
        <v>1342</v>
      </c>
      <c r="E57" s="672" t="s">
        <v>1343</v>
      </c>
      <c r="F57" s="238">
        <v>53</v>
      </c>
      <c r="G57" s="238">
        <v>1007</v>
      </c>
      <c r="H57" s="238">
        <v>1</v>
      </c>
      <c r="I57" s="238">
        <v>19</v>
      </c>
      <c r="J57" s="238">
        <v>51</v>
      </c>
      <c r="K57" s="238">
        <v>969</v>
      </c>
      <c r="L57" s="238">
        <v>0.96226415094339623</v>
      </c>
      <c r="M57" s="238">
        <v>19</v>
      </c>
      <c r="N57" s="238">
        <v>52</v>
      </c>
      <c r="O57" s="238">
        <v>988</v>
      </c>
      <c r="P57" s="683">
        <v>0.98113207547169812</v>
      </c>
      <c r="Q57" s="714">
        <v>19</v>
      </c>
    </row>
    <row r="58" spans="1:17" ht="14.4" customHeight="1" x14ac:dyDescent="0.3">
      <c r="A58" s="681" t="s">
        <v>1292</v>
      </c>
      <c r="B58" s="672" t="s">
        <v>1293</v>
      </c>
      <c r="C58" s="672" t="s">
        <v>1113</v>
      </c>
      <c r="D58" s="672" t="s">
        <v>1344</v>
      </c>
      <c r="E58" s="672" t="s">
        <v>1345</v>
      </c>
      <c r="F58" s="238">
        <v>56</v>
      </c>
      <c r="G58" s="238">
        <v>1120</v>
      </c>
      <c r="H58" s="238">
        <v>1</v>
      </c>
      <c r="I58" s="238">
        <v>20</v>
      </c>
      <c r="J58" s="238">
        <v>50</v>
      </c>
      <c r="K58" s="238">
        <v>1000</v>
      </c>
      <c r="L58" s="238">
        <v>0.8928571428571429</v>
      </c>
      <c r="M58" s="238">
        <v>20</v>
      </c>
      <c r="N58" s="238">
        <v>51</v>
      </c>
      <c r="O58" s="238">
        <v>1020</v>
      </c>
      <c r="P58" s="683">
        <v>0.9107142857142857</v>
      </c>
      <c r="Q58" s="714">
        <v>20</v>
      </c>
    </row>
    <row r="59" spans="1:17" ht="14.4" customHeight="1" x14ac:dyDescent="0.3">
      <c r="A59" s="681" t="s">
        <v>1292</v>
      </c>
      <c r="B59" s="672" t="s">
        <v>1293</v>
      </c>
      <c r="C59" s="672" t="s">
        <v>1113</v>
      </c>
      <c r="D59" s="672" t="s">
        <v>1346</v>
      </c>
      <c r="E59" s="672" t="s">
        <v>1347</v>
      </c>
      <c r="F59" s="238">
        <v>55</v>
      </c>
      <c r="G59" s="238">
        <v>14410</v>
      </c>
      <c r="H59" s="238">
        <v>1</v>
      </c>
      <c r="I59" s="238">
        <v>262</v>
      </c>
      <c r="J59" s="238">
        <v>58</v>
      </c>
      <c r="K59" s="238">
        <v>15254</v>
      </c>
      <c r="L59" s="238">
        <v>1.0585704371963913</v>
      </c>
      <c r="M59" s="238">
        <v>263</v>
      </c>
      <c r="N59" s="238">
        <v>52</v>
      </c>
      <c r="O59" s="238">
        <v>13676</v>
      </c>
      <c r="P59" s="683">
        <v>0.94906315058986812</v>
      </c>
      <c r="Q59" s="714">
        <v>263</v>
      </c>
    </row>
    <row r="60" spans="1:17" ht="14.4" customHeight="1" x14ac:dyDescent="0.3">
      <c r="A60" s="681" t="s">
        <v>1292</v>
      </c>
      <c r="B60" s="672" t="s">
        <v>1293</v>
      </c>
      <c r="C60" s="672" t="s">
        <v>1113</v>
      </c>
      <c r="D60" s="672" t="s">
        <v>1348</v>
      </c>
      <c r="E60" s="672" t="s">
        <v>1349</v>
      </c>
      <c r="F60" s="238"/>
      <c r="G60" s="238"/>
      <c r="H60" s="238"/>
      <c r="I60" s="238"/>
      <c r="J60" s="238"/>
      <c r="K60" s="238"/>
      <c r="L60" s="238"/>
      <c r="M60" s="238"/>
      <c r="N60" s="238">
        <v>1</v>
      </c>
      <c r="O60" s="238">
        <v>21</v>
      </c>
      <c r="P60" s="683"/>
      <c r="Q60" s="714">
        <v>21</v>
      </c>
    </row>
    <row r="61" spans="1:17" ht="14.4" customHeight="1" x14ac:dyDescent="0.3">
      <c r="A61" s="681" t="s">
        <v>1292</v>
      </c>
      <c r="B61" s="672" t="s">
        <v>1293</v>
      </c>
      <c r="C61" s="672" t="s">
        <v>1113</v>
      </c>
      <c r="D61" s="672" t="s">
        <v>1350</v>
      </c>
      <c r="E61" s="672" t="s">
        <v>1351</v>
      </c>
      <c r="F61" s="238"/>
      <c r="G61" s="238"/>
      <c r="H61" s="238"/>
      <c r="I61" s="238"/>
      <c r="J61" s="238"/>
      <c r="K61" s="238"/>
      <c r="L61" s="238"/>
      <c r="M61" s="238"/>
      <c r="N61" s="238">
        <v>2</v>
      </c>
      <c r="O61" s="238">
        <v>990</v>
      </c>
      <c r="P61" s="683"/>
      <c r="Q61" s="714">
        <v>495</v>
      </c>
    </row>
    <row r="62" spans="1:17" ht="14.4" customHeight="1" x14ac:dyDescent="0.3">
      <c r="A62" s="681" t="s">
        <v>1292</v>
      </c>
      <c r="B62" s="672" t="s">
        <v>1293</v>
      </c>
      <c r="C62" s="672" t="s">
        <v>1113</v>
      </c>
      <c r="D62" s="672" t="s">
        <v>1352</v>
      </c>
      <c r="E62" s="672" t="s">
        <v>1353</v>
      </c>
      <c r="F62" s="238"/>
      <c r="G62" s="238"/>
      <c r="H62" s="238"/>
      <c r="I62" s="238"/>
      <c r="J62" s="238"/>
      <c r="K62" s="238"/>
      <c r="L62" s="238"/>
      <c r="M62" s="238"/>
      <c r="N62" s="238">
        <v>1</v>
      </c>
      <c r="O62" s="238">
        <v>649</v>
      </c>
      <c r="P62" s="683"/>
      <c r="Q62" s="714">
        <v>649</v>
      </c>
    </row>
    <row r="63" spans="1:17" ht="14.4" customHeight="1" x14ac:dyDescent="0.3">
      <c r="A63" s="681" t="s">
        <v>1354</v>
      </c>
      <c r="B63" s="672" t="s">
        <v>1355</v>
      </c>
      <c r="C63" s="672" t="s">
        <v>1051</v>
      </c>
      <c r="D63" s="672" t="s">
        <v>1356</v>
      </c>
      <c r="E63" s="672" t="s">
        <v>634</v>
      </c>
      <c r="F63" s="238">
        <v>0.08</v>
      </c>
      <c r="G63" s="238">
        <v>866.13</v>
      </c>
      <c r="H63" s="238">
        <v>1</v>
      </c>
      <c r="I63" s="238">
        <v>10826.625</v>
      </c>
      <c r="J63" s="238"/>
      <c r="K63" s="238"/>
      <c r="L63" s="238"/>
      <c r="M63" s="238"/>
      <c r="N63" s="238"/>
      <c r="O63" s="238"/>
      <c r="P63" s="683"/>
      <c r="Q63" s="714"/>
    </row>
    <row r="64" spans="1:17" ht="14.4" customHeight="1" x14ac:dyDescent="0.3">
      <c r="A64" s="681" t="s">
        <v>1354</v>
      </c>
      <c r="B64" s="672" t="s">
        <v>1355</v>
      </c>
      <c r="C64" s="672" t="s">
        <v>1113</v>
      </c>
      <c r="D64" s="672" t="s">
        <v>1357</v>
      </c>
      <c r="E64" s="672" t="s">
        <v>1358</v>
      </c>
      <c r="F64" s="238">
        <v>1</v>
      </c>
      <c r="G64" s="238">
        <v>216</v>
      </c>
      <c r="H64" s="238">
        <v>1</v>
      </c>
      <c r="I64" s="238">
        <v>216</v>
      </c>
      <c r="J64" s="238"/>
      <c r="K64" s="238"/>
      <c r="L64" s="238"/>
      <c r="M64" s="238"/>
      <c r="N64" s="238"/>
      <c r="O64" s="238"/>
      <c r="P64" s="683"/>
      <c r="Q64" s="714"/>
    </row>
    <row r="65" spans="1:17" ht="14.4" customHeight="1" x14ac:dyDescent="0.3">
      <c r="A65" s="681" t="s">
        <v>1354</v>
      </c>
      <c r="B65" s="672" t="s">
        <v>1355</v>
      </c>
      <c r="C65" s="672" t="s">
        <v>1113</v>
      </c>
      <c r="D65" s="672" t="s">
        <v>1359</v>
      </c>
      <c r="E65" s="672" t="s">
        <v>1360</v>
      </c>
      <c r="F65" s="238">
        <v>1</v>
      </c>
      <c r="G65" s="238">
        <v>325</v>
      </c>
      <c r="H65" s="238">
        <v>1</v>
      </c>
      <c r="I65" s="238">
        <v>325</v>
      </c>
      <c r="J65" s="238"/>
      <c r="K65" s="238"/>
      <c r="L65" s="238"/>
      <c r="M65" s="238"/>
      <c r="N65" s="238"/>
      <c r="O65" s="238"/>
      <c r="P65" s="683"/>
      <c r="Q65" s="714"/>
    </row>
    <row r="66" spans="1:17" ht="14.4" customHeight="1" x14ac:dyDescent="0.3">
      <c r="A66" s="681" t="s">
        <v>1354</v>
      </c>
      <c r="B66" s="672" t="s">
        <v>1355</v>
      </c>
      <c r="C66" s="672" t="s">
        <v>1113</v>
      </c>
      <c r="D66" s="672" t="s">
        <v>1361</v>
      </c>
      <c r="E66" s="672" t="s">
        <v>1362</v>
      </c>
      <c r="F66" s="238">
        <v>1</v>
      </c>
      <c r="G66" s="238">
        <v>172</v>
      </c>
      <c r="H66" s="238">
        <v>1</v>
      </c>
      <c r="I66" s="238">
        <v>172</v>
      </c>
      <c r="J66" s="238">
        <v>1</v>
      </c>
      <c r="K66" s="238">
        <v>173</v>
      </c>
      <c r="L66" s="238">
        <v>1.0058139534883721</v>
      </c>
      <c r="M66" s="238">
        <v>173</v>
      </c>
      <c r="N66" s="238">
        <v>1</v>
      </c>
      <c r="O66" s="238">
        <v>173</v>
      </c>
      <c r="P66" s="683">
        <v>1.0058139534883721</v>
      </c>
      <c r="Q66" s="714">
        <v>173</v>
      </c>
    </row>
    <row r="67" spans="1:17" ht="14.4" customHeight="1" x14ac:dyDescent="0.3">
      <c r="A67" s="681" t="s">
        <v>1354</v>
      </c>
      <c r="B67" s="672" t="s">
        <v>1355</v>
      </c>
      <c r="C67" s="672" t="s">
        <v>1113</v>
      </c>
      <c r="D67" s="672" t="s">
        <v>1363</v>
      </c>
      <c r="E67" s="672" t="s">
        <v>1364</v>
      </c>
      <c r="F67" s="238"/>
      <c r="G67" s="238"/>
      <c r="H67" s="238"/>
      <c r="I67" s="238"/>
      <c r="J67" s="238">
        <v>1</v>
      </c>
      <c r="K67" s="238">
        <v>1996</v>
      </c>
      <c r="L67" s="238"/>
      <c r="M67" s="238">
        <v>1996</v>
      </c>
      <c r="N67" s="238"/>
      <c r="O67" s="238"/>
      <c r="P67" s="683"/>
      <c r="Q67" s="714"/>
    </row>
    <row r="68" spans="1:17" ht="14.4" customHeight="1" x14ac:dyDescent="0.3">
      <c r="A68" s="681" t="s">
        <v>1354</v>
      </c>
      <c r="B68" s="672" t="s">
        <v>1355</v>
      </c>
      <c r="C68" s="672" t="s">
        <v>1113</v>
      </c>
      <c r="D68" s="672" t="s">
        <v>1365</v>
      </c>
      <c r="E68" s="672" t="s">
        <v>1366</v>
      </c>
      <c r="F68" s="238">
        <v>2</v>
      </c>
      <c r="G68" s="238">
        <v>384</v>
      </c>
      <c r="H68" s="238">
        <v>1</v>
      </c>
      <c r="I68" s="238">
        <v>192</v>
      </c>
      <c r="J68" s="238"/>
      <c r="K68" s="238"/>
      <c r="L68" s="238"/>
      <c r="M68" s="238"/>
      <c r="N68" s="238"/>
      <c r="O68" s="238"/>
      <c r="P68" s="683"/>
      <c r="Q68" s="714"/>
    </row>
    <row r="69" spans="1:17" ht="14.4" customHeight="1" x14ac:dyDescent="0.3">
      <c r="A69" s="681" t="s">
        <v>1354</v>
      </c>
      <c r="B69" s="672" t="s">
        <v>1355</v>
      </c>
      <c r="C69" s="672" t="s">
        <v>1113</v>
      </c>
      <c r="D69" s="672" t="s">
        <v>1367</v>
      </c>
      <c r="E69" s="672" t="s">
        <v>1368</v>
      </c>
      <c r="F69" s="238">
        <v>1</v>
      </c>
      <c r="G69" s="238">
        <v>2116</v>
      </c>
      <c r="H69" s="238">
        <v>1</v>
      </c>
      <c r="I69" s="238">
        <v>2116</v>
      </c>
      <c r="J69" s="238"/>
      <c r="K69" s="238"/>
      <c r="L69" s="238"/>
      <c r="M69" s="238"/>
      <c r="N69" s="238"/>
      <c r="O69" s="238"/>
      <c r="P69" s="683"/>
      <c r="Q69" s="714"/>
    </row>
    <row r="70" spans="1:17" ht="14.4" customHeight="1" x14ac:dyDescent="0.3">
      <c r="A70" s="681" t="s">
        <v>1369</v>
      </c>
      <c r="B70" s="672" t="s">
        <v>1370</v>
      </c>
      <c r="C70" s="672" t="s">
        <v>1113</v>
      </c>
      <c r="D70" s="672" t="s">
        <v>1371</v>
      </c>
      <c r="E70" s="672" t="s">
        <v>1372</v>
      </c>
      <c r="F70" s="238">
        <v>1</v>
      </c>
      <c r="G70" s="238">
        <v>46</v>
      </c>
      <c r="H70" s="238">
        <v>1</v>
      </c>
      <c r="I70" s="238">
        <v>46</v>
      </c>
      <c r="J70" s="238"/>
      <c r="K70" s="238"/>
      <c r="L70" s="238"/>
      <c r="M70" s="238"/>
      <c r="N70" s="238"/>
      <c r="O70" s="238"/>
      <c r="P70" s="683"/>
      <c r="Q70" s="714"/>
    </row>
    <row r="71" spans="1:17" ht="14.4" customHeight="1" x14ac:dyDescent="0.3">
      <c r="A71" s="681" t="s">
        <v>1369</v>
      </c>
      <c r="B71" s="672" t="s">
        <v>1370</v>
      </c>
      <c r="C71" s="672" t="s">
        <v>1113</v>
      </c>
      <c r="D71" s="672" t="s">
        <v>1373</v>
      </c>
      <c r="E71" s="672" t="s">
        <v>1374</v>
      </c>
      <c r="F71" s="238">
        <v>1</v>
      </c>
      <c r="G71" s="238">
        <v>135</v>
      </c>
      <c r="H71" s="238">
        <v>1</v>
      </c>
      <c r="I71" s="238">
        <v>135</v>
      </c>
      <c r="J71" s="238"/>
      <c r="K71" s="238"/>
      <c r="L71" s="238"/>
      <c r="M71" s="238"/>
      <c r="N71" s="238"/>
      <c r="O71" s="238"/>
      <c r="P71" s="683"/>
      <c r="Q71" s="714"/>
    </row>
    <row r="72" spans="1:17" ht="14.4" customHeight="1" x14ac:dyDescent="0.3">
      <c r="A72" s="681" t="s">
        <v>1369</v>
      </c>
      <c r="B72" s="672" t="s">
        <v>1370</v>
      </c>
      <c r="C72" s="672" t="s">
        <v>1113</v>
      </c>
      <c r="D72" s="672" t="s">
        <v>1375</v>
      </c>
      <c r="E72" s="672" t="s">
        <v>1376</v>
      </c>
      <c r="F72" s="238">
        <v>4</v>
      </c>
      <c r="G72" s="238">
        <v>312</v>
      </c>
      <c r="H72" s="238">
        <v>1</v>
      </c>
      <c r="I72" s="238">
        <v>78</v>
      </c>
      <c r="J72" s="238"/>
      <c r="K72" s="238"/>
      <c r="L72" s="238"/>
      <c r="M72" s="238"/>
      <c r="N72" s="238"/>
      <c r="O72" s="238"/>
      <c r="P72" s="683"/>
      <c r="Q72" s="714"/>
    </row>
    <row r="73" spans="1:17" ht="14.4" customHeight="1" x14ac:dyDescent="0.3">
      <c r="A73" s="681" t="s">
        <v>1369</v>
      </c>
      <c r="B73" s="672" t="s">
        <v>1370</v>
      </c>
      <c r="C73" s="672" t="s">
        <v>1113</v>
      </c>
      <c r="D73" s="672" t="s">
        <v>1377</v>
      </c>
      <c r="E73" s="672" t="s">
        <v>1378</v>
      </c>
      <c r="F73" s="238">
        <v>1</v>
      </c>
      <c r="G73" s="238">
        <v>166</v>
      </c>
      <c r="H73" s="238">
        <v>1</v>
      </c>
      <c r="I73" s="238">
        <v>166</v>
      </c>
      <c r="J73" s="238"/>
      <c r="K73" s="238"/>
      <c r="L73" s="238"/>
      <c r="M73" s="238"/>
      <c r="N73" s="238"/>
      <c r="O73" s="238"/>
      <c r="P73" s="683"/>
      <c r="Q73" s="714"/>
    </row>
    <row r="74" spans="1:17" ht="14.4" customHeight="1" x14ac:dyDescent="0.3">
      <c r="A74" s="681" t="s">
        <v>1379</v>
      </c>
      <c r="B74" s="672" t="s">
        <v>1380</v>
      </c>
      <c r="C74" s="672" t="s">
        <v>1113</v>
      </c>
      <c r="D74" s="672" t="s">
        <v>1381</v>
      </c>
      <c r="E74" s="672" t="s">
        <v>1382</v>
      </c>
      <c r="F74" s="238">
        <v>1</v>
      </c>
      <c r="G74" s="238">
        <v>95</v>
      </c>
      <c r="H74" s="238">
        <v>1</v>
      </c>
      <c r="I74" s="238">
        <v>95</v>
      </c>
      <c r="J74" s="238"/>
      <c r="K74" s="238"/>
      <c r="L74" s="238"/>
      <c r="M74" s="238"/>
      <c r="N74" s="238"/>
      <c r="O74" s="238"/>
      <c r="P74" s="683"/>
      <c r="Q74" s="714"/>
    </row>
    <row r="75" spans="1:17" ht="14.4" customHeight="1" x14ac:dyDescent="0.3">
      <c r="A75" s="681" t="s">
        <v>1383</v>
      </c>
      <c r="B75" s="672" t="s">
        <v>1384</v>
      </c>
      <c r="C75" s="672" t="s">
        <v>1113</v>
      </c>
      <c r="D75" s="672" t="s">
        <v>1385</v>
      </c>
      <c r="E75" s="672" t="s">
        <v>1386</v>
      </c>
      <c r="F75" s="238"/>
      <c r="G75" s="238"/>
      <c r="H75" s="238"/>
      <c r="I75" s="238"/>
      <c r="J75" s="238"/>
      <c r="K75" s="238"/>
      <c r="L75" s="238"/>
      <c r="M75" s="238"/>
      <c r="N75" s="238">
        <v>1</v>
      </c>
      <c r="O75" s="238">
        <v>172</v>
      </c>
      <c r="P75" s="683"/>
      <c r="Q75" s="714">
        <v>172</v>
      </c>
    </row>
    <row r="76" spans="1:17" ht="14.4" customHeight="1" x14ac:dyDescent="0.3">
      <c r="A76" s="681" t="s">
        <v>1383</v>
      </c>
      <c r="B76" s="672" t="s">
        <v>1384</v>
      </c>
      <c r="C76" s="672" t="s">
        <v>1113</v>
      </c>
      <c r="D76" s="672" t="s">
        <v>1387</v>
      </c>
      <c r="E76" s="672" t="s">
        <v>1388</v>
      </c>
      <c r="F76" s="238"/>
      <c r="G76" s="238"/>
      <c r="H76" s="238"/>
      <c r="I76" s="238"/>
      <c r="J76" s="238"/>
      <c r="K76" s="238"/>
      <c r="L76" s="238"/>
      <c r="M76" s="238"/>
      <c r="N76" s="238">
        <v>1</v>
      </c>
      <c r="O76" s="238">
        <v>349</v>
      </c>
      <c r="P76" s="683"/>
      <c r="Q76" s="714">
        <v>349</v>
      </c>
    </row>
    <row r="77" spans="1:17" ht="14.4" customHeight="1" x14ac:dyDescent="0.3">
      <c r="A77" s="681" t="s">
        <v>1383</v>
      </c>
      <c r="B77" s="672" t="s">
        <v>1384</v>
      </c>
      <c r="C77" s="672" t="s">
        <v>1113</v>
      </c>
      <c r="D77" s="672" t="s">
        <v>1389</v>
      </c>
      <c r="E77" s="672" t="s">
        <v>1390</v>
      </c>
      <c r="F77" s="238"/>
      <c r="G77" s="238"/>
      <c r="H77" s="238"/>
      <c r="I77" s="238"/>
      <c r="J77" s="238"/>
      <c r="K77" s="238"/>
      <c r="L77" s="238"/>
      <c r="M77" s="238"/>
      <c r="N77" s="238">
        <v>1</v>
      </c>
      <c r="O77" s="238">
        <v>545</v>
      </c>
      <c r="P77" s="683"/>
      <c r="Q77" s="714">
        <v>545</v>
      </c>
    </row>
    <row r="78" spans="1:17" ht="14.4" customHeight="1" x14ac:dyDescent="0.3">
      <c r="A78" s="681" t="s">
        <v>1383</v>
      </c>
      <c r="B78" s="672" t="s">
        <v>1384</v>
      </c>
      <c r="C78" s="672" t="s">
        <v>1113</v>
      </c>
      <c r="D78" s="672" t="s">
        <v>1391</v>
      </c>
      <c r="E78" s="672" t="s">
        <v>1392</v>
      </c>
      <c r="F78" s="238"/>
      <c r="G78" s="238"/>
      <c r="H78" s="238"/>
      <c r="I78" s="238"/>
      <c r="J78" s="238"/>
      <c r="K78" s="238"/>
      <c r="L78" s="238"/>
      <c r="M78" s="238"/>
      <c r="N78" s="238">
        <v>1</v>
      </c>
      <c r="O78" s="238">
        <v>344</v>
      </c>
      <c r="P78" s="683"/>
      <c r="Q78" s="714">
        <v>344</v>
      </c>
    </row>
    <row r="79" spans="1:17" ht="14.4" customHeight="1" x14ac:dyDescent="0.3">
      <c r="A79" s="681" t="s">
        <v>1383</v>
      </c>
      <c r="B79" s="672" t="s">
        <v>1384</v>
      </c>
      <c r="C79" s="672" t="s">
        <v>1113</v>
      </c>
      <c r="D79" s="672" t="s">
        <v>1393</v>
      </c>
      <c r="E79" s="672" t="s">
        <v>1394</v>
      </c>
      <c r="F79" s="238"/>
      <c r="G79" s="238"/>
      <c r="H79" s="238"/>
      <c r="I79" s="238"/>
      <c r="J79" s="238"/>
      <c r="K79" s="238"/>
      <c r="L79" s="238"/>
      <c r="M79" s="238"/>
      <c r="N79" s="238">
        <v>1</v>
      </c>
      <c r="O79" s="238">
        <v>110</v>
      </c>
      <c r="P79" s="683"/>
      <c r="Q79" s="714">
        <v>110</v>
      </c>
    </row>
    <row r="80" spans="1:17" ht="14.4" customHeight="1" x14ac:dyDescent="0.3">
      <c r="A80" s="681" t="s">
        <v>1383</v>
      </c>
      <c r="B80" s="672" t="s">
        <v>1384</v>
      </c>
      <c r="C80" s="672" t="s">
        <v>1113</v>
      </c>
      <c r="D80" s="672" t="s">
        <v>1395</v>
      </c>
      <c r="E80" s="672" t="s">
        <v>1396</v>
      </c>
      <c r="F80" s="238"/>
      <c r="G80" s="238"/>
      <c r="H80" s="238"/>
      <c r="I80" s="238"/>
      <c r="J80" s="238"/>
      <c r="K80" s="238"/>
      <c r="L80" s="238"/>
      <c r="M80" s="238"/>
      <c r="N80" s="238">
        <v>1</v>
      </c>
      <c r="O80" s="238">
        <v>204</v>
      </c>
      <c r="P80" s="683"/>
      <c r="Q80" s="714">
        <v>204</v>
      </c>
    </row>
    <row r="81" spans="1:17" ht="14.4" customHeight="1" x14ac:dyDescent="0.3">
      <c r="A81" s="681" t="s">
        <v>1383</v>
      </c>
      <c r="B81" s="672" t="s">
        <v>1384</v>
      </c>
      <c r="C81" s="672" t="s">
        <v>1113</v>
      </c>
      <c r="D81" s="672" t="s">
        <v>1397</v>
      </c>
      <c r="E81" s="672" t="s">
        <v>1398</v>
      </c>
      <c r="F81" s="238"/>
      <c r="G81" s="238"/>
      <c r="H81" s="238"/>
      <c r="I81" s="238"/>
      <c r="J81" s="238"/>
      <c r="K81" s="238"/>
      <c r="L81" s="238"/>
      <c r="M81" s="238"/>
      <c r="N81" s="238">
        <v>1</v>
      </c>
      <c r="O81" s="238">
        <v>38</v>
      </c>
      <c r="P81" s="683"/>
      <c r="Q81" s="714">
        <v>38</v>
      </c>
    </row>
    <row r="82" spans="1:17" ht="14.4" customHeight="1" x14ac:dyDescent="0.3">
      <c r="A82" s="681" t="s">
        <v>1383</v>
      </c>
      <c r="B82" s="672" t="s">
        <v>1384</v>
      </c>
      <c r="C82" s="672" t="s">
        <v>1113</v>
      </c>
      <c r="D82" s="672" t="s">
        <v>1399</v>
      </c>
      <c r="E82" s="672" t="s">
        <v>1400</v>
      </c>
      <c r="F82" s="238"/>
      <c r="G82" s="238"/>
      <c r="H82" s="238"/>
      <c r="I82" s="238"/>
      <c r="J82" s="238"/>
      <c r="K82" s="238"/>
      <c r="L82" s="238"/>
      <c r="M82" s="238"/>
      <c r="N82" s="238">
        <v>1</v>
      </c>
      <c r="O82" s="238">
        <v>473</v>
      </c>
      <c r="P82" s="683"/>
      <c r="Q82" s="714">
        <v>473</v>
      </c>
    </row>
    <row r="83" spans="1:17" ht="14.4" customHeight="1" thickBot="1" x14ac:dyDescent="0.35">
      <c r="A83" s="637" t="s">
        <v>1383</v>
      </c>
      <c r="B83" s="674" t="s">
        <v>1384</v>
      </c>
      <c r="C83" s="674" t="s">
        <v>1113</v>
      </c>
      <c r="D83" s="674" t="s">
        <v>1401</v>
      </c>
      <c r="E83" s="674" t="s">
        <v>1402</v>
      </c>
      <c r="F83" s="675"/>
      <c r="G83" s="675"/>
      <c r="H83" s="675"/>
      <c r="I83" s="675"/>
      <c r="J83" s="675"/>
      <c r="K83" s="675"/>
      <c r="L83" s="675"/>
      <c r="M83" s="675"/>
      <c r="N83" s="675">
        <v>1</v>
      </c>
      <c r="O83" s="675">
        <v>166</v>
      </c>
      <c r="P83" s="684"/>
      <c r="Q83" s="715">
        <v>166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9" t="s">
        <v>185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4.4" customHeight="1" thickBot="1" x14ac:dyDescent="0.35">
      <c r="A2" s="389" t="s">
        <v>298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163</v>
      </c>
      <c r="C3" s="196">
        <f>SUBTOTAL(9,C6:C1048576)</f>
        <v>338</v>
      </c>
      <c r="D3" s="197">
        <f>SUBTOTAL(9,D6:D1048576)</f>
        <v>323</v>
      </c>
      <c r="E3" s="197">
        <f>SUBTOTAL(9,E6:E1048576)</f>
        <v>287</v>
      </c>
      <c r="F3" s="198">
        <f>IF(OR(E3=0,C3=0),"",E3/C3)</f>
        <v>0.84911242603550297</v>
      </c>
      <c r="G3" s="199">
        <f>SUBTOTAL(9,G6:G1048576)</f>
        <v>300330</v>
      </c>
      <c r="H3" s="200">
        <f>SUBTOTAL(9,H6:H1048576)</f>
        <v>291820</v>
      </c>
      <c r="I3" s="200">
        <f>SUBTOTAL(9,I6:I1048576)</f>
        <v>261189</v>
      </c>
      <c r="J3" s="198">
        <f>IF(OR(I3=0,G3=0),"",I3/G3)</f>
        <v>0.86967335930476475</v>
      </c>
      <c r="K3" s="199">
        <f>SUBTOTAL(9,K6:K1048576)</f>
        <v>13520</v>
      </c>
      <c r="L3" s="200">
        <f>SUBTOTAL(9,L6:L1048576)</f>
        <v>12920</v>
      </c>
      <c r="M3" s="200">
        <f>SUBTOTAL(9,M6:M1048576)</f>
        <v>11480</v>
      </c>
      <c r="N3" s="201">
        <f>IF(OR(M3=0,E3=0),"",M3/E3)</f>
        <v>40</v>
      </c>
    </row>
    <row r="4" spans="1:14" ht="14.4" customHeight="1" x14ac:dyDescent="0.3">
      <c r="A4" s="581" t="s">
        <v>93</v>
      </c>
      <c r="B4" s="582" t="s">
        <v>14</v>
      </c>
      <c r="C4" s="583" t="s">
        <v>94</v>
      </c>
      <c r="D4" s="583"/>
      <c r="E4" s="583"/>
      <c r="F4" s="584"/>
      <c r="G4" s="585" t="s">
        <v>17</v>
      </c>
      <c r="H4" s="583"/>
      <c r="I4" s="583"/>
      <c r="J4" s="584"/>
      <c r="K4" s="585" t="s">
        <v>95</v>
      </c>
      <c r="L4" s="583"/>
      <c r="M4" s="583"/>
      <c r="N4" s="586"/>
    </row>
    <row r="5" spans="1:14" ht="14.4" customHeight="1" thickBot="1" x14ac:dyDescent="0.35">
      <c r="A5" s="841"/>
      <c r="B5" s="842"/>
      <c r="C5" s="845">
        <v>2012</v>
      </c>
      <c r="D5" s="845">
        <v>2013</v>
      </c>
      <c r="E5" s="845">
        <v>2014</v>
      </c>
      <c r="F5" s="846" t="s">
        <v>5</v>
      </c>
      <c r="G5" s="850">
        <v>2012</v>
      </c>
      <c r="H5" s="845">
        <v>2013</v>
      </c>
      <c r="I5" s="845">
        <v>2014</v>
      </c>
      <c r="J5" s="846" t="s">
        <v>5</v>
      </c>
      <c r="K5" s="850">
        <v>2012</v>
      </c>
      <c r="L5" s="845">
        <v>2013</v>
      </c>
      <c r="M5" s="845">
        <v>2014</v>
      </c>
      <c r="N5" s="853" t="s">
        <v>96</v>
      </c>
    </row>
    <row r="6" spans="1:14" ht="14.4" customHeight="1" thickBot="1" x14ac:dyDescent="0.35">
      <c r="A6" s="843" t="s">
        <v>1233</v>
      </c>
      <c r="B6" s="844" t="s">
        <v>1404</v>
      </c>
      <c r="C6" s="847">
        <v>338</v>
      </c>
      <c r="D6" s="848">
        <v>323</v>
      </c>
      <c r="E6" s="848">
        <v>287</v>
      </c>
      <c r="F6" s="849">
        <v>0.84911242603550297</v>
      </c>
      <c r="G6" s="851">
        <v>300330</v>
      </c>
      <c r="H6" s="852">
        <v>291820</v>
      </c>
      <c r="I6" s="852">
        <v>261189</v>
      </c>
      <c r="J6" s="849">
        <v>0.86967335930476475</v>
      </c>
      <c r="K6" s="851">
        <v>13520</v>
      </c>
      <c r="L6" s="852">
        <v>12920</v>
      </c>
      <c r="M6" s="852">
        <v>11480</v>
      </c>
      <c r="N6" s="854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60" bestFit="1" customWidth="1"/>
    <col min="2" max="3" width="9.5546875" style="260" customWidth="1"/>
    <col min="4" max="4" width="2.44140625" style="260" customWidth="1"/>
    <col min="5" max="8" width="9.5546875" style="260" customWidth="1"/>
    <col min="9" max="16384" width="8.88671875" style="260"/>
  </cols>
  <sheetData>
    <row r="1" spans="1:8" ht="18.600000000000001" customHeight="1" thickBot="1" x14ac:dyDescent="0.4">
      <c r="A1" s="462" t="s">
        <v>179</v>
      </c>
      <c r="B1" s="462"/>
      <c r="C1" s="462"/>
      <c r="D1" s="462"/>
      <c r="E1" s="462"/>
      <c r="F1" s="462"/>
      <c r="G1" s="463"/>
      <c r="H1" s="463"/>
    </row>
    <row r="2" spans="1:8" ht="14.4" customHeight="1" thickBot="1" x14ac:dyDescent="0.35">
      <c r="A2" s="389" t="s">
        <v>298</v>
      </c>
      <c r="B2" s="230"/>
      <c r="C2" s="230"/>
      <c r="D2" s="230"/>
      <c r="E2" s="230"/>
      <c r="F2" s="230"/>
    </row>
    <row r="3" spans="1:8" ht="14.4" customHeight="1" x14ac:dyDescent="0.3">
      <c r="A3" s="464"/>
      <c r="B3" s="226">
        <v>2012</v>
      </c>
      <c r="C3" s="44">
        <v>2013</v>
      </c>
      <c r="D3" s="11"/>
      <c r="E3" s="468">
        <v>2014</v>
      </c>
      <c r="F3" s="469"/>
      <c r="G3" s="469"/>
      <c r="H3" s="470"/>
    </row>
    <row r="4" spans="1:8" ht="14.4" customHeight="1" thickBot="1" x14ac:dyDescent="0.35">
      <c r="A4" s="465"/>
      <c r="B4" s="466" t="s">
        <v>97</v>
      </c>
      <c r="C4" s="467"/>
      <c r="D4" s="11"/>
      <c r="E4" s="247" t="s">
        <v>97</v>
      </c>
      <c r="F4" s="228" t="s">
        <v>98</v>
      </c>
      <c r="G4" s="228" t="s">
        <v>72</v>
      </c>
      <c r="H4" s="229" t="s">
        <v>99</v>
      </c>
    </row>
    <row r="5" spans="1:8" ht="14.4" customHeight="1" x14ac:dyDescent="0.3">
      <c r="A5" s="231" t="str">
        <f>HYPERLINK("#'Léky Žádanky'!A1","Léky (Kč)")</f>
        <v>Léky (Kč)</v>
      </c>
      <c r="B5" s="31">
        <v>7717.9761900000003</v>
      </c>
      <c r="C5" s="33">
        <v>6931.9774100000004</v>
      </c>
      <c r="D5" s="12"/>
      <c r="E5" s="236">
        <v>6426.9659900000197</v>
      </c>
      <c r="F5" s="32">
        <v>7564</v>
      </c>
      <c r="G5" s="235">
        <f>E5-F5</f>
        <v>-1137.0340099999803</v>
      </c>
      <c r="H5" s="241">
        <f>IF(F5&lt;0.00000001,"",E5/F5)</f>
        <v>0.8496782112638841</v>
      </c>
    </row>
    <row r="6" spans="1:8" ht="14.4" customHeight="1" x14ac:dyDescent="0.3">
      <c r="A6" s="231" t="str">
        <f>HYPERLINK("#'Materiál Žádanky'!A1","Materiál - SZM (Kč)")</f>
        <v>Materiál - SZM (Kč)</v>
      </c>
      <c r="B6" s="14">
        <v>124.69141</v>
      </c>
      <c r="C6" s="35">
        <v>260.64598999999998</v>
      </c>
      <c r="D6" s="12"/>
      <c r="E6" s="237">
        <v>251.604870000001</v>
      </c>
      <c r="F6" s="34">
        <v>279</v>
      </c>
      <c r="G6" s="238">
        <f>E6-F6</f>
        <v>-27.395129999999</v>
      </c>
      <c r="H6" s="242">
        <f>IF(F6&lt;0.00000001,"",E6/F6)</f>
        <v>0.90180956989247674</v>
      </c>
    </row>
    <row r="7" spans="1:8" ht="14.4" customHeight="1" x14ac:dyDescent="0.3">
      <c r="A7" s="454" t="str">
        <f>HYPERLINK("#'Osobní náklady'!A1","Osobní náklady (Kč) *")</f>
        <v>Osobní náklady (Kč) *</v>
      </c>
      <c r="B7" s="14">
        <v>3834.0123899999999</v>
      </c>
      <c r="C7" s="35">
        <v>3646.8580099999999</v>
      </c>
      <c r="D7" s="12"/>
      <c r="E7" s="237">
        <v>3641.3799100000101</v>
      </c>
      <c r="F7" s="34">
        <v>4187</v>
      </c>
      <c r="G7" s="238">
        <f>E7-F7</f>
        <v>-545.62008999998989</v>
      </c>
      <c r="H7" s="242">
        <f>IF(F7&lt;0.00000001,"",E7/F7)</f>
        <v>0.86968710532601146</v>
      </c>
    </row>
    <row r="8" spans="1:8" ht="14.4" customHeight="1" thickBot="1" x14ac:dyDescent="0.35">
      <c r="A8" s="1" t="s">
        <v>100</v>
      </c>
      <c r="B8" s="15">
        <v>3829.1883699999998</v>
      </c>
      <c r="C8" s="37">
        <v>3142.5554299999999</v>
      </c>
      <c r="D8" s="12"/>
      <c r="E8" s="239">
        <v>3213.1042500000099</v>
      </c>
      <c r="F8" s="36">
        <v>3152</v>
      </c>
      <c r="G8" s="240">
        <f>E8-F8</f>
        <v>61.10425000000987</v>
      </c>
      <c r="H8" s="243">
        <f>IF(F8&lt;0.00000001,"",E8/F8)</f>
        <v>1.0193858661167543</v>
      </c>
    </row>
    <row r="9" spans="1:8" ht="14.4" customHeight="1" thickBot="1" x14ac:dyDescent="0.35">
      <c r="A9" s="2" t="s">
        <v>101</v>
      </c>
      <c r="B9" s="3">
        <v>15505.86836</v>
      </c>
      <c r="C9" s="39">
        <v>13982.036840000001</v>
      </c>
      <c r="D9" s="12"/>
      <c r="E9" s="3">
        <v>13533.05502</v>
      </c>
      <c r="F9" s="38">
        <v>15182</v>
      </c>
      <c r="G9" s="38">
        <f>E9-F9</f>
        <v>-1648.9449800000002</v>
      </c>
      <c r="H9" s="244">
        <f>IF(F9&lt;0.00000001,"",E9/F9)</f>
        <v>0.89138815834540908</v>
      </c>
    </row>
    <row r="10" spans="1:8" ht="14.4" customHeight="1" thickBot="1" x14ac:dyDescent="0.35">
      <c r="A10" s="16"/>
      <c r="B10" s="16"/>
      <c r="C10" s="227"/>
      <c r="D10" s="12"/>
      <c r="E10" s="16"/>
      <c r="F10" s="17"/>
    </row>
    <row r="11" spans="1:8" ht="14.4" customHeight="1" x14ac:dyDescent="0.3">
      <c r="A11" s="263" t="str">
        <f>HYPERLINK("#'ZV Vykáz.-A'!A1","Ambulance *")</f>
        <v>Ambulance *</v>
      </c>
      <c r="B11" s="13">
        <f>IF(ISERROR(VLOOKUP("Celkem:",'ZV Vykáz.-A'!A:F,2,0)),0,VLOOKUP("Celkem:",'ZV Vykáz.-A'!A:F,2,0)/1000)</f>
        <v>9574.6280000000006</v>
      </c>
      <c r="C11" s="33">
        <f>IF(ISERROR(VLOOKUP("Celkem:",'ZV Vykáz.-A'!A:F,4,0)),0,VLOOKUP("Celkem:",'ZV Vykáz.-A'!A:F,4,0)/1000)</f>
        <v>10716.287</v>
      </c>
      <c r="D11" s="12"/>
      <c r="E11" s="236">
        <f>IF(ISERROR(VLOOKUP("Celkem:",'ZV Vykáz.-A'!A:F,6,0)),0,VLOOKUP("Celkem:",'ZV Vykáz.-A'!A:F,6,0)/1000)</f>
        <v>10307.843999999999</v>
      </c>
      <c r="F11" s="32">
        <f>B11</f>
        <v>9574.6280000000006</v>
      </c>
      <c r="G11" s="235">
        <f>E11-F11</f>
        <v>733.21599999999853</v>
      </c>
      <c r="H11" s="241">
        <f>IF(F11&lt;0.00000001,"",E11/F11)</f>
        <v>1.076579058737321</v>
      </c>
    </row>
    <row r="12" spans="1:8" ht="14.4" customHeight="1" thickBot="1" x14ac:dyDescent="0.35">
      <c r="A12" s="264" t="str">
        <f>HYPERLINK("#CaseMix!A1","Hospitalizace *")</f>
        <v>Hospitalizace *</v>
      </c>
      <c r="B12" s="15">
        <f>IF(ISERROR(VLOOKUP("Celkem",CaseMix!A:D,2,0)),0,VLOOKUP("Celkem",CaseMix!A:D,2,0)*30)</f>
        <v>2297.79</v>
      </c>
      <c r="C12" s="37">
        <f>IF(ISERROR(VLOOKUP("Celkem",CaseMix!A:D,3,0)),0,VLOOKUP("Celkem",CaseMix!A:D,3,0)*30)</f>
        <v>1650.4199999999998</v>
      </c>
      <c r="D12" s="12"/>
      <c r="E12" s="239">
        <f>IF(ISERROR(VLOOKUP("Celkem",CaseMix!A:D,4,0)),0,VLOOKUP("Celkem",CaseMix!A:D,4,0)*30)</f>
        <v>1235.49</v>
      </c>
      <c r="F12" s="36">
        <f>B12</f>
        <v>2297.79</v>
      </c>
      <c r="G12" s="240">
        <f>E12-F12</f>
        <v>-1062.3</v>
      </c>
      <c r="H12" s="243">
        <f>IF(F12&lt;0.00000001,"",E12/F12)</f>
        <v>0.53768621153369112</v>
      </c>
    </row>
    <row r="13" spans="1:8" ht="14.4" customHeight="1" thickBot="1" x14ac:dyDescent="0.35">
      <c r="A13" s="4" t="s">
        <v>104</v>
      </c>
      <c r="B13" s="9">
        <f>SUM(B11:B12)</f>
        <v>11872.418000000001</v>
      </c>
      <c r="C13" s="41">
        <f>SUM(C11:C12)</f>
        <v>12366.707</v>
      </c>
      <c r="D13" s="12"/>
      <c r="E13" s="9">
        <f>SUM(E11:E12)</f>
        <v>11543.333999999999</v>
      </c>
      <c r="F13" s="40">
        <f>SUM(F11:F12)</f>
        <v>11872.418000000001</v>
      </c>
      <c r="G13" s="40">
        <f>E13-F13</f>
        <v>-329.08400000000256</v>
      </c>
      <c r="H13" s="245">
        <f>IF(F13&lt;0.00000001,"",E13/F13)</f>
        <v>0.97228163631031161</v>
      </c>
    </row>
    <row r="14" spans="1:8" ht="14.4" customHeight="1" thickBot="1" x14ac:dyDescent="0.35">
      <c r="A14" s="16"/>
      <c r="B14" s="16"/>
      <c r="C14" s="227"/>
      <c r="D14" s="12"/>
      <c r="E14" s="16"/>
      <c r="F14" s="17"/>
    </row>
    <row r="15" spans="1:8" ht="14.4" customHeight="1" thickBot="1" x14ac:dyDescent="0.35">
      <c r="A15" s="265" t="str">
        <f>HYPERLINK("#'HI Graf'!A1","Hospodářský index (Výnosy / Náklady) *")</f>
        <v>Hospodářský index (Výnosy / Náklady) *</v>
      </c>
      <c r="B15" s="10">
        <f>IF(B9=0,"",B13/B9)</f>
        <v>0.76567256501589454</v>
      </c>
      <c r="C15" s="43">
        <f>IF(C9=0,"",C13/C9)</f>
        <v>0.88447106394550168</v>
      </c>
      <c r="D15" s="12"/>
      <c r="E15" s="10">
        <f>IF(E9=0,"",E13/E9)</f>
        <v>0.85297325570172688</v>
      </c>
      <c r="F15" s="42">
        <f>IF(F9=0,"",F13/F9)</f>
        <v>0.7820061915426163</v>
      </c>
      <c r="G15" s="42">
        <f>IF(ISERROR(F15-E15),"",E15-F15)</f>
        <v>7.0967064159110582E-2</v>
      </c>
      <c r="H15" s="246">
        <f>IF(ISERROR(F15-E15),"",IF(F15&lt;0.00000001,"",E15/F15))</f>
        <v>1.0907500029112533</v>
      </c>
    </row>
    <row r="17" spans="1:8" ht="14.4" customHeight="1" x14ac:dyDescent="0.3">
      <c r="A17" s="232" t="s">
        <v>207</v>
      </c>
    </row>
    <row r="18" spans="1:8" ht="14.4" customHeight="1" x14ac:dyDescent="0.3">
      <c r="A18" s="456" t="s">
        <v>295</v>
      </c>
      <c r="B18" s="457"/>
      <c r="C18" s="457"/>
      <c r="D18" s="457"/>
      <c r="E18" s="457"/>
      <c r="F18" s="457"/>
      <c r="G18" s="457"/>
      <c r="H18" s="457"/>
    </row>
    <row r="19" spans="1:8" x14ac:dyDescent="0.3">
      <c r="A19" s="455" t="s">
        <v>294</v>
      </c>
      <c r="B19" s="457"/>
      <c r="C19" s="457"/>
      <c r="D19" s="457"/>
      <c r="E19" s="457"/>
      <c r="F19" s="457"/>
      <c r="G19" s="457"/>
      <c r="H19" s="457"/>
    </row>
    <row r="20" spans="1:8" ht="14.4" customHeight="1" x14ac:dyDescent="0.3">
      <c r="A20" s="233" t="s">
        <v>208</v>
      </c>
    </row>
    <row r="21" spans="1:8" ht="14.4" customHeight="1" x14ac:dyDescent="0.3">
      <c r="A21" s="233" t="s">
        <v>209</v>
      </c>
    </row>
    <row r="22" spans="1:8" ht="14.4" customHeight="1" x14ac:dyDescent="0.3">
      <c r="A22" s="234" t="s">
        <v>210</v>
      </c>
    </row>
    <row r="23" spans="1:8" ht="14.4" customHeight="1" x14ac:dyDescent="0.3">
      <c r="A23" s="234" t="s">
        <v>211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4" operator="greaterThan">
      <formula>0</formula>
    </cfRule>
  </conditionalFormatting>
  <conditionalFormatting sqref="G11:G13 G15">
    <cfRule type="cellIs" dxfId="68" priority="3" operator="lessThan">
      <formula>0</formula>
    </cfRule>
  </conditionalFormatting>
  <conditionalFormatting sqref="H5:H9">
    <cfRule type="cellIs" dxfId="67" priority="2" operator="greaterThan">
      <formula>1</formula>
    </cfRule>
  </conditionalFormatting>
  <conditionalFormatting sqref="H11:H13 H15">
    <cfRule type="cellIs" dxfId="6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60"/>
    <col min="2" max="13" width="8.88671875" style="260" customWidth="1"/>
    <col min="14" max="16384" width="8.88671875" style="260"/>
  </cols>
  <sheetData>
    <row r="1" spans="1:13" ht="18.600000000000001" customHeight="1" thickBot="1" x14ac:dyDescent="0.4">
      <c r="A1" s="462" t="s">
        <v>132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x14ac:dyDescent="0.3">
      <c r="A2" s="389" t="s">
        <v>298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4.4" customHeight="1" x14ac:dyDescent="0.3">
      <c r="A3" s="334"/>
      <c r="B3" s="335" t="s">
        <v>106</v>
      </c>
      <c r="C3" s="336" t="s">
        <v>107</v>
      </c>
      <c r="D3" s="336" t="s">
        <v>108</v>
      </c>
      <c r="E3" s="335" t="s">
        <v>109</v>
      </c>
      <c r="F3" s="336" t="s">
        <v>110</v>
      </c>
      <c r="G3" s="336" t="s">
        <v>111</v>
      </c>
      <c r="H3" s="336" t="s">
        <v>112</v>
      </c>
      <c r="I3" s="336" t="s">
        <v>113</v>
      </c>
      <c r="J3" s="336" t="s">
        <v>114</v>
      </c>
      <c r="K3" s="336" t="s">
        <v>115</v>
      </c>
      <c r="L3" s="336" t="s">
        <v>116</v>
      </c>
      <c r="M3" s="336" t="s">
        <v>117</v>
      </c>
    </row>
    <row r="4" spans="1:13" ht="14.4" customHeight="1" x14ac:dyDescent="0.3">
      <c r="A4" s="334" t="s">
        <v>105</v>
      </c>
      <c r="B4" s="337">
        <f>(B10+B8)/B6</f>
        <v>0.94694901020709432</v>
      </c>
      <c r="C4" s="337">
        <f t="shared" ref="C4:M4" si="0">(C10+C8)/C6</f>
        <v>0.85297325570172522</v>
      </c>
      <c r="D4" s="337">
        <f t="shared" si="0"/>
        <v>0.76167901370137037</v>
      </c>
      <c r="E4" s="337">
        <f t="shared" si="0"/>
        <v>0.76167901370137037</v>
      </c>
      <c r="F4" s="337">
        <f t="shared" si="0"/>
        <v>0.76167901370137037</v>
      </c>
      <c r="G4" s="337">
        <f t="shared" si="0"/>
        <v>0.76167901370137037</v>
      </c>
      <c r="H4" s="337">
        <f t="shared" si="0"/>
        <v>0.76167901370137037</v>
      </c>
      <c r="I4" s="337">
        <f t="shared" si="0"/>
        <v>0.76167901370137037</v>
      </c>
      <c r="J4" s="337">
        <f t="shared" si="0"/>
        <v>0.76167901370137037</v>
      </c>
      <c r="K4" s="337">
        <f t="shared" si="0"/>
        <v>0.76167901370137037</v>
      </c>
      <c r="L4" s="337">
        <f t="shared" si="0"/>
        <v>0.76167901370137037</v>
      </c>
      <c r="M4" s="337">
        <f t="shared" si="0"/>
        <v>0.76167901370137037</v>
      </c>
    </row>
    <row r="5" spans="1:13" ht="14.4" customHeight="1" x14ac:dyDescent="0.3">
      <c r="A5" s="338" t="s">
        <v>56</v>
      </c>
      <c r="B5" s="337">
        <f>IF(ISERROR(VLOOKUP($A5,'Man Tab'!$A:$Q,COLUMN()+2,0)),0,VLOOKUP($A5,'Man Tab'!$A:$Q,COLUMN()+2,0))</f>
        <v>6462.0997900000302</v>
      </c>
      <c r="C5" s="337">
        <f>IF(ISERROR(VLOOKUP($A5,'Man Tab'!$A:$Q,COLUMN()+2,0)),0,VLOOKUP($A5,'Man Tab'!$A:$Q,COLUMN()+2,0))</f>
        <v>7070.9552299999996</v>
      </c>
      <c r="D5" s="337">
        <f>IF(ISERROR(VLOOKUP($A5,'Man Tab'!$A:$Q,COLUMN()+2,0)),0,VLOOKUP($A5,'Man Tab'!$A:$Q,COLUMN()+2,0))</f>
        <v>4.9406564584124654E-324</v>
      </c>
      <c r="E5" s="337">
        <f>IF(ISERROR(VLOOKUP($A5,'Man Tab'!$A:$Q,COLUMN()+2,0)),0,VLOOKUP($A5,'Man Tab'!$A:$Q,COLUMN()+2,0))</f>
        <v>4.9406564584124654E-324</v>
      </c>
      <c r="F5" s="337">
        <f>IF(ISERROR(VLOOKUP($A5,'Man Tab'!$A:$Q,COLUMN()+2,0)),0,VLOOKUP($A5,'Man Tab'!$A:$Q,COLUMN()+2,0))</f>
        <v>4.9406564584124654E-324</v>
      </c>
      <c r="G5" s="337">
        <f>IF(ISERROR(VLOOKUP($A5,'Man Tab'!$A:$Q,COLUMN()+2,0)),0,VLOOKUP($A5,'Man Tab'!$A:$Q,COLUMN()+2,0))</f>
        <v>4.9406564584124654E-324</v>
      </c>
      <c r="H5" s="337">
        <f>IF(ISERROR(VLOOKUP($A5,'Man Tab'!$A:$Q,COLUMN()+2,0)),0,VLOOKUP($A5,'Man Tab'!$A:$Q,COLUMN()+2,0))</f>
        <v>4.9406564584124654E-324</v>
      </c>
      <c r="I5" s="337">
        <f>IF(ISERROR(VLOOKUP($A5,'Man Tab'!$A:$Q,COLUMN()+2,0)),0,VLOOKUP($A5,'Man Tab'!$A:$Q,COLUMN()+2,0))</f>
        <v>4.9406564584124654E-324</v>
      </c>
      <c r="J5" s="337">
        <f>IF(ISERROR(VLOOKUP($A5,'Man Tab'!$A:$Q,COLUMN()+2,0)),0,VLOOKUP($A5,'Man Tab'!$A:$Q,COLUMN()+2,0))</f>
        <v>4.9406564584124654E-324</v>
      </c>
      <c r="K5" s="337">
        <f>IF(ISERROR(VLOOKUP($A5,'Man Tab'!$A:$Q,COLUMN()+2,0)),0,VLOOKUP($A5,'Man Tab'!$A:$Q,COLUMN()+2,0))</f>
        <v>4.9406564584124654E-324</v>
      </c>
      <c r="L5" s="337">
        <f>IF(ISERROR(VLOOKUP($A5,'Man Tab'!$A:$Q,COLUMN()+2,0)),0,VLOOKUP($A5,'Man Tab'!$A:$Q,COLUMN()+2,0))</f>
        <v>4.9406564584124654E-324</v>
      </c>
      <c r="M5" s="337">
        <f>IF(ISERROR(VLOOKUP($A5,'Man Tab'!$A:$Q,COLUMN()+2,0)),0,VLOOKUP($A5,'Man Tab'!$A:$Q,COLUMN()+2,0))</f>
        <v>4.9406564584124654E-324</v>
      </c>
    </row>
    <row r="6" spans="1:13" ht="14.4" customHeight="1" x14ac:dyDescent="0.3">
      <c r="A6" s="338" t="s">
        <v>101</v>
      </c>
      <c r="B6" s="339">
        <f>B5</f>
        <v>6462.0997900000302</v>
      </c>
      <c r="C6" s="339">
        <f t="shared" ref="C6:M6" si="1">C5+B6</f>
        <v>13533.055020000029</v>
      </c>
      <c r="D6" s="339">
        <f t="shared" si="1"/>
        <v>13533.055020000029</v>
      </c>
      <c r="E6" s="339">
        <f t="shared" si="1"/>
        <v>13533.055020000029</v>
      </c>
      <c r="F6" s="339">
        <f t="shared" si="1"/>
        <v>13533.055020000029</v>
      </c>
      <c r="G6" s="339">
        <f t="shared" si="1"/>
        <v>13533.055020000029</v>
      </c>
      <c r="H6" s="339">
        <f t="shared" si="1"/>
        <v>13533.055020000029</v>
      </c>
      <c r="I6" s="339">
        <f t="shared" si="1"/>
        <v>13533.055020000029</v>
      </c>
      <c r="J6" s="339">
        <f t="shared" si="1"/>
        <v>13533.055020000029</v>
      </c>
      <c r="K6" s="339">
        <f t="shared" si="1"/>
        <v>13533.055020000029</v>
      </c>
      <c r="L6" s="339">
        <f t="shared" si="1"/>
        <v>13533.055020000029</v>
      </c>
      <c r="M6" s="339">
        <f t="shared" si="1"/>
        <v>13533.055020000029</v>
      </c>
    </row>
    <row r="7" spans="1:13" ht="14.4" customHeight="1" x14ac:dyDescent="0.3">
      <c r="A7" s="338" t="s">
        <v>130</v>
      </c>
      <c r="B7" s="338">
        <v>19.876999999999999</v>
      </c>
      <c r="C7" s="338">
        <v>41.183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</row>
    <row r="8" spans="1:13" ht="14.4" customHeight="1" x14ac:dyDescent="0.3">
      <c r="A8" s="338" t="s">
        <v>102</v>
      </c>
      <c r="B8" s="339">
        <f>B7*30</f>
        <v>596.30999999999995</v>
      </c>
      <c r="C8" s="339">
        <f t="shared" ref="C8:M8" si="2">C7*30</f>
        <v>1235.49</v>
      </c>
      <c r="D8" s="339">
        <f t="shared" si="2"/>
        <v>0</v>
      </c>
      <c r="E8" s="339">
        <f t="shared" si="2"/>
        <v>0</v>
      </c>
      <c r="F8" s="339">
        <f t="shared" si="2"/>
        <v>0</v>
      </c>
      <c r="G8" s="339">
        <f t="shared" si="2"/>
        <v>0</v>
      </c>
      <c r="H8" s="339">
        <f t="shared" si="2"/>
        <v>0</v>
      </c>
      <c r="I8" s="339">
        <f t="shared" si="2"/>
        <v>0</v>
      </c>
      <c r="J8" s="339">
        <f t="shared" si="2"/>
        <v>0</v>
      </c>
      <c r="K8" s="339">
        <f t="shared" si="2"/>
        <v>0</v>
      </c>
      <c r="L8" s="339">
        <f t="shared" si="2"/>
        <v>0</v>
      </c>
      <c r="M8" s="339">
        <f t="shared" si="2"/>
        <v>0</v>
      </c>
    </row>
    <row r="9" spans="1:13" ht="14.4" customHeight="1" x14ac:dyDescent="0.3">
      <c r="A9" s="338" t="s">
        <v>131</v>
      </c>
      <c r="B9" s="338">
        <v>5522969</v>
      </c>
      <c r="C9" s="338">
        <v>4784875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</row>
    <row r="10" spans="1:13" ht="14.4" customHeight="1" x14ac:dyDescent="0.3">
      <c r="A10" s="338" t="s">
        <v>103</v>
      </c>
      <c r="B10" s="339">
        <f>B9/1000</f>
        <v>5522.9690000000001</v>
      </c>
      <c r="C10" s="339">
        <f t="shared" ref="C10:M10" si="3">C9/1000+B10</f>
        <v>10307.844000000001</v>
      </c>
      <c r="D10" s="339">
        <f t="shared" si="3"/>
        <v>10307.844000000001</v>
      </c>
      <c r="E10" s="339">
        <f t="shared" si="3"/>
        <v>10307.844000000001</v>
      </c>
      <c r="F10" s="339">
        <f t="shared" si="3"/>
        <v>10307.844000000001</v>
      </c>
      <c r="G10" s="339">
        <f t="shared" si="3"/>
        <v>10307.844000000001</v>
      </c>
      <c r="H10" s="339">
        <f t="shared" si="3"/>
        <v>10307.844000000001</v>
      </c>
      <c r="I10" s="339">
        <f t="shared" si="3"/>
        <v>10307.844000000001</v>
      </c>
      <c r="J10" s="339">
        <f t="shared" si="3"/>
        <v>10307.844000000001</v>
      </c>
      <c r="K10" s="339">
        <f t="shared" si="3"/>
        <v>10307.844000000001</v>
      </c>
      <c r="L10" s="339">
        <f t="shared" si="3"/>
        <v>10307.844000000001</v>
      </c>
      <c r="M10" s="339">
        <f t="shared" si="3"/>
        <v>10307.844000000001</v>
      </c>
    </row>
    <row r="11" spans="1:13" ht="14.4" customHeight="1" x14ac:dyDescent="0.3">
      <c r="A11" s="334"/>
      <c r="B11" s="334" t="s">
        <v>119</v>
      </c>
      <c r="C11" s="334">
        <f>COUNTIF(B7:M7,"&lt;&gt;")</f>
        <v>2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</row>
    <row r="12" spans="1:13" ht="14.4" customHeight="1" x14ac:dyDescent="0.3">
      <c r="A12" s="334">
        <v>0</v>
      </c>
      <c r="B12" s="337">
        <f>IF(ISERROR(HI!F15),#REF!,HI!F15)</f>
        <v>0.7820061915426163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</row>
    <row r="13" spans="1:13" ht="14.4" customHeight="1" x14ac:dyDescent="0.3">
      <c r="A13" s="334">
        <v>1</v>
      </c>
      <c r="B13" s="337">
        <f>IF(ISERROR(HI!F15),#REF!,HI!F15)</f>
        <v>0.7820061915426163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60" bestFit="1" customWidth="1"/>
    <col min="2" max="2" width="12.77734375" style="260" bestFit="1" customWidth="1"/>
    <col min="3" max="3" width="13.6640625" style="260" bestFit="1" customWidth="1"/>
    <col min="4" max="15" width="7.77734375" style="260" bestFit="1" customWidth="1"/>
    <col min="16" max="16" width="8.88671875" style="260" customWidth="1"/>
    <col min="17" max="17" width="6.6640625" style="260" bestFit="1" customWidth="1"/>
    <col min="18" max="16384" width="8.88671875" style="260"/>
  </cols>
  <sheetData>
    <row r="1" spans="1:17" s="340" customFormat="1" ht="18.600000000000001" customHeight="1" thickBot="1" x14ac:dyDescent="0.4">
      <c r="A1" s="471" t="s">
        <v>300</v>
      </c>
      <c r="B1" s="471"/>
      <c r="C1" s="471"/>
      <c r="D1" s="471"/>
      <c r="E1" s="471"/>
      <c r="F1" s="471"/>
      <c r="G1" s="471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s="340" customFormat="1" ht="14.4" customHeight="1" thickBot="1" x14ac:dyDescent="0.3">
      <c r="A2" s="389" t="s">
        <v>298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4" customHeight="1" x14ac:dyDescent="0.3">
      <c r="A3" s="101"/>
      <c r="B3" s="472" t="s">
        <v>32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269"/>
      <c r="Q3" s="271"/>
    </row>
    <row r="4" spans="1:17" ht="14.4" customHeight="1" x14ac:dyDescent="0.3">
      <c r="A4" s="102"/>
      <c r="B4" s="24">
        <v>2014</v>
      </c>
      <c r="C4" s="270" t="s">
        <v>33</v>
      </c>
      <c r="D4" s="248" t="s">
        <v>215</v>
      </c>
      <c r="E4" s="248" t="s">
        <v>216</v>
      </c>
      <c r="F4" s="248" t="s">
        <v>217</v>
      </c>
      <c r="G4" s="248" t="s">
        <v>218</v>
      </c>
      <c r="H4" s="248" t="s">
        <v>219</v>
      </c>
      <c r="I4" s="248" t="s">
        <v>220</v>
      </c>
      <c r="J4" s="248" t="s">
        <v>221</v>
      </c>
      <c r="K4" s="248" t="s">
        <v>222</v>
      </c>
      <c r="L4" s="248" t="s">
        <v>223</v>
      </c>
      <c r="M4" s="248" t="s">
        <v>224</v>
      </c>
      <c r="N4" s="248" t="s">
        <v>225</v>
      </c>
      <c r="O4" s="248" t="s">
        <v>226</v>
      </c>
      <c r="P4" s="474" t="s">
        <v>6</v>
      </c>
      <c r="Q4" s="475"/>
    </row>
    <row r="5" spans="1:17" ht="14.4" customHeight="1" thickBot="1" x14ac:dyDescent="0.35">
      <c r="A5" s="103"/>
      <c r="B5" s="25" t="s">
        <v>34</v>
      </c>
      <c r="C5" s="26" t="s">
        <v>34</v>
      </c>
      <c r="D5" s="26" t="s">
        <v>35</v>
      </c>
      <c r="E5" s="26" t="s">
        <v>35</v>
      </c>
      <c r="F5" s="26" t="s">
        <v>35</v>
      </c>
      <c r="G5" s="26" t="s">
        <v>35</v>
      </c>
      <c r="H5" s="26" t="s">
        <v>35</v>
      </c>
      <c r="I5" s="26" t="s">
        <v>35</v>
      </c>
      <c r="J5" s="26" t="s">
        <v>35</v>
      </c>
      <c r="K5" s="26" t="s">
        <v>35</v>
      </c>
      <c r="L5" s="26" t="s">
        <v>35</v>
      </c>
      <c r="M5" s="26" t="s">
        <v>35</v>
      </c>
      <c r="N5" s="26" t="s">
        <v>35</v>
      </c>
      <c r="O5" s="26" t="s">
        <v>35</v>
      </c>
      <c r="P5" s="26" t="s">
        <v>35</v>
      </c>
      <c r="Q5" s="27" t="s">
        <v>36</v>
      </c>
    </row>
    <row r="6" spans="1:17" ht="14.4" customHeight="1" x14ac:dyDescent="0.3">
      <c r="A6" s="18" t="s">
        <v>37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9.8813129168249309E-324</v>
      </c>
      <c r="Q6" s="188" t="s">
        <v>299</v>
      </c>
    </row>
    <row r="7" spans="1:17" ht="14.4" customHeight="1" x14ac:dyDescent="0.3">
      <c r="A7" s="19" t="s">
        <v>38</v>
      </c>
      <c r="B7" s="55">
        <v>41612.482225839303</v>
      </c>
      <c r="C7" s="56">
        <v>3467.7068521532801</v>
      </c>
      <c r="D7" s="56">
        <v>3070.2705500000102</v>
      </c>
      <c r="E7" s="56">
        <v>3356.69544</v>
      </c>
      <c r="F7" s="56">
        <v>4.9406564584124654E-324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6426.9659900000197</v>
      </c>
      <c r="Q7" s="189">
        <v>0.92668819251599999</v>
      </c>
    </row>
    <row r="8" spans="1:17" ht="14.4" customHeight="1" x14ac:dyDescent="0.3">
      <c r="A8" s="19" t="s">
        <v>39</v>
      </c>
      <c r="B8" s="55">
        <v>10.999934823765001</v>
      </c>
      <c r="C8" s="56">
        <v>0.91666123531300003</v>
      </c>
      <c r="D8" s="56">
        <v>4.9406564584124654E-324</v>
      </c>
      <c r="E8" s="56">
        <v>4.9406564584124654E-324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9.8813129168249309E-324</v>
      </c>
      <c r="Q8" s="189">
        <v>4.9406564584124654E-324</v>
      </c>
    </row>
    <row r="9" spans="1:17" ht="14.4" customHeight="1" x14ac:dyDescent="0.3">
      <c r="A9" s="19" t="s">
        <v>40</v>
      </c>
      <c r="B9" s="55">
        <v>1514.46446941973</v>
      </c>
      <c r="C9" s="56">
        <v>126.205372451644</v>
      </c>
      <c r="D9" s="56">
        <v>107.843990000001</v>
      </c>
      <c r="E9" s="56">
        <v>143.76087999999999</v>
      </c>
      <c r="F9" s="56">
        <v>4.9406564584124654E-324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251.604870000001</v>
      </c>
      <c r="Q9" s="189">
        <v>0.99680728764600002</v>
      </c>
    </row>
    <row r="10" spans="1:17" ht="14.4" customHeight="1" x14ac:dyDescent="0.3">
      <c r="A10" s="19" t="s">
        <v>41</v>
      </c>
      <c r="B10" s="55">
        <v>150.499469217914</v>
      </c>
      <c r="C10" s="56">
        <v>12.541622434825999</v>
      </c>
      <c r="D10" s="56">
        <v>13.412839999999999</v>
      </c>
      <c r="E10" s="56">
        <v>11.26699</v>
      </c>
      <c r="F10" s="56">
        <v>4.9406564584124654E-324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24.679829999999999</v>
      </c>
      <c r="Q10" s="189">
        <v>0.98391695844100002</v>
      </c>
    </row>
    <row r="11" spans="1:17" ht="14.4" customHeight="1" x14ac:dyDescent="0.3">
      <c r="A11" s="19" t="s">
        <v>42</v>
      </c>
      <c r="B11" s="55">
        <v>349.698358712664</v>
      </c>
      <c r="C11" s="56">
        <v>29.141529892722001</v>
      </c>
      <c r="D11" s="56">
        <v>13.206049999999999</v>
      </c>
      <c r="E11" s="56">
        <v>9.4429400000000001</v>
      </c>
      <c r="F11" s="56">
        <v>4.9406564584124654E-324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22.648990000000001</v>
      </c>
      <c r="Q11" s="189">
        <v>0.388603310865</v>
      </c>
    </row>
    <row r="12" spans="1:17" ht="14.4" customHeight="1" x14ac:dyDescent="0.3">
      <c r="A12" s="19" t="s">
        <v>43</v>
      </c>
      <c r="B12" s="55">
        <v>2395.6063713508202</v>
      </c>
      <c r="C12" s="56">
        <v>199.63386427923501</v>
      </c>
      <c r="D12" s="56">
        <v>9.7009999999999999E-2</v>
      </c>
      <c r="E12" s="56">
        <v>4.9406564584124654E-324</v>
      </c>
      <c r="F12" s="56">
        <v>4.9406564584124654E-324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9.7009999999999999E-2</v>
      </c>
      <c r="Q12" s="189">
        <v>2.42969799E-4</v>
      </c>
    </row>
    <row r="13" spans="1:17" ht="14.4" customHeight="1" x14ac:dyDescent="0.3">
      <c r="A13" s="19" t="s">
        <v>44</v>
      </c>
      <c r="B13" s="55">
        <v>53.474047090371997</v>
      </c>
      <c r="C13" s="56">
        <v>4.4561705908639997</v>
      </c>
      <c r="D13" s="56">
        <v>5.5596899999999998</v>
      </c>
      <c r="E13" s="56">
        <v>2.1875599999999999</v>
      </c>
      <c r="F13" s="56">
        <v>4.9406564584124654E-324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7.7472500000000002</v>
      </c>
      <c r="Q13" s="189">
        <v>0.869272152179</v>
      </c>
    </row>
    <row r="14" spans="1:17" ht="14.4" customHeight="1" x14ac:dyDescent="0.3">
      <c r="A14" s="19" t="s">
        <v>45</v>
      </c>
      <c r="B14" s="55">
        <v>2305.02620726859</v>
      </c>
      <c r="C14" s="56">
        <v>192.08551727238299</v>
      </c>
      <c r="D14" s="56">
        <v>262.828000000001</v>
      </c>
      <c r="E14" s="56">
        <v>220.09800000000001</v>
      </c>
      <c r="F14" s="56">
        <v>4.9406564584124654E-324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482.92600000000101</v>
      </c>
      <c r="Q14" s="189">
        <v>1.2570598940969999</v>
      </c>
    </row>
    <row r="15" spans="1:17" ht="14.4" customHeight="1" x14ac:dyDescent="0.3">
      <c r="A15" s="19" t="s">
        <v>46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9.8813129168249309E-324</v>
      </c>
      <c r="Q15" s="189" t="s">
        <v>299</v>
      </c>
    </row>
    <row r="16" spans="1:17" ht="14.4" customHeight="1" x14ac:dyDescent="0.3">
      <c r="A16" s="19" t="s">
        <v>47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9.8813129168249309E-324</v>
      </c>
      <c r="Q16" s="189" t="s">
        <v>299</v>
      </c>
    </row>
    <row r="17" spans="1:17" ht="14.4" customHeight="1" x14ac:dyDescent="0.3">
      <c r="A17" s="19" t="s">
        <v>48</v>
      </c>
      <c r="B17" s="55">
        <v>991.74947901422695</v>
      </c>
      <c r="C17" s="56">
        <v>82.645789917851999</v>
      </c>
      <c r="D17" s="56">
        <v>0.47069</v>
      </c>
      <c r="E17" s="56">
        <v>160.23263</v>
      </c>
      <c r="F17" s="56">
        <v>4.9406564584124654E-324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160.70331999999999</v>
      </c>
      <c r="Q17" s="189">
        <v>0.97224141822400001</v>
      </c>
    </row>
    <row r="18" spans="1:17" ht="14.4" customHeight="1" x14ac:dyDescent="0.3">
      <c r="A18" s="19" t="s">
        <v>49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9.8813129168249309E-324</v>
      </c>
      <c r="Q18" s="189" t="s">
        <v>299</v>
      </c>
    </row>
    <row r="19" spans="1:17" ht="14.4" customHeight="1" x14ac:dyDescent="0.3">
      <c r="A19" s="19" t="s">
        <v>50</v>
      </c>
      <c r="B19" s="55">
        <v>3970.0031598988899</v>
      </c>
      <c r="C19" s="56">
        <v>330.83359665824099</v>
      </c>
      <c r="D19" s="56">
        <v>172.25284000000099</v>
      </c>
      <c r="E19" s="56">
        <v>371.84129000000001</v>
      </c>
      <c r="F19" s="56">
        <v>4.9406564584124654E-324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544.09413000000097</v>
      </c>
      <c r="Q19" s="189">
        <v>0.822307854304</v>
      </c>
    </row>
    <row r="20" spans="1:17" ht="14.4" customHeight="1" x14ac:dyDescent="0.3">
      <c r="A20" s="19" t="s">
        <v>51</v>
      </c>
      <c r="B20" s="55">
        <v>23016.113871327201</v>
      </c>
      <c r="C20" s="56">
        <v>1918.0094892772699</v>
      </c>
      <c r="D20" s="56">
        <v>1831.2866300000101</v>
      </c>
      <c r="E20" s="56">
        <v>1810.09328</v>
      </c>
      <c r="F20" s="56">
        <v>4.9406564584124654E-324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3641.3799100000101</v>
      </c>
      <c r="Q20" s="189">
        <v>0.94926013931499997</v>
      </c>
    </row>
    <row r="21" spans="1:17" ht="14.4" customHeight="1" x14ac:dyDescent="0.3">
      <c r="A21" s="20" t="s">
        <v>52</v>
      </c>
      <c r="B21" s="55">
        <v>6923.9824672376399</v>
      </c>
      <c r="C21" s="56">
        <v>576.99853893647003</v>
      </c>
      <c r="D21" s="56">
        <v>984.48900000000503</v>
      </c>
      <c r="E21" s="56">
        <v>984.48900000000003</v>
      </c>
      <c r="F21" s="56">
        <v>1.4821969375237396E-323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1968.9780000000001</v>
      </c>
      <c r="Q21" s="189">
        <v>1.70622442444</v>
      </c>
    </row>
    <row r="22" spans="1:17" ht="14.4" customHeight="1" x14ac:dyDescent="0.3">
      <c r="A22" s="19" t="s">
        <v>53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9.8813129168249309E-324</v>
      </c>
      <c r="Q22" s="189" t="s">
        <v>299</v>
      </c>
    </row>
    <row r="23" spans="1:17" ht="14.4" customHeight="1" x14ac:dyDescent="0.3">
      <c r="A23" s="20" t="s">
        <v>54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3.9525251667299724E-323</v>
      </c>
      <c r="Q23" s="189" t="s">
        <v>299</v>
      </c>
    </row>
    <row r="24" spans="1:17" ht="14.4" customHeight="1" x14ac:dyDescent="0.3">
      <c r="A24" s="20" t="s">
        <v>55</v>
      </c>
      <c r="B24" s="55">
        <v>-1.45519152283669E-11</v>
      </c>
      <c r="C24" s="56">
        <v>-1.8189894035458601E-12</v>
      </c>
      <c r="D24" s="56">
        <v>0.382499999998</v>
      </c>
      <c r="E24" s="56">
        <v>0.84721999999999997</v>
      </c>
      <c r="F24" s="56">
        <v>-1.0869444208507424E-322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1.2297199999990001</v>
      </c>
      <c r="Q24" s="189"/>
    </row>
    <row r="25" spans="1:17" ht="14.4" customHeight="1" x14ac:dyDescent="0.3">
      <c r="A25" s="21" t="s">
        <v>56</v>
      </c>
      <c r="B25" s="58">
        <v>83294.100061201098</v>
      </c>
      <c r="C25" s="59">
        <v>6941.1750051000899</v>
      </c>
      <c r="D25" s="59">
        <v>6462.0997900000302</v>
      </c>
      <c r="E25" s="59">
        <v>7070.9552299999996</v>
      </c>
      <c r="F25" s="59">
        <v>4.9406564584124654E-324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13533.05502</v>
      </c>
      <c r="Q25" s="190">
        <v>0.97483891488499996</v>
      </c>
    </row>
    <row r="26" spans="1:17" ht="14.4" customHeight="1" x14ac:dyDescent="0.3">
      <c r="A26" s="19" t="s">
        <v>57</v>
      </c>
      <c r="B26" s="55">
        <v>5932.00680464984</v>
      </c>
      <c r="C26" s="56">
        <v>494.33390038748701</v>
      </c>
      <c r="D26" s="56">
        <v>428.61149</v>
      </c>
      <c r="E26" s="56">
        <v>380.26181000000003</v>
      </c>
      <c r="F26" s="56">
        <v>4.9406564584124654E-324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808.87329999999997</v>
      </c>
      <c r="Q26" s="189">
        <v>0.81814467849100003</v>
      </c>
    </row>
    <row r="27" spans="1:17" ht="14.4" customHeight="1" x14ac:dyDescent="0.3">
      <c r="A27" s="22" t="s">
        <v>58</v>
      </c>
      <c r="B27" s="58">
        <v>89226.106865851005</v>
      </c>
      <c r="C27" s="59">
        <v>7435.5089054875798</v>
      </c>
      <c r="D27" s="59">
        <v>6890.7112800000295</v>
      </c>
      <c r="E27" s="59">
        <v>7451.2170400000005</v>
      </c>
      <c r="F27" s="59">
        <v>9.8813129168249309E-324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14341.928320000001</v>
      </c>
      <c r="Q27" s="190">
        <v>0.96442143384500001</v>
      </c>
    </row>
    <row r="28" spans="1:17" ht="14.4" customHeight="1" x14ac:dyDescent="0.3">
      <c r="A28" s="20" t="s">
        <v>59</v>
      </c>
      <c r="B28" s="55">
        <v>38.301482461538001</v>
      </c>
      <c r="C28" s="56">
        <v>3.191790205128</v>
      </c>
      <c r="D28" s="56">
        <v>1.2351641146031164E-322</v>
      </c>
      <c r="E28" s="56">
        <v>2.0190000000000001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2.0190000000000001</v>
      </c>
      <c r="Q28" s="189">
        <v>0.31628018607800001</v>
      </c>
    </row>
    <row r="29" spans="1:17" ht="14.4" customHeight="1" x14ac:dyDescent="0.3">
      <c r="A29" s="20" t="s">
        <v>60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1.9762625833649862E-323</v>
      </c>
      <c r="Q29" s="189" t="s">
        <v>299</v>
      </c>
    </row>
    <row r="30" spans="1:17" ht="14.4" customHeight="1" x14ac:dyDescent="0.3">
      <c r="A30" s="20" t="s">
        <v>61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9.8813129168249309E-323</v>
      </c>
      <c r="Q30" s="189">
        <v>0</v>
      </c>
    </row>
    <row r="31" spans="1:17" ht="14.4" customHeight="1" thickBot="1" x14ac:dyDescent="0.35">
      <c r="A31" s="23" t="s">
        <v>62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4.9406564584124654E-323</v>
      </c>
      <c r="Q31" s="191" t="s">
        <v>299</v>
      </c>
    </row>
    <row r="32" spans="1:17" ht="14.4" customHeight="1" x14ac:dyDescent="0.3"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</row>
    <row r="33" spans="1:17" ht="14.4" customHeight="1" x14ac:dyDescent="0.3">
      <c r="A33" s="232" t="s">
        <v>207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17" ht="14.4" customHeight="1" x14ac:dyDescent="0.3">
      <c r="A34" s="266" t="s">
        <v>243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17" ht="14.4" customHeight="1" x14ac:dyDescent="0.3">
      <c r="A35" s="267" t="s">
        <v>63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60" customWidth="1"/>
    <col min="2" max="11" width="10" style="260" customWidth="1"/>
    <col min="12" max="16384" width="8.88671875" style="260"/>
  </cols>
  <sheetData>
    <row r="1" spans="1:11" s="64" customFormat="1" ht="18.600000000000001" customHeight="1" thickBot="1" x14ac:dyDescent="0.4">
      <c r="A1" s="471" t="s">
        <v>64</v>
      </c>
      <c r="B1" s="471"/>
      <c r="C1" s="471"/>
      <c r="D1" s="471"/>
      <c r="E1" s="471"/>
      <c r="F1" s="471"/>
      <c r="G1" s="471"/>
      <c r="H1" s="476"/>
      <c r="I1" s="476"/>
      <c r="J1" s="476"/>
      <c r="K1" s="476"/>
    </row>
    <row r="2" spans="1:11" s="64" customFormat="1" ht="14.4" customHeight="1" thickBot="1" x14ac:dyDescent="0.35">
      <c r="A2" s="389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2" t="s">
        <v>65</v>
      </c>
      <c r="C3" s="473"/>
      <c r="D3" s="473"/>
      <c r="E3" s="473"/>
      <c r="F3" s="479" t="s">
        <v>66</v>
      </c>
      <c r="G3" s="473"/>
      <c r="H3" s="473"/>
      <c r="I3" s="473"/>
      <c r="J3" s="473"/>
      <c r="K3" s="480"/>
    </row>
    <row r="4" spans="1:11" ht="14.4" customHeight="1" x14ac:dyDescent="0.3">
      <c r="A4" s="102"/>
      <c r="B4" s="477"/>
      <c r="C4" s="478"/>
      <c r="D4" s="478"/>
      <c r="E4" s="478"/>
      <c r="F4" s="481" t="s">
        <v>231</v>
      </c>
      <c r="G4" s="483" t="s">
        <v>67</v>
      </c>
      <c r="H4" s="272" t="s">
        <v>187</v>
      </c>
      <c r="I4" s="481" t="s">
        <v>68</v>
      </c>
      <c r="J4" s="483" t="s">
        <v>233</v>
      </c>
      <c r="K4" s="484" t="s">
        <v>234</v>
      </c>
    </row>
    <row r="5" spans="1:11" ht="42" thickBot="1" x14ac:dyDescent="0.35">
      <c r="A5" s="103"/>
      <c r="B5" s="28" t="s">
        <v>227</v>
      </c>
      <c r="C5" s="29" t="s">
        <v>228</v>
      </c>
      <c r="D5" s="30" t="s">
        <v>229</v>
      </c>
      <c r="E5" s="30" t="s">
        <v>230</v>
      </c>
      <c r="F5" s="482"/>
      <c r="G5" s="482"/>
      <c r="H5" s="29" t="s">
        <v>232</v>
      </c>
      <c r="I5" s="482"/>
      <c r="J5" s="482"/>
      <c r="K5" s="485"/>
    </row>
    <row r="6" spans="1:11" ht="14.4" customHeight="1" thickBot="1" x14ac:dyDescent="0.35">
      <c r="A6" s="605" t="s">
        <v>301</v>
      </c>
      <c r="B6" s="587">
        <v>85712.278353475398</v>
      </c>
      <c r="C6" s="587">
        <v>86733.435410000006</v>
      </c>
      <c r="D6" s="588">
        <v>1021.1570565245599</v>
      </c>
      <c r="E6" s="589">
        <v>1.011913778004</v>
      </c>
      <c r="F6" s="587">
        <v>83294.100061201098</v>
      </c>
      <c r="G6" s="588">
        <v>13882.3500102002</v>
      </c>
      <c r="H6" s="590">
        <v>7070.9552299999996</v>
      </c>
      <c r="I6" s="587">
        <v>13533.05502</v>
      </c>
      <c r="J6" s="588">
        <v>-349.29499020015498</v>
      </c>
      <c r="K6" s="591">
        <v>0.16247315247999999</v>
      </c>
    </row>
    <row r="7" spans="1:11" ht="14.4" customHeight="1" thickBot="1" x14ac:dyDescent="0.35">
      <c r="A7" s="606" t="s">
        <v>302</v>
      </c>
      <c r="B7" s="587">
        <v>48037.579058201802</v>
      </c>
      <c r="C7" s="587">
        <v>46781.962899999999</v>
      </c>
      <c r="D7" s="588">
        <v>-1255.6161582018501</v>
      </c>
      <c r="E7" s="589">
        <v>0.97386179356199998</v>
      </c>
      <c r="F7" s="587">
        <v>48392.251083723197</v>
      </c>
      <c r="G7" s="588">
        <v>8065.37518062053</v>
      </c>
      <c r="H7" s="590">
        <v>3743.45181</v>
      </c>
      <c r="I7" s="587">
        <v>7216.6699400000198</v>
      </c>
      <c r="J7" s="588">
        <v>-848.70524062050902</v>
      </c>
      <c r="K7" s="591">
        <v>0.149128626554</v>
      </c>
    </row>
    <row r="8" spans="1:11" ht="14.4" customHeight="1" thickBot="1" x14ac:dyDescent="0.35">
      <c r="A8" s="607" t="s">
        <v>303</v>
      </c>
      <c r="B8" s="587">
        <v>45686.671268502403</v>
      </c>
      <c r="C8" s="587">
        <v>44495.124900000003</v>
      </c>
      <c r="D8" s="588">
        <v>-1191.5463685023601</v>
      </c>
      <c r="E8" s="589">
        <v>0.97391916864500006</v>
      </c>
      <c r="F8" s="587">
        <v>46087.224876454602</v>
      </c>
      <c r="G8" s="588">
        <v>7681.20414607576</v>
      </c>
      <c r="H8" s="590">
        <v>3523.3538100000001</v>
      </c>
      <c r="I8" s="587">
        <v>6733.7439400000103</v>
      </c>
      <c r="J8" s="588">
        <v>-947.46020607574496</v>
      </c>
      <c r="K8" s="591">
        <v>0.14610868756000001</v>
      </c>
    </row>
    <row r="9" spans="1:11" ht="14.4" customHeight="1" thickBot="1" x14ac:dyDescent="0.35">
      <c r="A9" s="608" t="s">
        <v>304</v>
      </c>
      <c r="B9" s="592">
        <v>4.9406564584124654E-324</v>
      </c>
      <c r="C9" s="592">
        <v>4.0000000000000003E-5</v>
      </c>
      <c r="D9" s="593">
        <v>4.0000000000000003E-5</v>
      </c>
      <c r="E9" s="594" t="s">
        <v>305</v>
      </c>
      <c r="F9" s="592">
        <v>0</v>
      </c>
      <c r="G9" s="593">
        <v>0</v>
      </c>
      <c r="H9" s="595">
        <v>4.9406564584124654E-324</v>
      </c>
      <c r="I9" s="592">
        <v>9.8813129168249309E-324</v>
      </c>
      <c r="J9" s="593">
        <v>9.8813129168249309E-324</v>
      </c>
      <c r="K9" s="596" t="s">
        <v>299</v>
      </c>
    </row>
    <row r="10" spans="1:11" ht="14.4" customHeight="1" thickBot="1" x14ac:dyDescent="0.35">
      <c r="A10" s="609" t="s">
        <v>306</v>
      </c>
      <c r="B10" s="587">
        <v>4.9406564584124654E-324</v>
      </c>
      <c r="C10" s="587">
        <v>4.0000000000000003E-5</v>
      </c>
      <c r="D10" s="588">
        <v>4.0000000000000003E-5</v>
      </c>
      <c r="E10" s="597" t="s">
        <v>305</v>
      </c>
      <c r="F10" s="587">
        <v>0</v>
      </c>
      <c r="G10" s="588">
        <v>0</v>
      </c>
      <c r="H10" s="590">
        <v>4.9406564584124654E-324</v>
      </c>
      <c r="I10" s="587">
        <v>9.8813129168249309E-324</v>
      </c>
      <c r="J10" s="588">
        <v>9.8813129168249309E-324</v>
      </c>
      <c r="K10" s="598" t="s">
        <v>299</v>
      </c>
    </row>
    <row r="11" spans="1:11" ht="14.4" customHeight="1" thickBot="1" x14ac:dyDescent="0.35">
      <c r="A11" s="608" t="s">
        <v>307</v>
      </c>
      <c r="B11" s="592">
        <v>43520.3626237266</v>
      </c>
      <c r="C11" s="592">
        <v>38788.165110000002</v>
      </c>
      <c r="D11" s="593">
        <v>-4732.1975137265599</v>
      </c>
      <c r="E11" s="599">
        <v>0.89126474991299998</v>
      </c>
      <c r="F11" s="592">
        <v>41612.482225839303</v>
      </c>
      <c r="G11" s="593">
        <v>6935.4137043065502</v>
      </c>
      <c r="H11" s="595">
        <v>3356.69544</v>
      </c>
      <c r="I11" s="592">
        <v>6426.9659900000197</v>
      </c>
      <c r="J11" s="593">
        <v>-508.44771430653702</v>
      </c>
      <c r="K11" s="600">
        <v>0.154448032086</v>
      </c>
    </row>
    <row r="12" spans="1:11" ht="14.4" customHeight="1" thickBot="1" x14ac:dyDescent="0.35">
      <c r="A12" s="609" t="s">
        <v>308</v>
      </c>
      <c r="B12" s="587">
        <v>208.73685869260899</v>
      </c>
      <c r="C12" s="587">
        <v>195.88669999999999</v>
      </c>
      <c r="D12" s="588">
        <v>-12.850158692608</v>
      </c>
      <c r="E12" s="589">
        <v>0.93843847812400005</v>
      </c>
      <c r="F12" s="587">
        <v>196.03508234523201</v>
      </c>
      <c r="G12" s="588">
        <v>32.672513724204997</v>
      </c>
      <c r="H12" s="590">
        <v>6.7977499999999997</v>
      </c>
      <c r="I12" s="587">
        <v>10.22364</v>
      </c>
      <c r="J12" s="588">
        <v>-22.448873724205001</v>
      </c>
      <c r="K12" s="591">
        <v>5.2152093785999998E-2</v>
      </c>
    </row>
    <row r="13" spans="1:11" ht="14.4" customHeight="1" thickBot="1" x14ac:dyDescent="0.35">
      <c r="A13" s="609" t="s">
        <v>309</v>
      </c>
      <c r="B13" s="587">
        <v>39180</v>
      </c>
      <c r="C13" s="587">
        <v>34959.39299</v>
      </c>
      <c r="D13" s="588">
        <v>-4220.6070099999997</v>
      </c>
      <c r="E13" s="589">
        <v>0.89227649285300004</v>
      </c>
      <c r="F13" s="587">
        <v>35999.999999999302</v>
      </c>
      <c r="G13" s="588">
        <v>5999.9999999998799</v>
      </c>
      <c r="H13" s="590">
        <v>2558.62365</v>
      </c>
      <c r="I13" s="587">
        <v>4881.82330000001</v>
      </c>
      <c r="J13" s="588">
        <v>-1118.1766999998699</v>
      </c>
      <c r="K13" s="591">
        <v>0.135606202777</v>
      </c>
    </row>
    <row r="14" spans="1:11" ht="14.4" customHeight="1" thickBot="1" x14ac:dyDescent="0.35">
      <c r="A14" s="609" t="s">
        <v>310</v>
      </c>
      <c r="B14" s="587">
        <v>103.66775782872899</v>
      </c>
      <c r="C14" s="587">
        <v>4.9406564584124654E-324</v>
      </c>
      <c r="D14" s="588">
        <v>-103.66775782872899</v>
      </c>
      <c r="E14" s="589">
        <v>0</v>
      </c>
      <c r="F14" s="587">
        <v>13.999999999999</v>
      </c>
      <c r="G14" s="588">
        <v>2.333333333333</v>
      </c>
      <c r="H14" s="590">
        <v>4.9406564584124654E-324</v>
      </c>
      <c r="I14" s="587">
        <v>9.8813129168249309E-324</v>
      </c>
      <c r="J14" s="588">
        <v>-2.333333333333</v>
      </c>
      <c r="K14" s="591">
        <v>0</v>
      </c>
    </row>
    <row r="15" spans="1:11" ht="14.4" customHeight="1" thickBot="1" x14ac:dyDescent="0.35">
      <c r="A15" s="609" t="s">
        <v>311</v>
      </c>
      <c r="B15" s="587">
        <v>4027.8334290350799</v>
      </c>
      <c r="C15" s="587">
        <v>3632.3648199999998</v>
      </c>
      <c r="D15" s="588">
        <v>-395.46860903507701</v>
      </c>
      <c r="E15" s="589">
        <v>0.90181604676399996</v>
      </c>
      <c r="F15" s="587">
        <v>3401.9202138034898</v>
      </c>
      <c r="G15" s="588">
        <v>566.98670230058201</v>
      </c>
      <c r="H15" s="590">
        <v>275.46487000000002</v>
      </c>
      <c r="I15" s="587">
        <v>552.746450000001</v>
      </c>
      <c r="J15" s="588">
        <v>-14.24025230058</v>
      </c>
      <c r="K15" s="591">
        <v>0.162480721257</v>
      </c>
    </row>
    <row r="16" spans="1:11" ht="14.4" customHeight="1" thickBot="1" x14ac:dyDescent="0.35">
      <c r="A16" s="609" t="s">
        <v>312</v>
      </c>
      <c r="B16" s="587">
        <v>2.3095754031999999E-2</v>
      </c>
      <c r="C16" s="587">
        <v>0.52059999999999995</v>
      </c>
      <c r="D16" s="588">
        <v>0.49750424596699999</v>
      </c>
      <c r="E16" s="589">
        <v>22.540939744404</v>
      </c>
      <c r="F16" s="587">
        <v>0.52692969128300005</v>
      </c>
      <c r="G16" s="588">
        <v>8.7821615212999998E-2</v>
      </c>
      <c r="H16" s="590">
        <v>0.48530000000000001</v>
      </c>
      <c r="I16" s="587">
        <v>0.48530000000000001</v>
      </c>
      <c r="J16" s="588">
        <v>0.39747838478600001</v>
      </c>
      <c r="K16" s="591">
        <v>0.92099573819400005</v>
      </c>
    </row>
    <row r="17" spans="1:11" ht="14.4" customHeight="1" thickBot="1" x14ac:dyDescent="0.35">
      <c r="A17" s="609" t="s">
        <v>313</v>
      </c>
      <c r="B17" s="587">
        <v>0</v>
      </c>
      <c r="C17" s="587">
        <v>4.9406564584124654E-324</v>
      </c>
      <c r="D17" s="588">
        <v>4.9406564584124654E-324</v>
      </c>
      <c r="E17" s="597" t="s">
        <v>299</v>
      </c>
      <c r="F17" s="587">
        <v>2000</v>
      </c>
      <c r="G17" s="588">
        <v>333.33333333333297</v>
      </c>
      <c r="H17" s="590">
        <v>515.32387000000006</v>
      </c>
      <c r="I17" s="587">
        <v>981.68730000000198</v>
      </c>
      <c r="J17" s="588">
        <v>648.35396666666895</v>
      </c>
      <c r="K17" s="591">
        <v>0.49084365000000002</v>
      </c>
    </row>
    <row r="18" spans="1:11" ht="14.4" customHeight="1" thickBot="1" x14ac:dyDescent="0.35">
      <c r="A18" s="608" t="s">
        <v>314</v>
      </c>
      <c r="B18" s="592">
        <v>12.000215544337999</v>
      </c>
      <c r="C18" s="592">
        <v>10.914999999999999</v>
      </c>
      <c r="D18" s="593">
        <v>-1.085215544338</v>
      </c>
      <c r="E18" s="599">
        <v>0.90956699566499999</v>
      </c>
      <c r="F18" s="592">
        <v>10.999934823765001</v>
      </c>
      <c r="G18" s="593">
        <v>1.8333224706269999</v>
      </c>
      <c r="H18" s="595">
        <v>4.9406564584124654E-324</v>
      </c>
      <c r="I18" s="592">
        <v>9.8813129168249309E-324</v>
      </c>
      <c r="J18" s="593">
        <v>-1.8333224706269999</v>
      </c>
      <c r="K18" s="600">
        <v>0</v>
      </c>
    </row>
    <row r="19" spans="1:11" ht="14.4" customHeight="1" thickBot="1" x14ac:dyDescent="0.35">
      <c r="A19" s="609" t="s">
        <v>315</v>
      </c>
      <c r="B19" s="587">
        <v>12.000215544337999</v>
      </c>
      <c r="C19" s="587">
        <v>10.914999999999999</v>
      </c>
      <c r="D19" s="588">
        <v>-1.085215544338</v>
      </c>
      <c r="E19" s="589">
        <v>0.90956699566499999</v>
      </c>
      <c r="F19" s="587">
        <v>10.999934823765001</v>
      </c>
      <c r="G19" s="588">
        <v>1.8333224706269999</v>
      </c>
      <c r="H19" s="590">
        <v>4.9406564584124654E-324</v>
      </c>
      <c r="I19" s="587">
        <v>9.8813129168249309E-324</v>
      </c>
      <c r="J19" s="588">
        <v>-1.8333224706269999</v>
      </c>
      <c r="K19" s="591">
        <v>0</v>
      </c>
    </row>
    <row r="20" spans="1:11" ht="14.4" customHeight="1" thickBot="1" x14ac:dyDescent="0.35">
      <c r="A20" s="608" t="s">
        <v>316</v>
      </c>
      <c r="B20" s="592">
        <v>1537.08327697342</v>
      </c>
      <c r="C20" s="592">
        <v>1513.98938</v>
      </c>
      <c r="D20" s="593">
        <v>-23.093896973420001</v>
      </c>
      <c r="E20" s="599">
        <v>0.98497550697500003</v>
      </c>
      <c r="F20" s="592">
        <v>1514.46446941973</v>
      </c>
      <c r="G20" s="593">
        <v>252.41074490328799</v>
      </c>
      <c r="H20" s="595">
        <v>143.76087999999999</v>
      </c>
      <c r="I20" s="592">
        <v>251.604870000001</v>
      </c>
      <c r="J20" s="593">
        <v>-0.80587490328699996</v>
      </c>
      <c r="K20" s="600">
        <v>0.16613454794099999</v>
      </c>
    </row>
    <row r="21" spans="1:11" ht="14.4" customHeight="1" thickBot="1" x14ac:dyDescent="0.35">
      <c r="A21" s="609" t="s">
        <v>317</v>
      </c>
      <c r="B21" s="587">
        <v>18.370414194493002</v>
      </c>
      <c r="C21" s="587">
        <v>0.29160999999999998</v>
      </c>
      <c r="D21" s="588">
        <v>-18.078804194492999</v>
      </c>
      <c r="E21" s="589">
        <v>1.5873893582999999E-2</v>
      </c>
      <c r="F21" s="587">
        <v>0.29160969114000002</v>
      </c>
      <c r="G21" s="588">
        <v>4.8601615190000003E-2</v>
      </c>
      <c r="H21" s="590">
        <v>4.9406564584124654E-324</v>
      </c>
      <c r="I21" s="587">
        <v>9.8813129168249309E-324</v>
      </c>
      <c r="J21" s="588">
        <v>-4.8601615190000003E-2</v>
      </c>
      <c r="K21" s="591">
        <v>3.4584595208887258E-323</v>
      </c>
    </row>
    <row r="22" spans="1:11" ht="14.4" customHeight="1" thickBot="1" x14ac:dyDescent="0.35">
      <c r="A22" s="609" t="s">
        <v>318</v>
      </c>
      <c r="B22" s="587">
        <v>27.804848366213999</v>
      </c>
      <c r="C22" s="587">
        <v>26.319680000000002</v>
      </c>
      <c r="D22" s="588">
        <v>-1.4851683662140001</v>
      </c>
      <c r="E22" s="589">
        <v>0.94658599296500001</v>
      </c>
      <c r="F22" s="587">
        <v>26.379532306819002</v>
      </c>
      <c r="G22" s="588">
        <v>4.3965887178029996</v>
      </c>
      <c r="H22" s="590">
        <v>0.33531</v>
      </c>
      <c r="I22" s="587">
        <v>1.44337</v>
      </c>
      <c r="J22" s="588">
        <v>-2.9532187178029998</v>
      </c>
      <c r="K22" s="591">
        <v>5.4715526537999999E-2</v>
      </c>
    </row>
    <row r="23" spans="1:11" ht="14.4" customHeight="1" thickBot="1" x14ac:dyDescent="0.35">
      <c r="A23" s="609" t="s">
        <v>319</v>
      </c>
      <c r="B23" s="587">
        <v>1400.0513495591699</v>
      </c>
      <c r="C23" s="587">
        <v>1397.5444500000001</v>
      </c>
      <c r="D23" s="588">
        <v>-2.5068995591699998</v>
      </c>
      <c r="E23" s="589">
        <v>0.99820942313200001</v>
      </c>
      <c r="F23" s="587">
        <v>1397.53392182221</v>
      </c>
      <c r="G23" s="588">
        <v>232.92232030370201</v>
      </c>
      <c r="H23" s="590">
        <v>140.34557000000001</v>
      </c>
      <c r="I23" s="587">
        <v>244.77395000000101</v>
      </c>
      <c r="J23" s="588">
        <v>11.851629696298</v>
      </c>
      <c r="K23" s="591">
        <v>0.17514705452000001</v>
      </c>
    </row>
    <row r="24" spans="1:11" ht="14.4" customHeight="1" thickBot="1" x14ac:dyDescent="0.35">
      <c r="A24" s="609" t="s">
        <v>320</v>
      </c>
      <c r="B24" s="587">
        <v>25</v>
      </c>
      <c r="C24" s="587">
        <v>26.928599999999999</v>
      </c>
      <c r="D24" s="588">
        <v>1.9286000000000001</v>
      </c>
      <c r="E24" s="589">
        <v>1.0771440000000001</v>
      </c>
      <c r="F24" s="587">
        <v>26.379912912171999</v>
      </c>
      <c r="G24" s="588">
        <v>4.3966521520280004</v>
      </c>
      <c r="H24" s="590">
        <v>4.9406564584124654E-324</v>
      </c>
      <c r="I24" s="587">
        <v>9.8813129168249309E-324</v>
      </c>
      <c r="J24" s="588">
        <v>-4.3966521520280004</v>
      </c>
      <c r="K24" s="591">
        <v>0</v>
      </c>
    </row>
    <row r="25" spans="1:11" ht="14.4" customHeight="1" thickBot="1" x14ac:dyDescent="0.35">
      <c r="A25" s="609" t="s">
        <v>321</v>
      </c>
      <c r="B25" s="587">
        <v>4.8005094261450001</v>
      </c>
      <c r="C25" s="587">
        <v>7.2279499999999999</v>
      </c>
      <c r="D25" s="588">
        <v>2.4274405738540001</v>
      </c>
      <c r="E25" s="589">
        <v>1.505663119966</v>
      </c>
      <c r="F25" s="587">
        <v>7.4145450614820003</v>
      </c>
      <c r="G25" s="588">
        <v>1.235757510247</v>
      </c>
      <c r="H25" s="590">
        <v>4.9406564584124654E-324</v>
      </c>
      <c r="I25" s="587">
        <v>0.06</v>
      </c>
      <c r="J25" s="588">
        <v>-1.1757575102469999</v>
      </c>
      <c r="K25" s="591">
        <v>8.0922024879999995E-3</v>
      </c>
    </row>
    <row r="26" spans="1:11" ht="14.4" customHeight="1" thickBot="1" x14ac:dyDescent="0.35">
      <c r="A26" s="609" t="s">
        <v>322</v>
      </c>
      <c r="B26" s="587">
        <v>61.056155427394998</v>
      </c>
      <c r="C26" s="587">
        <v>55.67709</v>
      </c>
      <c r="D26" s="588">
        <v>-5.379065427395</v>
      </c>
      <c r="E26" s="589">
        <v>0.91189970299000001</v>
      </c>
      <c r="F26" s="587">
        <v>56.464947625899001</v>
      </c>
      <c r="G26" s="588">
        <v>9.4108246043159998</v>
      </c>
      <c r="H26" s="590">
        <v>3.08</v>
      </c>
      <c r="I26" s="587">
        <v>5.3275499999999996</v>
      </c>
      <c r="J26" s="588">
        <v>-4.0832746043160002</v>
      </c>
      <c r="K26" s="591">
        <v>9.4351455619000005E-2</v>
      </c>
    </row>
    <row r="27" spans="1:11" ht="14.4" customHeight="1" thickBot="1" x14ac:dyDescent="0.35">
      <c r="A27" s="608" t="s">
        <v>323</v>
      </c>
      <c r="B27" s="592">
        <v>166.00906466213399</v>
      </c>
      <c r="C27" s="592">
        <v>166.73367999999999</v>
      </c>
      <c r="D27" s="593">
        <v>0.72461533786599996</v>
      </c>
      <c r="E27" s="599">
        <v>1.004364914285</v>
      </c>
      <c r="F27" s="592">
        <v>150.499469217914</v>
      </c>
      <c r="G27" s="593">
        <v>25.083244869651999</v>
      </c>
      <c r="H27" s="595">
        <v>11.26699</v>
      </c>
      <c r="I27" s="592">
        <v>24.679829999999999</v>
      </c>
      <c r="J27" s="593">
        <v>-0.40341486965200002</v>
      </c>
      <c r="K27" s="600">
        <v>0.16398615974</v>
      </c>
    </row>
    <row r="28" spans="1:11" ht="14.4" customHeight="1" thickBot="1" x14ac:dyDescent="0.35">
      <c r="A28" s="609" t="s">
        <v>324</v>
      </c>
      <c r="B28" s="587">
        <v>145.00979126873199</v>
      </c>
      <c r="C28" s="587">
        <v>143.67321000000001</v>
      </c>
      <c r="D28" s="588">
        <v>-1.3365812687309999</v>
      </c>
      <c r="E28" s="589">
        <v>0.990782820545</v>
      </c>
      <c r="F28" s="587">
        <v>136.99951682959599</v>
      </c>
      <c r="G28" s="588">
        <v>22.833252804931998</v>
      </c>
      <c r="H28" s="590">
        <v>10.843730000000001</v>
      </c>
      <c r="I28" s="587">
        <v>23.399889999999999</v>
      </c>
      <c r="J28" s="588">
        <v>0.56663719506700005</v>
      </c>
      <c r="K28" s="591">
        <v>0.17080271917299999</v>
      </c>
    </row>
    <row r="29" spans="1:11" ht="14.4" customHeight="1" thickBot="1" x14ac:dyDescent="0.35">
      <c r="A29" s="609" t="s">
        <v>325</v>
      </c>
      <c r="B29" s="587">
        <v>20.999273393401999</v>
      </c>
      <c r="C29" s="587">
        <v>19.737030000000001</v>
      </c>
      <c r="D29" s="588">
        <v>-1.262243393401</v>
      </c>
      <c r="E29" s="589">
        <v>0.93989109195499998</v>
      </c>
      <c r="F29" s="587">
        <v>13.499952388317</v>
      </c>
      <c r="G29" s="588">
        <v>2.2499920647190002</v>
      </c>
      <c r="H29" s="590">
        <v>0.42326000000000003</v>
      </c>
      <c r="I29" s="587">
        <v>1.2799400000000001</v>
      </c>
      <c r="J29" s="588">
        <v>-0.97005206471899996</v>
      </c>
      <c r="K29" s="591">
        <v>9.4810704746999999E-2</v>
      </c>
    </row>
    <row r="30" spans="1:11" ht="14.4" customHeight="1" thickBot="1" x14ac:dyDescent="0.35">
      <c r="A30" s="609" t="s">
        <v>326</v>
      </c>
      <c r="B30" s="587">
        <v>0</v>
      </c>
      <c r="C30" s="587">
        <v>3.3234400000000002</v>
      </c>
      <c r="D30" s="588">
        <v>3.3234400000000002</v>
      </c>
      <c r="E30" s="597" t="s">
        <v>299</v>
      </c>
      <c r="F30" s="587">
        <v>0</v>
      </c>
      <c r="G30" s="588">
        <v>0</v>
      </c>
      <c r="H30" s="590">
        <v>4.9406564584124654E-324</v>
      </c>
      <c r="I30" s="587">
        <v>9.8813129168249309E-324</v>
      </c>
      <c r="J30" s="588">
        <v>9.8813129168249309E-324</v>
      </c>
      <c r="K30" s="598" t="s">
        <v>299</v>
      </c>
    </row>
    <row r="31" spans="1:11" ht="14.4" customHeight="1" thickBot="1" x14ac:dyDescent="0.35">
      <c r="A31" s="608" t="s">
        <v>327</v>
      </c>
      <c r="B31" s="592">
        <v>379.58952953477399</v>
      </c>
      <c r="C31" s="592">
        <v>334.01636000000002</v>
      </c>
      <c r="D31" s="593">
        <v>-45.573169534774003</v>
      </c>
      <c r="E31" s="599">
        <v>0.87994092041799998</v>
      </c>
      <c r="F31" s="592">
        <v>349.698358712664</v>
      </c>
      <c r="G31" s="593">
        <v>58.283059785444003</v>
      </c>
      <c r="H31" s="595">
        <v>9.4429400000000001</v>
      </c>
      <c r="I31" s="592">
        <v>22.648990000000001</v>
      </c>
      <c r="J31" s="593">
        <v>-35.634069785443998</v>
      </c>
      <c r="K31" s="600">
        <v>6.4767218476999996E-2</v>
      </c>
    </row>
    <row r="32" spans="1:11" ht="14.4" customHeight="1" thickBot="1" x14ac:dyDescent="0.35">
      <c r="A32" s="609" t="s">
        <v>328</v>
      </c>
      <c r="B32" s="587">
        <v>86.051441054083995</v>
      </c>
      <c r="C32" s="587">
        <v>3.3</v>
      </c>
      <c r="D32" s="588">
        <v>-82.751441054083998</v>
      </c>
      <c r="E32" s="589">
        <v>3.8349154407E-2</v>
      </c>
      <c r="F32" s="587">
        <v>3.808547110074</v>
      </c>
      <c r="G32" s="588">
        <v>0.63475785167900001</v>
      </c>
      <c r="H32" s="590">
        <v>4.9406564584124654E-324</v>
      </c>
      <c r="I32" s="587">
        <v>9.8813129168249309E-324</v>
      </c>
      <c r="J32" s="588">
        <v>-0.63475785167900001</v>
      </c>
      <c r="K32" s="591">
        <v>4.9406564584124654E-324</v>
      </c>
    </row>
    <row r="33" spans="1:11" ht="14.4" customHeight="1" thickBot="1" x14ac:dyDescent="0.35">
      <c r="A33" s="609" t="s">
        <v>329</v>
      </c>
      <c r="B33" s="587">
        <v>8.6005170675719995</v>
      </c>
      <c r="C33" s="587">
        <v>7.3830299999999998</v>
      </c>
      <c r="D33" s="588">
        <v>-1.217487067572</v>
      </c>
      <c r="E33" s="589">
        <v>0.85844024748600001</v>
      </c>
      <c r="F33" s="587">
        <v>7.4314478666769999</v>
      </c>
      <c r="G33" s="588">
        <v>1.238574644446</v>
      </c>
      <c r="H33" s="590">
        <v>0.65986</v>
      </c>
      <c r="I33" s="587">
        <v>1.1487099999999999</v>
      </c>
      <c r="J33" s="588">
        <v>-8.9864644445999994E-2</v>
      </c>
      <c r="K33" s="591">
        <v>0.154574185355</v>
      </c>
    </row>
    <row r="34" spans="1:11" ht="14.4" customHeight="1" thickBot="1" x14ac:dyDescent="0.35">
      <c r="A34" s="609" t="s">
        <v>330</v>
      </c>
      <c r="B34" s="587">
        <v>32.883642088824999</v>
      </c>
      <c r="C34" s="587">
        <v>48.380290000000002</v>
      </c>
      <c r="D34" s="588">
        <v>15.496647911174</v>
      </c>
      <c r="E34" s="589">
        <v>1.47125704231</v>
      </c>
      <c r="F34" s="587">
        <v>49.766295842533999</v>
      </c>
      <c r="G34" s="588">
        <v>8.2943826404220005</v>
      </c>
      <c r="H34" s="590">
        <v>1.8028999999999999</v>
      </c>
      <c r="I34" s="587">
        <v>4.12934</v>
      </c>
      <c r="J34" s="588">
        <v>-4.1650426404219996</v>
      </c>
      <c r="K34" s="591">
        <v>8.2974630320999998E-2</v>
      </c>
    </row>
    <row r="35" spans="1:11" ht="14.4" customHeight="1" thickBot="1" x14ac:dyDescent="0.35">
      <c r="A35" s="609" t="s">
        <v>331</v>
      </c>
      <c r="B35" s="587">
        <v>55.402209620382997</v>
      </c>
      <c r="C35" s="587">
        <v>41.04213</v>
      </c>
      <c r="D35" s="588">
        <v>-14.360079620383001</v>
      </c>
      <c r="E35" s="589">
        <v>0.74080312466200005</v>
      </c>
      <c r="F35" s="587">
        <v>45.043326802655002</v>
      </c>
      <c r="G35" s="588">
        <v>7.5072211337750003</v>
      </c>
      <c r="H35" s="590">
        <v>3.3109299999999999</v>
      </c>
      <c r="I35" s="587">
        <v>4.3472499999999998</v>
      </c>
      <c r="J35" s="588">
        <v>-3.1599711337750001</v>
      </c>
      <c r="K35" s="591">
        <v>9.6512631471999996E-2</v>
      </c>
    </row>
    <row r="36" spans="1:11" ht="14.4" customHeight="1" thickBot="1" x14ac:dyDescent="0.35">
      <c r="A36" s="609" t="s">
        <v>332</v>
      </c>
      <c r="B36" s="587">
        <v>9.4467897812110007</v>
      </c>
      <c r="C36" s="587">
        <v>8.22532</v>
      </c>
      <c r="D36" s="588">
        <v>-1.221469781211</v>
      </c>
      <c r="E36" s="589">
        <v>0.87070001455500001</v>
      </c>
      <c r="F36" s="587">
        <v>17.066866518238999</v>
      </c>
      <c r="G36" s="588">
        <v>2.844477753039</v>
      </c>
      <c r="H36" s="590">
        <v>1.41618</v>
      </c>
      <c r="I36" s="587">
        <v>3.0237099999999999</v>
      </c>
      <c r="J36" s="588">
        <v>0.17923224696000001</v>
      </c>
      <c r="K36" s="591">
        <v>0.17716843316</v>
      </c>
    </row>
    <row r="37" spans="1:11" ht="14.4" customHeight="1" thickBot="1" x14ac:dyDescent="0.35">
      <c r="A37" s="609" t="s">
        <v>333</v>
      </c>
      <c r="B37" s="587">
        <v>4.9406564584124654E-324</v>
      </c>
      <c r="C37" s="587">
        <v>0.1</v>
      </c>
      <c r="D37" s="588">
        <v>0.1</v>
      </c>
      <c r="E37" s="597" t="s">
        <v>305</v>
      </c>
      <c r="F37" s="587">
        <v>0.173653692443</v>
      </c>
      <c r="G37" s="588">
        <v>2.8942282073000002E-2</v>
      </c>
      <c r="H37" s="590">
        <v>4.9406564584124654E-324</v>
      </c>
      <c r="I37" s="587">
        <v>9.8813129168249309E-324</v>
      </c>
      <c r="J37" s="588">
        <v>-2.8942282073000002E-2</v>
      </c>
      <c r="K37" s="591">
        <v>5.9287877500949585E-323</v>
      </c>
    </row>
    <row r="38" spans="1:11" ht="14.4" customHeight="1" thickBot="1" x14ac:dyDescent="0.35">
      <c r="A38" s="609" t="s">
        <v>334</v>
      </c>
      <c r="B38" s="587">
        <v>2.5976719443270002</v>
      </c>
      <c r="C38" s="587">
        <v>3.7703700000000002</v>
      </c>
      <c r="D38" s="588">
        <v>1.1726980556719999</v>
      </c>
      <c r="E38" s="589">
        <v>1.451441937552</v>
      </c>
      <c r="F38" s="587">
        <v>2.1046990414770002</v>
      </c>
      <c r="G38" s="588">
        <v>0.35078317357900002</v>
      </c>
      <c r="H38" s="590">
        <v>0.14523</v>
      </c>
      <c r="I38" s="587">
        <v>0.28922999999999999</v>
      </c>
      <c r="J38" s="588">
        <v>-6.1553173579000003E-2</v>
      </c>
      <c r="K38" s="591">
        <v>0.137421072704</v>
      </c>
    </row>
    <row r="39" spans="1:11" ht="14.4" customHeight="1" thickBot="1" x14ac:dyDescent="0.35">
      <c r="A39" s="609" t="s">
        <v>335</v>
      </c>
      <c r="B39" s="587">
        <v>184.60725797836901</v>
      </c>
      <c r="C39" s="587">
        <v>160.83102</v>
      </c>
      <c r="D39" s="588">
        <v>-23.776237978367998</v>
      </c>
      <c r="E39" s="589">
        <v>0.87120637487999997</v>
      </c>
      <c r="F39" s="587">
        <v>179.82369473596501</v>
      </c>
      <c r="G39" s="588">
        <v>29.970615789326999</v>
      </c>
      <c r="H39" s="590">
        <v>0.70499999999999996</v>
      </c>
      <c r="I39" s="587">
        <v>6.0594299999999999</v>
      </c>
      <c r="J39" s="588">
        <v>-23.911185789327</v>
      </c>
      <c r="K39" s="591">
        <v>3.3696504838999997E-2</v>
      </c>
    </row>
    <row r="40" spans="1:11" ht="14.4" customHeight="1" thickBot="1" x14ac:dyDescent="0.35">
      <c r="A40" s="609" t="s">
        <v>336</v>
      </c>
      <c r="B40" s="587">
        <v>4.9406564584124654E-324</v>
      </c>
      <c r="C40" s="587">
        <v>0.47553000000000001</v>
      </c>
      <c r="D40" s="588">
        <v>0.47553000000000001</v>
      </c>
      <c r="E40" s="597" t="s">
        <v>305</v>
      </c>
      <c r="F40" s="587">
        <v>0.483562493388</v>
      </c>
      <c r="G40" s="588">
        <v>8.0593748898000001E-2</v>
      </c>
      <c r="H40" s="590">
        <v>4.9406564584124654E-324</v>
      </c>
      <c r="I40" s="587">
        <v>9.8813129168249309E-324</v>
      </c>
      <c r="J40" s="588">
        <v>-8.0593748898000001E-2</v>
      </c>
      <c r="K40" s="591">
        <v>1.9762625833649862E-323</v>
      </c>
    </row>
    <row r="41" spans="1:11" ht="14.4" customHeight="1" thickBot="1" x14ac:dyDescent="0.35">
      <c r="A41" s="609" t="s">
        <v>337</v>
      </c>
      <c r="B41" s="587">
        <v>4.9406564584124654E-324</v>
      </c>
      <c r="C41" s="587">
        <v>1.915</v>
      </c>
      <c r="D41" s="588">
        <v>1.915</v>
      </c>
      <c r="E41" s="597" t="s">
        <v>305</v>
      </c>
      <c r="F41" s="587">
        <v>0</v>
      </c>
      <c r="G41" s="588">
        <v>0</v>
      </c>
      <c r="H41" s="590">
        <v>4.9406564584124654E-324</v>
      </c>
      <c r="I41" s="587">
        <v>9.8813129168249309E-324</v>
      </c>
      <c r="J41" s="588">
        <v>9.8813129168249309E-324</v>
      </c>
      <c r="K41" s="598" t="s">
        <v>299</v>
      </c>
    </row>
    <row r="42" spans="1:11" ht="14.4" customHeight="1" thickBot="1" x14ac:dyDescent="0.35">
      <c r="A42" s="609" t="s">
        <v>338</v>
      </c>
      <c r="B42" s="587">
        <v>4.9406564584124654E-324</v>
      </c>
      <c r="C42" s="587">
        <v>58.593670000000003</v>
      </c>
      <c r="D42" s="588">
        <v>58.593670000000003</v>
      </c>
      <c r="E42" s="597" t="s">
        <v>305</v>
      </c>
      <c r="F42" s="587">
        <v>43.996264609207998</v>
      </c>
      <c r="G42" s="588">
        <v>7.3327107682010002</v>
      </c>
      <c r="H42" s="590">
        <v>1.4028400000000001</v>
      </c>
      <c r="I42" s="587">
        <v>3.6513200000000001</v>
      </c>
      <c r="J42" s="588">
        <v>-3.6813907682010001</v>
      </c>
      <c r="K42" s="591">
        <v>8.2991591045999999E-2</v>
      </c>
    </row>
    <row r="43" spans="1:11" ht="14.4" customHeight="1" thickBot="1" x14ac:dyDescent="0.35">
      <c r="A43" s="608" t="s">
        <v>339</v>
      </c>
      <c r="B43" s="592">
        <v>1.8363050135850001</v>
      </c>
      <c r="C43" s="592">
        <v>3586.8780700000002</v>
      </c>
      <c r="D43" s="593">
        <v>3585.0417649864098</v>
      </c>
      <c r="E43" s="599">
        <v>1953.3127903393699</v>
      </c>
      <c r="F43" s="592">
        <v>2395.6063713508202</v>
      </c>
      <c r="G43" s="593">
        <v>399.267728558469</v>
      </c>
      <c r="H43" s="595">
        <v>4.9406564584124654E-324</v>
      </c>
      <c r="I43" s="592">
        <v>9.7009999999999999E-2</v>
      </c>
      <c r="J43" s="593">
        <v>-399.17071855846899</v>
      </c>
      <c r="K43" s="600">
        <v>4.0494966602254898E-5</v>
      </c>
    </row>
    <row r="44" spans="1:11" ht="14.4" customHeight="1" thickBot="1" x14ac:dyDescent="0.35">
      <c r="A44" s="609" t="s">
        <v>340</v>
      </c>
      <c r="B44" s="587">
        <v>0</v>
      </c>
      <c r="C44" s="587">
        <v>10.4137</v>
      </c>
      <c r="D44" s="588">
        <v>10.4137</v>
      </c>
      <c r="E44" s="597" t="s">
        <v>299</v>
      </c>
      <c r="F44" s="587">
        <v>8.2455193087430008</v>
      </c>
      <c r="G44" s="588">
        <v>1.3742532181230001</v>
      </c>
      <c r="H44" s="590">
        <v>4.9406564584124654E-324</v>
      </c>
      <c r="I44" s="587">
        <v>9.8813129168249309E-324</v>
      </c>
      <c r="J44" s="588">
        <v>-1.3742532181230001</v>
      </c>
      <c r="K44" s="591">
        <v>0</v>
      </c>
    </row>
    <row r="45" spans="1:11" ht="14.4" customHeight="1" thickBot="1" x14ac:dyDescent="0.35">
      <c r="A45" s="609" t="s">
        <v>341</v>
      </c>
      <c r="B45" s="587">
        <v>0</v>
      </c>
      <c r="C45" s="587">
        <v>3575.3685</v>
      </c>
      <c r="D45" s="588">
        <v>3575.3685</v>
      </c>
      <c r="E45" s="597" t="s">
        <v>299</v>
      </c>
      <c r="F45" s="587">
        <v>2383.3122148601301</v>
      </c>
      <c r="G45" s="588">
        <v>397.21870247668801</v>
      </c>
      <c r="H45" s="590">
        <v>4.9406564584124654E-324</v>
      </c>
      <c r="I45" s="587">
        <v>9.8813129168249309E-324</v>
      </c>
      <c r="J45" s="588">
        <v>-397.21870247668801</v>
      </c>
      <c r="K45" s="591">
        <v>0</v>
      </c>
    </row>
    <row r="46" spans="1:11" ht="14.4" customHeight="1" thickBot="1" x14ac:dyDescent="0.35">
      <c r="A46" s="609" t="s">
        <v>342</v>
      </c>
      <c r="B46" s="587">
        <v>4.9406564584124654E-324</v>
      </c>
      <c r="C46" s="587">
        <v>0.1212</v>
      </c>
      <c r="D46" s="588">
        <v>0.1212</v>
      </c>
      <c r="E46" s="597" t="s">
        <v>305</v>
      </c>
      <c r="F46" s="587">
        <v>0</v>
      </c>
      <c r="G46" s="588">
        <v>0</v>
      </c>
      <c r="H46" s="590">
        <v>4.9406564584124654E-324</v>
      </c>
      <c r="I46" s="587">
        <v>9.8813129168249309E-324</v>
      </c>
      <c r="J46" s="588">
        <v>9.8813129168249309E-324</v>
      </c>
      <c r="K46" s="598" t="s">
        <v>299</v>
      </c>
    </row>
    <row r="47" spans="1:11" ht="14.4" customHeight="1" thickBot="1" x14ac:dyDescent="0.35">
      <c r="A47" s="609" t="s">
        <v>343</v>
      </c>
      <c r="B47" s="587">
        <v>1.8363050135850001</v>
      </c>
      <c r="C47" s="587">
        <v>0.97467000000000004</v>
      </c>
      <c r="D47" s="588">
        <v>-0.86163501358500005</v>
      </c>
      <c r="E47" s="589">
        <v>0.53077783526599998</v>
      </c>
      <c r="F47" s="587">
        <v>4.0486371819429996</v>
      </c>
      <c r="G47" s="588">
        <v>0.67477286365699995</v>
      </c>
      <c r="H47" s="590">
        <v>4.9406564584124654E-324</v>
      </c>
      <c r="I47" s="587">
        <v>9.7009999999999999E-2</v>
      </c>
      <c r="J47" s="588">
        <v>-0.57776286365700003</v>
      </c>
      <c r="K47" s="591">
        <v>2.3961149304999999E-2</v>
      </c>
    </row>
    <row r="48" spans="1:11" ht="14.4" customHeight="1" thickBot="1" x14ac:dyDescent="0.35">
      <c r="A48" s="608" t="s">
        <v>344</v>
      </c>
      <c r="B48" s="592">
        <v>69.790253047554003</v>
      </c>
      <c r="C48" s="592">
        <v>58.190759999999997</v>
      </c>
      <c r="D48" s="593">
        <v>-11.599493047554001</v>
      </c>
      <c r="E48" s="599">
        <v>0.83379494211500005</v>
      </c>
      <c r="F48" s="592">
        <v>53.474047090371997</v>
      </c>
      <c r="G48" s="593">
        <v>8.9123411817279994</v>
      </c>
      <c r="H48" s="595">
        <v>2.1875599999999999</v>
      </c>
      <c r="I48" s="592">
        <v>7.7472500000000002</v>
      </c>
      <c r="J48" s="593">
        <v>-1.1650911817280001</v>
      </c>
      <c r="K48" s="600">
        <v>0.144878692029</v>
      </c>
    </row>
    <row r="49" spans="1:11" ht="14.4" customHeight="1" thickBot="1" x14ac:dyDescent="0.35">
      <c r="A49" s="609" t="s">
        <v>345</v>
      </c>
      <c r="B49" s="587">
        <v>15.303605394073999</v>
      </c>
      <c r="C49" s="587">
        <v>13.95051</v>
      </c>
      <c r="D49" s="588">
        <v>-1.353095394074</v>
      </c>
      <c r="E49" s="589">
        <v>0.91158322766199995</v>
      </c>
      <c r="F49" s="587">
        <v>12.479155205494999</v>
      </c>
      <c r="G49" s="588">
        <v>2.0798592009150001</v>
      </c>
      <c r="H49" s="590">
        <v>2.1633599999999999</v>
      </c>
      <c r="I49" s="587">
        <v>2.5904600000000002</v>
      </c>
      <c r="J49" s="588">
        <v>0.51060079908400002</v>
      </c>
      <c r="K49" s="591">
        <v>0.207582961934</v>
      </c>
    </row>
    <row r="50" spans="1:11" ht="14.4" customHeight="1" thickBot="1" x14ac:dyDescent="0.35">
      <c r="A50" s="609" t="s">
        <v>346</v>
      </c>
      <c r="B50" s="587">
        <v>4.9406564584124654E-324</v>
      </c>
      <c r="C50" s="587">
        <v>2.7959999999999998</v>
      </c>
      <c r="D50" s="588">
        <v>2.7959999999999998</v>
      </c>
      <c r="E50" s="597" t="s">
        <v>305</v>
      </c>
      <c r="F50" s="587">
        <v>0</v>
      </c>
      <c r="G50" s="588">
        <v>0</v>
      </c>
      <c r="H50" s="590">
        <v>4.9406564584124654E-324</v>
      </c>
      <c r="I50" s="587">
        <v>9.8813129168249309E-324</v>
      </c>
      <c r="J50" s="588">
        <v>9.8813129168249309E-324</v>
      </c>
      <c r="K50" s="598" t="s">
        <v>299</v>
      </c>
    </row>
    <row r="51" spans="1:11" ht="14.4" customHeight="1" thickBot="1" x14ac:dyDescent="0.35">
      <c r="A51" s="609" t="s">
        <v>347</v>
      </c>
      <c r="B51" s="587">
        <v>1.757480486041</v>
      </c>
      <c r="C51" s="587">
        <v>0.75788999999999995</v>
      </c>
      <c r="D51" s="588">
        <v>-0.99959048604099998</v>
      </c>
      <c r="E51" s="589">
        <v>0.43123665157000002</v>
      </c>
      <c r="F51" s="587">
        <v>0</v>
      </c>
      <c r="G51" s="588">
        <v>0</v>
      </c>
      <c r="H51" s="590">
        <v>4.9406564584124654E-324</v>
      </c>
      <c r="I51" s="587">
        <v>9.8813129168249309E-324</v>
      </c>
      <c r="J51" s="588">
        <v>9.8813129168249309E-324</v>
      </c>
      <c r="K51" s="598" t="s">
        <v>299</v>
      </c>
    </row>
    <row r="52" spans="1:11" ht="14.4" customHeight="1" thickBot="1" x14ac:dyDescent="0.35">
      <c r="A52" s="609" t="s">
        <v>348</v>
      </c>
      <c r="B52" s="587">
        <v>52.729167167438</v>
      </c>
      <c r="C52" s="587">
        <v>40.686360000000001</v>
      </c>
      <c r="D52" s="588">
        <v>-12.042807167437999</v>
      </c>
      <c r="E52" s="589">
        <v>0.77161013885899998</v>
      </c>
      <c r="F52" s="587">
        <v>0</v>
      </c>
      <c r="G52" s="588">
        <v>0</v>
      </c>
      <c r="H52" s="590">
        <v>4.9406564584124654E-324</v>
      </c>
      <c r="I52" s="587">
        <v>9.8813129168249309E-324</v>
      </c>
      <c r="J52" s="588">
        <v>9.8813129168249309E-324</v>
      </c>
      <c r="K52" s="598" t="s">
        <v>299</v>
      </c>
    </row>
    <row r="53" spans="1:11" ht="14.4" customHeight="1" thickBot="1" x14ac:dyDescent="0.35">
      <c r="A53" s="609" t="s">
        <v>349</v>
      </c>
      <c r="B53" s="587">
        <v>4.9406564584124654E-324</v>
      </c>
      <c r="C53" s="587">
        <v>4.9406564584124654E-324</v>
      </c>
      <c r="D53" s="588">
        <v>0</v>
      </c>
      <c r="E53" s="589">
        <v>1</v>
      </c>
      <c r="F53" s="587">
        <v>2.0001923881139998</v>
      </c>
      <c r="G53" s="588">
        <v>0.333365398019</v>
      </c>
      <c r="H53" s="590">
        <v>2.4199999999999999E-2</v>
      </c>
      <c r="I53" s="587">
        <v>0.2984</v>
      </c>
      <c r="J53" s="588">
        <v>-3.4965398018999998E-2</v>
      </c>
      <c r="K53" s="591">
        <v>0.14918564922700001</v>
      </c>
    </row>
    <row r="54" spans="1:11" ht="14.4" customHeight="1" thickBot="1" x14ac:dyDescent="0.35">
      <c r="A54" s="609" t="s">
        <v>350</v>
      </c>
      <c r="B54" s="587">
        <v>4.9406564584124654E-324</v>
      </c>
      <c r="C54" s="587">
        <v>4.9406564584124654E-324</v>
      </c>
      <c r="D54" s="588">
        <v>0</v>
      </c>
      <c r="E54" s="589">
        <v>1</v>
      </c>
      <c r="F54" s="587">
        <v>38.994699496761001</v>
      </c>
      <c r="G54" s="588">
        <v>6.4991165827930004</v>
      </c>
      <c r="H54" s="590">
        <v>4.9406564584124654E-324</v>
      </c>
      <c r="I54" s="587">
        <v>4.85839</v>
      </c>
      <c r="J54" s="588">
        <v>-1.640726582793</v>
      </c>
      <c r="K54" s="591">
        <v>0.12459103577400001</v>
      </c>
    </row>
    <row r="55" spans="1:11" ht="14.4" customHeight="1" thickBot="1" x14ac:dyDescent="0.35">
      <c r="A55" s="608" t="s">
        <v>351</v>
      </c>
      <c r="B55" s="592">
        <v>4.9406564584124654E-324</v>
      </c>
      <c r="C55" s="592">
        <v>36.236499999999999</v>
      </c>
      <c r="D55" s="593">
        <v>36.236499999999999</v>
      </c>
      <c r="E55" s="594" t="s">
        <v>305</v>
      </c>
      <c r="F55" s="592">
        <v>0</v>
      </c>
      <c r="G55" s="593">
        <v>0</v>
      </c>
      <c r="H55" s="595">
        <v>4.9406564584124654E-324</v>
      </c>
      <c r="I55" s="592">
        <v>9.8813129168249309E-324</v>
      </c>
      <c r="J55" s="593">
        <v>9.8813129168249309E-324</v>
      </c>
      <c r="K55" s="596" t="s">
        <v>299</v>
      </c>
    </row>
    <row r="56" spans="1:11" ht="14.4" customHeight="1" thickBot="1" x14ac:dyDescent="0.35">
      <c r="A56" s="609" t="s">
        <v>352</v>
      </c>
      <c r="B56" s="587">
        <v>4.9406564584124654E-324</v>
      </c>
      <c r="C56" s="587">
        <v>36.236499999999999</v>
      </c>
      <c r="D56" s="588">
        <v>36.236499999999999</v>
      </c>
      <c r="E56" s="597" t="s">
        <v>305</v>
      </c>
      <c r="F56" s="587">
        <v>0</v>
      </c>
      <c r="G56" s="588">
        <v>0</v>
      </c>
      <c r="H56" s="590">
        <v>4.9406564584124654E-324</v>
      </c>
      <c r="I56" s="587">
        <v>9.8813129168249309E-324</v>
      </c>
      <c r="J56" s="588">
        <v>9.8813129168249309E-324</v>
      </c>
      <c r="K56" s="598" t="s">
        <v>299</v>
      </c>
    </row>
    <row r="57" spans="1:11" ht="14.4" customHeight="1" thickBot="1" x14ac:dyDescent="0.35">
      <c r="A57" s="607" t="s">
        <v>45</v>
      </c>
      <c r="B57" s="587">
        <v>2350.90778969948</v>
      </c>
      <c r="C57" s="587">
        <v>2286.8380000000002</v>
      </c>
      <c r="D57" s="588">
        <v>-64.069789699479003</v>
      </c>
      <c r="E57" s="589">
        <v>0.97274678743999998</v>
      </c>
      <c r="F57" s="587">
        <v>2305.02620726859</v>
      </c>
      <c r="G57" s="588">
        <v>384.17103454476501</v>
      </c>
      <c r="H57" s="590">
        <v>220.09800000000001</v>
      </c>
      <c r="I57" s="587">
        <v>482.92600000000101</v>
      </c>
      <c r="J57" s="588">
        <v>98.754965455236004</v>
      </c>
      <c r="K57" s="591">
        <v>0.20950998234900001</v>
      </c>
    </row>
    <row r="58" spans="1:11" ht="14.4" customHeight="1" thickBot="1" x14ac:dyDescent="0.35">
      <c r="A58" s="608" t="s">
        <v>353</v>
      </c>
      <c r="B58" s="592">
        <v>2350.90778969948</v>
      </c>
      <c r="C58" s="592">
        <v>2286.8380000000002</v>
      </c>
      <c r="D58" s="593">
        <v>-64.069789699479003</v>
      </c>
      <c r="E58" s="599">
        <v>0.97274678743999998</v>
      </c>
      <c r="F58" s="592">
        <v>2305.02620726859</v>
      </c>
      <c r="G58" s="593">
        <v>384.17103454476501</v>
      </c>
      <c r="H58" s="595">
        <v>220.09800000000001</v>
      </c>
      <c r="I58" s="592">
        <v>482.92600000000101</v>
      </c>
      <c r="J58" s="593">
        <v>98.754965455236004</v>
      </c>
      <c r="K58" s="600">
        <v>0.20950998234900001</v>
      </c>
    </row>
    <row r="59" spans="1:11" ht="14.4" customHeight="1" thickBot="1" x14ac:dyDescent="0.35">
      <c r="A59" s="609" t="s">
        <v>354</v>
      </c>
      <c r="B59" s="587">
        <v>724.79209604198797</v>
      </c>
      <c r="C59" s="587">
        <v>732.822</v>
      </c>
      <c r="D59" s="588">
        <v>8.0299039580109994</v>
      </c>
      <c r="E59" s="589">
        <v>1.011078906629</v>
      </c>
      <c r="F59" s="587">
        <v>727.34504333401401</v>
      </c>
      <c r="G59" s="588">
        <v>121.224173889002</v>
      </c>
      <c r="H59" s="590">
        <v>47.27</v>
      </c>
      <c r="I59" s="587">
        <v>99.984999999999999</v>
      </c>
      <c r="J59" s="588">
        <v>-21.239173889002</v>
      </c>
      <c r="K59" s="591">
        <v>0.137465706154</v>
      </c>
    </row>
    <row r="60" spans="1:11" ht="14.4" customHeight="1" thickBot="1" x14ac:dyDescent="0.35">
      <c r="A60" s="609" t="s">
        <v>355</v>
      </c>
      <c r="B60" s="587">
        <v>260.01117478569603</v>
      </c>
      <c r="C60" s="587">
        <v>254.55600000000001</v>
      </c>
      <c r="D60" s="588">
        <v>-5.4551747856960002</v>
      </c>
      <c r="E60" s="589">
        <v>0.97901946025800002</v>
      </c>
      <c r="F60" s="587">
        <v>260.05275848643498</v>
      </c>
      <c r="G60" s="588">
        <v>43.342126414405001</v>
      </c>
      <c r="H60" s="590">
        <v>19.13</v>
      </c>
      <c r="I60" s="587">
        <v>44.652000000000001</v>
      </c>
      <c r="J60" s="588">
        <v>1.309873585594</v>
      </c>
      <c r="K60" s="591">
        <v>0.171703619911</v>
      </c>
    </row>
    <row r="61" spans="1:11" ht="14.4" customHeight="1" thickBot="1" x14ac:dyDescent="0.35">
      <c r="A61" s="609" t="s">
        <v>356</v>
      </c>
      <c r="B61" s="587">
        <v>1366.1045188718001</v>
      </c>
      <c r="C61" s="587">
        <v>1299.46</v>
      </c>
      <c r="D61" s="588">
        <v>-66.644518871795</v>
      </c>
      <c r="E61" s="589">
        <v>0.95121565154700005</v>
      </c>
      <c r="F61" s="587">
        <v>1317.62840544814</v>
      </c>
      <c r="G61" s="588">
        <v>219.60473424135699</v>
      </c>
      <c r="H61" s="590">
        <v>153.69800000000001</v>
      </c>
      <c r="I61" s="587">
        <v>338.28900000000101</v>
      </c>
      <c r="J61" s="588">
        <v>118.684265758644</v>
      </c>
      <c r="K61" s="591">
        <v>0.25674082207100002</v>
      </c>
    </row>
    <row r="62" spans="1:11" ht="14.4" customHeight="1" thickBot="1" x14ac:dyDescent="0.35">
      <c r="A62" s="610" t="s">
        <v>357</v>
      </c>
      <c r="B62" s="592">
        <v>4416.7030393407404</v>
      </c>
      <c r="C62" s="592">
        <v>4640.5323600000002</v>
      </c>
      <c r="D62" s="593">
        <v>223.82932065925701</v>
      </c>
      <c r="E62" s="599">
        <v>1.0506779194039999</v>
      </c>
      <c r="F62" s="592">
        <v>4961.7526389131099</v>
      </c>
      <c r="G62" s="593">
        <v>826.95877315218604</v>
      </c>
      <c r="H62" s="595">
        <v>532.07392000000004</v>
      </c>
      <c r="I62" s="592">
        <v>704.79745000000105</v>
      </c>
      <c r="J62" s="593">
        <v>-122.16132315218501</v>
      </c>
      <c r="K62" s="600">
        <v>0.14204606744600001</v>
      </c>
    </row>
    <row r="63" spans="1:11" ht="14.4" customHeight="1" thickBot="1" x14ac:dyDescent="0.35">
      <c r="A63" s="607" t="s">
        <v>48</v>
      </c>
      <c r="B63" s="587">
        <v>548.46797150890802</v>
      </c>
      <c r="C63" s="587">
        <v>1103.74569</v>
      </c>
      <c r="D63" s="588">
        <v>555.27771849109195</v>
      </c>
      <c r="E63" s="589">
        <v>2.0124159428369999</v>
      </c>
      <c r="F63" s="587">
        <v>991.74947901422695</v>
      </c>
      <c r="G63" s="588">
        <v>165.291579835704</v>
      </c>
      <c r="H63" s="590">
        <v>160.23263</v>
      </c>
      <c r="I63" s="587">
        <v>160.70331999999999</v>
      </c>
      <c r="J63" s="588">
        <v>-4.5882598357040001</v>
      </c>
      <c r="K63" s="591">
        <v>0.16204023637000001</v>
      </c>
    </row>
    <row r="64" spans="1:11" ht="14.4" customHeight="1" thickBot="1" x14ac:dyDescent="0.35">
      <c r="A64" s="611" t="s">
        <v>358</v>
      </c>
      <c r="B64" s="587">
        <v>548.46797150890802</v>
      </c>
      <c r="C64" s="587">
        <v>1103.74569</v>
      </c>
      <c r="D64" s="588">
        <v>555.27771849109195</v>
      </c>
      <c r="E64" s="589">
        <v>2.0124159428369999</v>
      </c>
      <c r="F64" s="587">
        <v>991.74947901422695</v>
      </c>
      <c r="G64" s="588">
        <v>165.291579835704</v>
      </c>
      <c r="H64" s="590">
        <v>160.23263</v>
      </c>
      <c r="I64" s="587">
        <v>160.70331999999999</v>
      </c>
      <c r="J64" s="588">
        <v>-4.5882598357040001</v>
      </c>
      <c r="K64" s="591">
        <v>0.16204023637000001</v>
      </c>
    </row>
    <row r="65" spans="1:11" ht="14.4" customHeight="1" thickBot="1" x14ac:dyDescent="0.35">
      <c r="A65" s="609" t="s">
        <v>359</v>
      </c>
      <c r="B65" s="587">
        <v>357.85700874436702</v>
      </c>
      <c r="C65" s="587">
        <v>569.74177999999995</v>
      </c>
      <c r="D65" s="588">
        <v>211.88477125563199</v>
      </c>
      <c r="E65" s="589">
        <v>1.5920933950659999</v>
      </c>
      <c r="F65" s="587">
        <v>525.38160624994498</v>
      </c>
      <c r="G65" s="588">
        <v>87.563601041656995</v>
      </c>
      <c r="H65" s="590">
        <v>144.77689000000001</v>
      </c>
      <c r="I65" s="587">
        <v>144.77689000000001</v>
      </c>
      <c r="J65" s="588">
        <v>57.213288958341998</v>
      </c>
      <c r="K65" s="591">
        <v>0.27556520494300002</v>
      </c>
    </row>
    <row r="66" spans="1:11" ht="14.4" customHeight="1" thickBot="1" x14ac:dyDescent="0.35">
      <c r="A66" s="609" t="s">
        <v>360</v>
      </c>
      <c r="B66" s="587">
        <v>33.623114171182998</v>
      </c>
      <c r="C66" s="587">
        <v>195.83235999999999</v>
      </c>
      <c r="D66" s="588">
        <v>162.20924582881599</v>
      </c>
      <c r="E66" s="589">
        <v>5.8243373592029997</v>
      </c>
      <c r="F66" s="587">
        <v>254.63981107705601</v>
      </c>
      <c r="G66" s="588">
        <v>42.439968512842</v>
      </c>
      <c r="H66" s="590">
        <v>6.4514500000000004</v>
      </c>
      <c r="I66" s="587">
        <v>6.4514500000000004</v>
      </c>
      <c r="J66" s="588">
        <v>-35.988518512841999</v>
      </c>
      <c r="K66" s="591">
        <v>2.5335590583999999E-2</v>
      </c>
    </row>
    <row r="67" spans="1:11" ht="14.4" customHeight="1" thickBot="1" x14ac:dyDescent="0.35">
      <c r="A67" s="609" t="s">
        <v>361</v>
      </c>
      <c r="B67" s="587">
        <v>82.993306802717001</v>
      </c>
      <c r="C67" s="587">
        <v>296.00889999999998</v>
      </c>
      <c r="D67" s="588">
        <v>213.01559319728199</v>
      </c>
      <c r="E67" s="589">
        <v>3.5666599079319998</v>
      </c>
      <c r="F67" s="587">
        <v>167.999716365024</v>
      </c>
      <c r="G67" s="588">
        <v>27.999952727503999</v>
      </c>
      <c r="H67" s="590">
        <v>0.76532999999999995</v>
      </c>
      <c r="I67" s="587">
        <v>1.2360199999999999</v>
      </c>
      <c r="J67" s="588">
        <v>-26.763932727503999</v>
      </c>
      <c r="K67" s="591">
        <v>7.357274326E-3</v>
      </c>
    </row>
    <row r="68" spans="1:11" ht="14.4" customHeight="1" thickBot="1" x14ac:dyDescent="0.35">
      <c r="A68" s="609" t="s">
        <v>362</v>
      </c>
      <c r="B68" s="587">
        <v>73.994541790637996</v>
      </c>
      <c r="C68" s="587">
        <v>42.162649999999999</v>
      </c>
      <c r="D68" s="588">
        <v>-31.831891790638</v>
      </c>
      <c r="E68" s="589">
        <v>0.56980756930999998</v>
      </c>
      <c r="F68" s="587">
        <v>43.728345322201001</v>
      </c>
      <c r="G68" s="588">
        <v>7.2880575536999999</v>
      </c>
      <c r="H68" s="590">
        <v>8.2389600000000005</v>
      </c>
      <c r="I68" s="587">
        <v>8.2389600000000005</v>
      </c>
      <c r="J68" s="588">
        <v>0.950902446299</v>
      </c>
      <c r="K68" s="591">
        <v>0.188412343053</v>
      </c>
    </row>
    <row r="69" spans="1:11" ht="14.4" customHeight="1" thickBot="1" x14ac:dyDescent="0.35">
      <c r="A69" s="612" t="s">
        <v>49</v>
      </c>
      <c r="B69" s="592">
        <v>0</v>
      </c>
      <c r="C69" s="592">
        <v>8.8030000000000008</v>
      </c>
      <c r="D69" s="593">
        <v>8.8030000000000008</v>
      </c>
      <c r="E69" s="594" t="s">
        <v>299</v>
      </c>
      <c r="F69" s="592">
        <v>0</v>
      </c>
      <c r="G69" s="593">
        <v>0</v>
      </c>
      <c r="H69" s="595">
        <v>4.9406564584124654E-324</v>
      </c>
      <c r="I69" s="592">
        <v>9.8813129168249309E-324</v>
      </c>
      <c r="J69" s="593">
        <v>9.8813129168249309E-324</v>
      </c>
      <c r="K69" s="596" t="s">
        <v>299</v>
      </c>
    </row>
    <row r="70" spans="1:11" ht="14.4" customHeight="1" thickBot="1" x14ac:dyDescent="0.35">
      <c r="A70" s="608" t="s">
        <v>363</v>
      </c>
      <c r="B70" s="592">
        <v>0</v>
      </c>
      <c r="C70" s="592">
        <v>8.1519999999999992</v>
      </c>
      <c r="D70" s="593">
        <v>8.1519999999999992</v>
      </c>
      <c r="E70" s="594" t="s">
        <v>299</v>
      </c>
      <c r="F70" s="592">
        <v>0</v>
      </c>
      <c r="G70" s="593">
        <v>0</v>
      </c>
      <c r="H70" s="595">
        <v>4.9406564584124654E-324</v>
      </c>
      <c r="I70" s="592">
        <v>9.8813129168249309E-324</v>
      </c>
      <c r="J70" s="593">
        <v>9.8813129168249309E-324</v>
      </c>
      <c r="K70" s="596" t="s">
        <v>299</v>
      </c>
    </row>
    <row r="71" spans="1:11" ht="14.4" customHeight="1" thickBot="1" x14ac:dyDescent="0.35">
      <c r="A71" s="609" t="s">
        <v>364</v>
      </c>
      <c r="B71" s="587">
        <v>0</v>
      </c>
      <c r="C71" s="587">
        <v>8.1519999999999992</v>
      </c>
      <c r="D71" s="588">
        <v>8.1519999999999992</v>
      </c>
      <c r="E71" s="597" t="s">
        <v>299</v>
      </c>
      <c r="F71" s="587">
        <v>0</v>
      </c>
      <c r="G71" s="588">
        <v>0</v>
      </c>
      <c r="H71" s="590">
        <v>4.9406564584124654E-324</v>
      </c>
      <c r="I71" s="587">
        <v>9.8813129168249309E-324</v>
      </c>
      <c r="J71" s="588">
        <v>9.8813129168249309E-324</v>
      </c>
      <c r="K71" s="598" t="s">
        <v>299</v>
      </c>
    </row>
    <row r="72" spans="1:11" ht="14.4" customHeight="1" thickBot="1" x14ac:dyDescent="0.35">
      <c r="A72" s="608" t="s">
        <v>365</v>
      </c>
      <c r="B72" s="592">
        <v>0</v>
      </c>
      <c r="C72" s="592">
        <v>0.65100000000000002</v>
      </c>
      <c r="D72" s="593">
        <v>0.65100000000000002</v>
      </c>
      <c r="E72" s="594" t="s">
        <v>299</v>
      </c>
      <c r="F72" s="592">
        <v>0</v>
      </c>
      <c r="G72" s="593">
        <v>0</v>
      </c>
      <c r="H72" s="595">
        <v>4.9406564584124654E-324</v>
      </c>
      <c r="I72" s="592">
        <v>9.8813129168249309E-324</v>
      </c>
      <c r="J72" s="593">
        <v>9.8813129168249309E-324</v>
      </c>
      <c r="K72" s="596" t="s">
        <v>299</v>
      </c>
    </row>
    <row r="73" spans="1:11" ht="14.4" customHeight="1" thickBot="1" x14ac:dyDescent="0.35">
      <c r="A73" s="609" t="s">
        <v>366</v>
      </c>
      <c r="B73" s="587">
        <v>0</v>
      </c>
      <c r="C73" s="587">
        <v>0.65100000000000002</v>
      </c>
      <c r="D73" s="588">
        <v>0.65100000000000002</v>
      </c>
      <c r="E73" s="597" t="s">
        <v>299</v>
      </c>
      <c r="F73" s="587">
        <v>0</v>
      </c>
      <c r="G73" s="588">
        <v>0</v>
      </c>
      <c r="H73" s="590">
        <v>4.9406564584124654E-324</v>
      </c>
      <c r="I73" s="587">
        <v>9.8813129168249309E-324</v>
      </c>
      <c r="J73" s="588">
        <v>9.8813129168249309E-324</v>
      </c>
      <c r="K73" s="598" t="s">
        <v>299</v>
      </c>
    </row>
    <row r="74" spans="1:11" ht="14.4" customHeight="1" thickBot="1" x14ac:dyDescent="0.35">
      <c r="A74" s="607" t="s">
        <v>50</v>
      </c>
      <c r="B74" s="587">
        <v>3868.2350678318398</v>
      </c>
      <c r="C74" s="587">
        <v>3527.9836700000001</v>
      </c>
      <c r="D74" s="588">
        <v>-340.25139783183499</v>
      </c>
      <c r="E74" s="589">
        <v>0.91203962741</v>
      </c>
      <c r="F74" s="587">
        <v>3970.0031598988899</v>
      </c>
      <c r="G74" s="588">
        <v>661.66719331648096</v>
      </c>
      <c r="H74" s="590">
        <v>371.84129000000001</v>
      </c>
      <c r="I74" s="587">
        <v>544.09413000000097</v>
      </c>
      <c r="J74" s="588">
        <v>-117.57306331648</v>
      </c>
      <c r="K74" s="591">
        <v>0.13705130904999999</v>
      </c>
    </row>
    <row r="75" spans="1:11" ht="14.4" customHeight="1" thickBot="1" x14ac:dyDescent="0.35">
      <c r="A75" s="608" t="s">
        <v>367</v>
      </c>
      <c r="B75" s="592">
        <v>5.346015712891</v>
      </c>
      <c r="C75" s="592">
        <v>0.10299999999999999</v>
      </c>
      <c r="D75" s="593">
        <v>-5.2430157128910002</v>
      </c>
      <c r="E75" s="599">
        <v>1.9266684860000001E-2</v>
      </c>
      <c r="F75" s="592">
        <v>4.1168974895000002E-2</v>
      </c>
      <c r="G75" s="593">
        <v>6.8614958150000002E-3</v>
      </c>
      <c r="H75" s="595">
        <v>4.9406564584124654E-324</v>
      </c>
      <c r="I75" s="592">
        <v>9.8813129168249309E-324</v>
      </c>
      <c r="J75" s="593">
        <v>-6.8614958150000002E-3</v>
      </c>
      <c r="K75" s="600">
        <v>2.4209216646221081E-322</v>
      </c>
    </row>
    <row r="76" spans="1:11" ht="14.4" customHeight="1" thickBot="1" x14ac:dyDescent="0.35">
      <c r="A76" s="609" t="s">
        <v>368</v>
      </c>
      <c r="B76" s="587">
        <v>5.346015712891</v>
      </c>
      <c r="C76" s="587">
        <v>0.10299999999999999</v>
      </c>
      <c r="D76" s="588">
        <v>-5.2430157128910002</v>
      </c>
      <c r="E76" s="589">
        <v>1.9266684860000001E-2</v>
      </c>
      <c r="F76" s="587">
        <v>4.1168974895000002E-2</v>
      </c>
      <c r="G76" s="588">
        <v>6.8614958150000002E-3</v>
      </c>
      <c r="H76" s="590">
        <v>4.9406564584124654E-324</v>
      </c>
      <c r="I76" s="587">
        <v>9.8813129168249309E-324</v>
      </c>
      <c r="J76" s="588">
        <v>-6.8614958150000002E-3</v>
      </c>
      <c r="K76" s="591">
        <v>2.4209216646221081E-322</v>
      </c>
    </row>
    <row r="77" spans="1:11" ht="14.4" customHeight="1" thickBot="1" x14ac:dyDescent="0.35">
      <c r="A77" s="608" t="s">
        <v>369</v>
      </c>
      <c r="B77" s="592">
        <v>79.907587829918</v>
      </c>
      <c r="C77" s="592">
        <v>93.844650000000001</v>
      </c>
      <c r="D77" s="593">
        <v>13.937062170081999</v>
      </c>
      <c r="E77" s="599">
        <v>1.174414752698</v>
      </c>
      <c r="F77" s="592">
        <v>90.033892667165006</v>
      </c>
      <c r="G77" s="593">
        <v>15.005648777859999</v>
      </c>
      <c r="H77" s="595">
        <v>7.2613000000000003</v>
      </c>
      <c r="I77" s="592">
        <v>14.00188</v>
      </c>
      <c r="J77" s="593">
        <v>-1.00376877786</v>
      </c>
      <c r="K77" s="600">
        <v>0.155517878714</v>
      </c>
    </row>
    <row r="78" spans="1:11" ht="14.4" customHeight="1" thickBot="1" x14ac:dyDescent="0.35">
      <c r="A78" s="609" t="s">
        <v>370</v>
      </c>
      <c r="B78" s="587">
        <v>52.644521873503997</v>
      </c>
      <c r="C78" s="587">
        <v>56.248899999999999</v>
      </c>
      <c r="D78" s="588">
        <v>3.6043781264949999</v>
      </c>
      <c r="E78" s="589">
        <v>1.06846634746</v>
      </c>
      <c r="F78" s="587">
        <v>57.541850025580999</v>
      </c>
      <c r="G78" s="588">
        <v>9.5903083375959994</v>
      </c>
      <c r="H78" s="590">
        <v>4.9714</v>
      </c>
      <c r="I78" s="587">
        <v>9.1152999999999995</v>
      </c>
      <c r="J78" s="588">
        <v>-0.47500833759599997</v>
      </c>
      <c r="K78" s="591">
        <v>0.15841166031199999</v>
      </c>
    </row>
    <row r="79" spans="1:11" ht="14.4" customHeight="1" thickBot="1" x14ac:dyDescent="0.35">
      <c r="A79" s="609" t="s">
        <v>371</v>
      </c>
      <c r="B79" s="587">
        <v>4.9406564584124654E-324</v>
      </c>
      <c r="C79" s="587">
        <v>3</v>
      </c>
      <c r="D79" s="588">
        <v>3</v>
      </c>
      <c r="E79" s="597" t="s">
        <v>305</v>
      </c>
      <c r="F79" s="587">
        <v>0</v>
      </c>
      <c r="G79" s="588">
        <v>0</v>
      </c>
      <c r="H79" s="590">
        <v>4.9406564584124654E-324</v>
      </c>
      <c r="I79" s="587">
        <v>1</v>
      </c>
      <c r="J79" s="588">
        <v>1</v>
      </c>
      <c r="K79" s="598" t="s">
        <v>299</v>
      </c>
    </row>
    <row r="80" spans="1:11" ht="14.4" customHeight="1" thickBot="1" x14ac:dyDescent="0.35">
      <c r="A80" s="609" t="s">
        <v>372</v>
      </c>
      <c r="B80" s="587">
        <v>27.263065956413001</v>
      </c>
      <c r="C80" s="587">
        <v>34.595750000000002</v>
      </c>
      <c r="D80" s="588">
        <v>7.3326840435860001</v>
      </c>
      <c r="E80" s="589">
        <v>1.2689603603390001</v>
      </c>
      <c r="F80" s="587">
        <v>32.492042641582998</v>
      </c>
      <c r="G80" s="588">
        <v>5.4153404402629999</v>
      </c>
      <c r="H80" s="590">
        <v>2.2898999999999998</v>
      </c>
      <c r="I80" s="587">
        <v>3.8865799999999999</v>
      </c>
      <c r="J80" s="588">
        <v>-1.528760440263</v>
      </c>
      <c r="K80" s="591">
        <v>0.11961636400800001</v>
      </c>
    </row>
    <row r="81" spans="1:11" ht="14.4" customHeight="1" thickBot="1" x14ac:dyDescent="0.35">
      <c r="A81" s="608" t="s">
        <v>373</v>
      </c>
      <c r="B81" s="592">
        <v>31.820237595527999</v>
      </c>
      <c r="C81" s="592">
        <v>28.705120000000001</v>
      </c>
      <c r="D81" s="593">
        <v>-3.1151175955279999</v>
      </c>
      <c r="E81" s="599">
        <v>0.902102629303</v>
      </c>
      <c r="F81" s="592">
        <v>28.102451800571998</v>
      </c>
      <c r="G81" s="593">
        <v>4.6837419667619997</v>
      </c>
      <c r="H81" s="595">
        <v>0.27104</v>
      </c>
      <c r="I81" s="592">
        <v>6.6461199999999998</v>
      </c>
      <c r="J81" s="593">
        <v>1.9623780332380001</v>
      </c>
      <c r="K81" s="600">
        <v>0.23649609105800001</v>
      </c>
    </row>
    <row r="82" spans="1:11" ht="14.4" customHeight="1" thickBot="1" x14ac:dyDescent="0.35">
      <c r="A82" s="609" t="s">
        <v>374</v>
      </c>
      <c r="B82" s="587">
        <v>24.993511286924999</v>
      </c>
      <c r="C82" s="587">
        <v>24.3</v>
      </c>
      <c r="D82" s="588">
        <v>-0.69351128692499997</v>
      </c>
      <c r="E82" s="589">
        <v>0.97225234666000004</v>
      </c>
      <c r="F82" s="587">
        <v>24.070002569530999</v>
      </c>
      <c r="G82" s="588">
        <v>4.011667094921</v>
      </c>
      <c r="H82" s="590">
        <v>4.9406564584124654E-324</v>
      </c>
      <c r="I82" s="587">
        <v>6.0750000000000002</v>
      </c>
      <c r="J82" s="588">
        <v>2.063332905078</v>
      </c>
      <c r="K82" s="591">
        <v>0.25238883886399999</v>
      </c>
    </row>
    <row r="83" spans="1:11" ht="14.4" customHeight="1" thickBot="1" x14ac:dyDescent="0.35">
      <c r="A83" s="609" t="s">
        <v>375</v>
      </c>
      <c r="B83" s="587">
        <v>6.8267263086019998</v>
      </c>
      <c r="C83" s="587">
        <v>4.4051200000000001</v>
      </c>
      <c r="D83" s="588">
        <v>-2.4216063086020001</v>
      </c>
      <c r="E83" s="589">
        <v>0.64527561247700005</v>
      </c>
      <c r="F83" s="587">
        <v>4.0324492310400002</v>
      </c>
      <c r="G83" s="588">
        <v>0.67207487184000003</v>
      </c>
      <c r="H83" s="590">
        <v>0.27104</v>
      </c>
      <c r="I83" s="587">
        <v>0.57111999999999996</v>
      </c>
      <c r="J83" s="588">
        <v>-0.10095487184</v>
      </c>
      <c r="K83" s="591">
        <v>0.14163104537099999</v>
      </c>
    </row>
    <row r="84" spans="1:11" ht="14.4" customHeight="1" thickBot="1" x14ac:dyDescent="0.35">
      <c r="A84" s="608" t="s">
        <v>376</v>
      </c>
      <c r="B84" s="592">
        <v>542.66010324860895</v>
      </c>
      <c r="C84" s="592">
        <v>536.33799999999997</v>
      </c>
      <c r="D84" s="593">
        <v>-6.3221032486080002</v>
      </c>
      <c r="E84" s="599">
        <v>0.98834979168199999</v>
      </c>
      <c r="F84" s="592">
        <v>540.92972686494295</v>
      </c>
      <c r="G84" s="593">
        <v>90.154954477489994</v>
      </c>
      <c r="H84" s="595">
        <v>6.4487899999999998</v>
      </c>
      <c r="I84" s="592">
        <v>51.215969999999999</v>
      </c>
      <c r="J84" s="593">
        <v>-38.938984477490003</v>
      </c>
      <c r="K84" s="600">
        <v>9.4681374412000002E-2</v>
      </c>
    </row>
    <row r="85" spans="1:11" ht="14.4" customHeight="1" thickBot="1" x14ac:dyDescent="0.35">
      <c r="A85" s="609" t="s">
        <v>377</v>
      </c>
      <c r="B85" s="587">
        <v>460.00046709310499</v>
      </c>
      <c r="C85" s="587">
        <v>455.62329999999997</v>
      </c>
      <c r="D85" s="588">
        <v>-4.3771670931050002</v>
      </c>
      <c r="E85" s="589">
        <v>0.990484429025</v>
      </c>
      <c r="F85" s="587">
        <v>460.33190500639802</v>
      </c>
      <c r="G85" s="588">
        <v>76.721984167732998</v>
      </c>
      <c r="H85" s="590">
        <v>4.9406564584124654E-324</v>
      </c>
      <c r="I85" s="587">
        <v>37.325360000000003</v>
      </c>
      <c r="J85" s="588">
        <v>-39.396624167732</v>
      </c>
      <c r="K85" s="591">
        <v>8.1083582505999993E-2</v>
      </c>
    </row>
    <row r="86" spans="1:11" ht="14.4" customHeight="1" thickBot="1" x14ac:dyDescent="0.35">
      <c r="A86" s="609" t="s">
        <v>378</v>
      </c>
      <c r="B86" s="587">
        <v>82.659636155502994</v>
      </c>
      <c r="C86" s="587">
        <v>80.714699999999993</v>
      </c>
      <c r="D86" s="588">
        <v>-1.944936155503</v>
      </c>
      <c r="E86" s="589">
        <v>0.97647054540800005</v>
      </c>
      <c r="F86" s="587">
        <v>80.597821858543995</v>
      </c>
      <c r="G86" s="588">
        <v>13.432970309757</v>
      </c>
      <c r="H86" s="590">
        <v>6.4487899999999998</v>
      </c>
      <c r="I86" s="587">
        <v>13.890610000000001</v>
      </c>
      <c r="J86" s="588">
        <v>0.45763969024200002</v>
      </c>
      <c r="K86" s="591">
        <v>0.17234473189999999</v>
      </c>
    </row>
    <row r="87" spans="1:11" ht="14.4" customHeight="1" thickBot="1" x14ac:dyDescent="0.35">
      <c r="A87" s="608" t="s">
        <v>379</v>
      </c>
      <c r="B87" s="592">
        <v>3208.5011234448898</v>
      </c>
      <c r="C87" s="592">
        <v>2868.9929000000002</v>
      </c>
      <c r="D87" s="593">
        <v>-339.50822344488898</v>
      </c>
      <c r="E87" s="599">
        <v>0.89418478897599996</v>
      </c>
      <c r="F87" s="592">
        <v>3310.8959195913098</v>
      </c>
      <c r="G87" s="593">
        <v>551.81598659855194</v>
      </c>
      <c r="H87" s="595">
        <v>357.86016000000001</v>
      </c>
      <c r="I87" s="592">
        <v>472.23016000000098</v>
      </c>
      <c r="J87" s="593">
        <v>-79.585826598550995</v>
      </c>
      <c r="K87" s="600">
        <v>0.14262911654900001</v>
      </c>
    </row>
    <row r="88" spans="1:11" ht="14.4" customHeight="1" thickBot="1" x14ac:dyDescent="0.35">
      <c r="A88" s="609" t="s">
        <v>380</v>
      </c>
      <c r="B88" s="587">
        <v>31.040510161217998</v>
      </c>
      <c r="C88" s="587">
        <v>0.79</v>
      </c>
      <c r="D88" s="588">
        <v>-30.250510161217999</v>
      </c>
      <c r="E88" s="589">
        <v>2.5450612631E-2</v>
      </c>
      <c r="F88" s="587">
        <v>4.9406564584124654E-324</v>
      </c>
      <c r="G88" s="588">
        <v>0</v>
      </c>
      <c r="H88" s="590">
        <v>4.9406564584124654E-324</v>
      </c>
      <c r="I88" s="587">
        <v>9.8813129168249309E-324</v>
      </c>
      <c r="J88" s="588">
        <v>9.8813129168249309E-324</v>
      </c>
      <c r="K88" s="591">
        <v>2</v>
      </c>
    </row>
    <row r="89" spans="1:11" ht="14.4" customHeight="1" thickBot="1" x14ac:dyDescent="0.35">
      <c r="A89" s="609" t="s">
        <v>381</v>
      </c>
      <c r="B89" s="587">
        <v>215.77994544527101</v>
      </c>
      <c r="C89" s="587">
        <v>200.24388999999999</v>
      </c>
      <c r="D89" s="588">
        <v>-15.536055445271</v>
      </c>
      <c r="E89" s="589">
        <v>0.92800046633900002</v>
      </c>
      <c r="F89" s="587">
        <v>197.97383635452999</v>
      </c>
      <c r="G89" s="588">
        <v>32.995639392420998</v>
      </c>
      <c r="H89" s="590">
        <v>1.3070999999999999</v>
      </c>
      <c r="I89" s="587">
        <v>55.177100000000003</v>
      </c>
      <c r="J89" s="588">
        <v>22.181460607578</v>
      </c>
      <c r="K89" s="591">
        <v>0.278709050731</v>
      </c>
    </row>
    <row r="90" spans="1:11" ht="14.4" customHeight="1" thickBot="1" x14ac:dyDescent="0.35">
      <c r="A90" s="609" t="s">
        <v>382</v>
      </c>
      <c r="B90" s="587">
        <v>3.9979378279689999</v>
      </c>
      <c r="C90" s="587">
        <v>8.7874599999999994</v>
      </c>
      <c r="D90" s="588">
        <v>4.7895221720299999</v>
      </c>
      <c r="E90" s="589">
        <v>2.1979981625830001</v>
      </c>
      <c r="F90" s="587">
        <v>4.0014576669619997</v>
      </c>
      <c r="G90" s="588">
        <v>0.66690961116000003</v>
      </c>
      <c r="H90" s="590">
        <v>4.9406564584124654E-324</v>
      </c>
      <c r="I90" s="587">
        <v>9.8813129168249309E-324</v>
      </c>
      <c r="J90" s="588">
        <v>-0.66690961116000003</v>
      </c>
      <c r="K90" s="591">
        <v>0</v>
      </c>
    </row>
    <row r="91" spans="1:11" ht="14.4" customHeight="1" thickBot="1" x14ac:dyDescent="0.35">
      <c r="A91" s="609" t="s">
        <v>383</v>
      </c>
      <c r="B91" s="587">
        <v>139.62381114873301</v>
      </c>
      <c r="C91" s="587">
        <v>117.23560000000001</v>
      </c>
      <c r="D91" s="588">
        <v>-22.388211148732999</v>
      </c>
      <c r="E91" s="589">
        <v>0.83965334447899997</v>
      </c>
      <c r="F91" s="587">
        <v>110.76076366997199</v>
      </c>
      <c r="G91" s="588">
        <v>18.460127278327999</v>
      </c>
      <c r="H91" s="590">
        <v>28.362400000000001</v>
      </c>
      <c r="I91" s="587">
        <v>28.362400000000001</v>
      </c>
      <c r="J91" s="588">
        <v>9.9022727216710003</v>
      </c>
      <c r="K91" s="591">
        <v>0.256069018127</v>
      </c>
    </row>
    <row r="92" spans="1:11" ht="14.4" customHeight="1" thickBot="1" x14ac:dyDescent="0.35">
      <c r="A92" s="609" t="s">
        <v>384</v>
      </c>
      <c r="B92" s="587">
        <v>2818.0589188617</v>
      </c>
      <c r="C92" s="587">
        <v>2541.93595</v>
      </c>
      <c r="D92" s="588">
        <v>-276.12296886169599</v>
      </c>
      <c r="E92" s="589">
        <v>0.902016609016</v>
      </c>
      <c r="F92" s="587">
        <v>2998.1598618998501</v>
      </c>
      <c r="G92" s="588">
        <v>499.69331031664098</v>
      </c>
      <c r="H92" s="590">
        <v>328.19065999999998</v>
      </c>
      <c r="I92" s="587">
        <v>388.69065999999998</v>
      </c>
      <c r="J92" s="588">
        <v>-111.002650316641</v>
      </c>
      <c r="K92" s="591">
        <v>0.129643073719</v>
      </c>
    </row>
    <row r="93" spans="1:11" ht="14.4" customHeight="1" thickBot="1" x14ac:dyDescent="0.35">
      <c r="A93" s="606" t="s">
        <v>51</v>
      </c>
      <c r="B93" s="587">
        <v>21405.996255933402</v>
      </c>
      <c r="C93" s="587">
        <v>23432.943650000001</v>
      </c>
      <c r="D93" s="588">
        <v>2026.9473940666001</v>
      </c>
      <c r="E93" s="589">
        <v>1.0946906357370001</v>
      </c>
      <c r="F93" s="587">
        <v>23016.113871327201</v>
      </c>
      <c r="G93" s="588">
        <v>3836.0189785545299</v>
      </c>
      <c r="H93" s="590">
        <v>1810.09328</v>
      </c>
      <c r="I93" s="587">
        <v>3641.3799100000101</v>
      </c>
      <c r="J93" s="588">
        <v>-194.63906855452601</v>
      </c>
      <c r="K93" s="591">
        <v>0.15821002321899999</v>
      </c>
    </row>
    <row r="94" spans="1:11" ht="14.4" customHeight="1" thickBot="1" x14ac:dyDescent="0.35">
      <c r="A94" s="612" t="s">
        <v>385</v>
      </c>
      <c r="B94" s="592">
        <v>15854.9999999994</v>
      </c>
      <c r="C94" s="592">
        <v>17401.559000000001</v>
      </c>
      <c r="D94" s="593">
        <v>1546.55900000057</v>
      </c>
      <c r="E94" s="599">
        <v>1.0975439293589999</v>
      </c>
      <c r="F94" s="592">
        <v>17061.999999999702</v>
      </c>
      <c r="G94" s="593">
        <v>2843.6666666666101</v>
      </c>
      <c r="H94" s="595">
        <v>1341.6220000000001</v>
      </c>
      <c r="I94" s="592">
        <v>2699.6190000000101</v>
      </c>
      <c r="J94" s="593">
        <v>-144.047666666608</v>
      </c>
      <c r="K94" s="600">
        <v>0.15822406517400001</v>
      </c>
    </row>
    <row r="95" spans="1:11" ht="14.4" customHeight="1" thickBot="1" x14ac:dyDescent="0.35">
      <c r="A95" s="608" t="s">
        <v>386</v>
      </c>
      <c r="B95" s="592">
        <v>15854.9999999994</v>
      </c>
      <c r="C95" s="592">
        <v>17387.591</v>
      </c>
      <c r="D95" s="593">
        <v>1532.5910000005699</v>
      </c>
      <c r="E95" s="599">
        <v>1.0966629454429999</v>
      </c>
      <c r="F95" s="592">
        <v>17006.999999999702</v>
      </c>
      <c r="G95" s="593">
        <v>2834.49999999995</v>
      </c>
      <c r="H95" s="595">
        <v>1338.3969999999999</v>
      </c>
      <c r="I95" s="592">
        <v>2690.48200000001</v>
      </c>
      <c r="J95" s="593">
        <v>-144.01799999994199</v>
      </c>
      <c r="K95" s="600">
        <v>0.15819850649700001</v>
      </c>
    </row>
    <row r="96" spans="1:11" ht="14.4" customHeight="1" thickBot="1" x14ac:dyDescent="0.35">
      <c r="A96" s="609" t="s">
        <v>387</v>
      </c>
      <c r="B96" s="587">
        <v>15854.9999999994</v>
      </c>
      <c r="C96" s="587">
        <v>17387.591</v>
      </c>
      <c r="D96" s="588">
        <v>1532.5910000005699</v>
      </c>
      <c r="E96" s="589">
        <v>1.0966629454429999</v>
      </c>
      <c r="F96" s="587">
        <v>17006.999999999702</v>
      </c>
      <c r="G96" s="588">
        <v>2834.49999999995</v>
      </c>
      <c r="H96" s="590">
        <v>1338.3969999999999</v>
      </c>
      <c r="I96" s="587">
        <v>2690.48200000001</v>
      </c>
      <c r="J96" s="588">
        <v>-144.01799999994199</v>
      </c>
      <c r="K96" s="591">
        <v>0.15819850649700001</v>
      </c>
    </row>
    <row r="97" spans="1:11" ht="14.4" customHeight="1" thickBot="1" x14ac:dyDescent="0.35">
      <c r="A97" s="608" t="s">
        <v>388</v>
      </c>
      <c r="B97" s="592">
        <v>0</v>
      </c>
      <c r="C97" s="592">
        <v>13.968</v>
      </c>
      <c r="D97" s="593">
        <v>13.968</v>
      </c>
      <c r="E97" s="594" t="s">
        <v>299</v>
      </c>
      <c r="F97" s="592">
        <v>54.999999999998998</v>
      </c>
      <c r="G97" s="593">
        <v>9.1666666666659999</v>
      </c>
      <c r="H97" s="595">
        <v>3.2250000000000001</v>
      </c>
      <c r="I97" s="592">
        <v>9.1370000000000005</v>
      </c>
      <c r="J97" s="593">
        <v>-2.9666666665999999E-2</v>
      </c>
      <c r="K97" s="600">
        <v>0.16612727272700001</v>
      </c>
    </row>
    <row r="98" spans="1:11" ht="14.4" customHeight="1" thickBot="1" x14ac:dyDescent="0.35">
      <c r="A98" s="609" t="s">
        <v>389</v>
      </c>
      <c r="B98" s="587">
        <v>0</v>
      </c>
      <c r="C98" s="587">
        <v>13.968</v>
      </c>
      <c r="D98" s="588">
        <v>13.968</v>
      </c>
      <c r="E98" s="597" t="s">
        <v>299</v>
      </c>
      <c r="F98" s="587">
        <v>54.999999999998998</v>
      </c>
      <c r="G98" s="588">
        <v>9.1666666666659999</v>
      </c>
      <c r="H98" s="590">
        <v>3.2250000000000001</v>
      </c>
      <c r="I98" s="587">
        <v>9.1370000000000005</v>
      </c>
      <c r="J98" s="588">
        <v>-2.9666666665999999E-2</v>
      </c>
      <c r="K98" s="591">
        <v>0.16612727272700001</v>
      </c>
    </row>
    <row r="99" spans="1:11" ht="14.4" customHeight="1" thickBot="1" x14ac:dyDescent="0.35">
      <c r="A99" s="607" t="s">
        <v>390</v>
      </c>
      <c r="B99" s="587">
        <v>5391.9962559339701</v>
      </c>
      <c r="C99" s="587">
        <v>5857.3696099999997</v>
      </c>
      <c r="D99" s="588">
        <v>465.37335406603103</v>
      </c>
      <c r="E99" s="589">
        <v>1.0863081745559999</v>
      </c>
      <c r="F99" s="587">
        <v>5783.1138713275204</v>
      </c>
      <c r="G99" s="588">
        <v>963.85231188792</v>
      </c>
      <c r="H99" s="590">
        <v>455.05425000000002</v>
      </c>
      <c r="I99" s="587">
        <v>914.76350000000195</v>
      </c>
      <c r="J99" s="588">
        <v>-49.088811887916997</v>
      </c>
      <c r="K99" s="591">
        <v>0.15817836555699999</v>
      </c>
    </row>
    <row r="100" spans="1:11" ht="14.4" customHeight="1" thickBot="1" x14ac:dyDescent="0.35">
      <c r="A100" s="608" t="s">
        <v>391</v>
      </c>
      <c r="B100" s="592">
        <v>1426.99999289575</v>
      </c>
      <c r="C100" s="592">
        <v>1564.8815099999999</v>
      </c>
      <c r="D100" s="593">
        <v>137.88151710425501</v>
      </c>
      <c r="E100" s="599">
        <v>1.0966233481359999</v>
      </c>
      <c r="F100" s="592">
        <v>1531.11387132761</v>
      </c>
      <c r="G100" s="593">
        <v>255.185645221268</v>
      </c>
      <c r="H100" s="595">
        <v>120.455</v>
      </c>
      <c r="I100" s="592">
        <v>242.143000000001</v>
      </c>
      <c r="J100" s="593">
        <v>-13.042645221267</v>
      </c>
      <c r="K100" s="600">
        <v>0.15814826351799999</v>
      </c>
    </row>
    <row r="101" spans="1:11" ht="14.4" customHeight="1" thickBot="1" x14ac:dyDescent="0.35">
      <c r="A101" s="609" t="s">
        <v>392</v>
      </c>
      <c r="B101" s="587">
        <v>1426.99999289575</v>
      </c>
      <c r="C101" s="587">
        <v>1564.8815099999999</v>
      </c>
      <c r="D101" s="588">
        <v>137.88151710425501</v>
      </c>
      <c r="E101" s="589">
        <v>1.0966233481359999</v>
      </c>
      <c r="F101" s="587">
        <v>1531.11387132761</v>
      </c>
      <c r="G101" s="588">
        <v>255.185645221268</v>
      </c>
      <c r="H101" s="590">
        <v>120.455</v>
      </c>
      <c r="I101" s="587">
        <v>242.143000000001</v>
      </c>
      <c r="J101" s="588">
        <v>-13.042645221267</v>
      </c>
      <c r="K101" s="591">
        <v>0.15814826351799999</v>
      </c>
    </row>
    <row r="102" spans="1:11" ht="14.4" customHeight="1" thickBot="1" x14ac:dyDescent="0.35">
      <c r="A102" s="608" t="s">
        <v>393</v>
      </c>
      <c r="B102" s="592">
        <v>3964.9962630382302</v>
      </c>
      <c r="C102" s="592">
        <v>4292.4880999999996</v>
      </c>
      <c r="D102" s="593">
        <v>327.49183696177403</v>
      </c>
      <c r="E102" s="599">
        <v>1.08259574921</v>
      </c>
      <c r="F102" s="592">
        <v>4251.99999999991</v>
      </c>
      <c r="G102" s="593">
        <v>708.66666666665196</v>
      </c>
      <c r="H102" s="595">
        <v>334.59924999999998</v>
      </c>
      <c r="I102" s="592">
        <v>672.62050000000204</v>
      </c>
      <c r="J102" s="593">
        <v>-36.046166666650002</v>
      </c>
      <c r="K102" s="600">
        <v>0.158189205079</v>
      </c>
    </row>
    <row r="103" spans="1:11" ht="14.4" customHeight="1" thickBot="1" x14ac:dyDescent="0.35">
      <c r="A103" s="609" t="s">
        <v>394</v>
      </c>
      <c r="B103" s="587">
        <v>3964.9962630382302</v>
      </c>
      <c r="C103" s="587">
        <v>4292.4880999999996</v>
      </c>
      <c r="D103" s="588">
        <v>327.49183696177403</v>
      </c>
      <c r="E103" s="589">
        <v>1.08259574921</v>
      </c>
      <c r="F103" s="587">
        <v>4251.99999999991</v>
      </c>
      <c r="G103" s="588">
        <v>708.66666666665196</v>
      </c>
      <c r="H103" s="590">
        <v>334.59924999999998</v>
      </c>
      <c r="I103" s="587">
        <v>672.62050000000204</v>
      </c>
      <c r="J103" s="588">
        <v>-36.046166666650002</v>
      </c>
      <c r="K103" s="591">
        <v>0.158189205079</v>
      </c>
    </row>
    <row r="104" spans="1:11" ht="14.4" customHeight="1" thickBot="1" x14ac:dyDescent="0.35">
      <c r="A104" s="607" t="s">
        <v>395</v>
      </c>
      <c r="B104" s="587">
        <v>158.999999999994</v>
      </c>
      <c r="C104" s="587">
        <v>174.01504</v>
      </c>
      <c r="D104" s="588">
        <v>15.015040000004999</v>
      </c>
      <c r="E104" s="589">
        <v>1.0944342138359999</v>
      </c>
      <c r="F104" s="587">
        <v>170.99999999999699</v>
      </c>
      <c r="G104" s="588">
        <v>28.499999999999002</v>
      </c>
      <c r="H104" s="590">
        <v>13.41703</v>
      </c>
      <c r="I104" s="587">
        <v>26.997409999999999</v>
      </c>
      <c r="J104" s="588">
        <v>-1.502589999999</v>
      </c>
      <c r="K104" s="591">
        <v>0.157879590643</v>
      </c>
    </row>
    <row r="105" spans="1:11" ht="14.4" customHeight="1" thickBot="1" x14ac:dyDescent="0.35">
      <c r="A105" s="608" t="s">
        <v>396</v>
      </c>
      <c r="B105" s="592">
        <v>158.999999999994</v>
      </c>
      <c r="C105" s="592">
        <v>174.01504</v>
      </c>
      <c r="D105" s="593">
        <v>15.015040000004999</v>
      </c>
      <c r="E105" s="599">
        <v>1.0944342138359999</v>
      </c>
      <c r="F105" s="592">
        <v>170.99999999999699</v>
      </c>
      <c r="G105" s="593">
        <v>28.499999999999002</v>
      </c>
      <c r="H105" s="595">
        <v>13.41703</v>
      </c>
      <c r="I105" s="592">
        <v>26.997409999999999</v>
      </c>
      <c r="J105" s="593">
        <v>-1.502589999999</v>
      </c>
      <c r="K105" s="600">
        <v>0.157879590643</v>
      </c>
    </row>
    <row r="106" spans="1:11" ht="14.4" customHeight="1" thickBot="1" x14ac:dyDescent="0.35">
      <c r="A106" s="609" t="s">
        <v>397</v>
      </c>
      <c r="B106" s="587">
        <v>158.999999999994</v>
      </c>
      <c r="C106" s="587">
        <v>174.01504</v>
      </c>
      <c r="D106" s="588">
        <v>15.015040000004999</v>
      </c>
      <c r="E106" s="589">
        <v>1.0944342138359999</v>
      </c>
      <c r="F106" s="587">
        <v>170.99999999999699</v>
      </c>
      <c r="G106" s="588">
        <v>28.499999999999002</v>
      </c>
      <c r="H106" s="590">
        <v>13.41703</v>
      </c>
      <c r="I106" s="587">
        <v>26.997409999999999</v>
      </c>
      <c r="J106" s="588">
        <v>-1.502589999999</v>
      </c>
      <c r="K106" s="591">
        <v>0.157879590643</v>
      </c>
    </row>
    <row r="107" spans="1:11" ht="14.4" customHeight="1" thickBot="1" x14ac:dyDescent="0.35">
      <c r="A107" s="606" t="s">
        <v>398</v>
      </c>
      <c r="B107" s="587">
        <v>0</v>
      </c>
      <c r="C107" s="587">
        <v>17.596499999999999</v>
      </c>
      <c r="D107" s="588">
        <v>17.596499999999999</v>
      </c>
      <c r="E107" s="597" t="s">
        <v>299</v>
      </c>
      <c r="F107" s="587">
        <v>0</v>
      </c>
      <c r="G107" s="588">
        <v>0</v>
      </c>
      <c r="H107" s="590">
        <v>0.84721999999999997</v>
      </c>
      <c r="I107" s="587">
        <v>1.2297199999999999</v>
      </c>
      <c r="J107" s="588">
        <v>1.2297199999999999</v>
      </c>
      <c r="K107" s="598" t="s">
        <v>299</v>
      </c>
    </row>
    <row r="108" spans="1:11" ht="14.4" customHeight="1" thickBot="1" x14ac:dyDescent="0.35">
      <c r="A108" s="607" t="s">
        <v>399</v>
      </c>
      <c r="B108" s="587">
        <v>0</v>
      </c>
      <c r="C108" s="587">
        <v>17.596499999999999</v>
      </c>
      <c r="D108" s="588">
        <v>17.596499999999999</v>
      </c>
      <c r="E108" s="597" t="s">
        <v>299</v>
      </c>
      <c r="F108" s="587">
        <v>0</v>
      </c>
      <c r="G108" s="588">
        <v>0</v>
      </c>
      <c r="H108" s="590">
        <v>0.84721999999999997</v>
      </c>
      <c r="I108" s="587">
        <v>1.2297199999999999</v>
      </c>
      <c r="J108" s="588">
        <v>1.2297199999999999</v>
      </c>
      <c r="K108" s="598" t="s">
        <v>299</v>
      </c>
    </row>
    <row r="109" spans="1:11" ht="14.4" customHeight="1" thickBot="1" x14ac:dyDescent="0.35">
      <c r="A109" s="608" t="s">
        <v>400</v>
      </c>
      <c r="B109" s="592">
        <v>0</v>
      </c>
      <c r="C109" s="592">
        <v>16.796500000000002</v>
      </c>
      <c r="D109" s="593">
        <v>16.796500000000002</v>
      </c>
      <c r="E109" s="594" t="s">
        <v>299</v>
      </c>
      <c r="F109" s="592">
        <v>0</v>
      </c>
      <c r="G109" s="593">
        <v>0</v>
      </c>
      <c r="H109" s="595">
        <v>0.84721999999999997</v>
      </c>
      <c r="I109" s="592">
        <v>1.2297199999999999</v>
      </c>
      <c r="J109" s="593">
        <v>1.2297199999999999</v>
      </c>
      <c r="K109" s="596" t="s">
        <v>299</v>
      </c>
    </row>
    <row r="110" spans="1:11" ht="14.4" customHeight="1" thickBot="1" x14ac:dyDescent="0.35">
      <c r="A110" s="609" t="s">
        <v>401</v>
      </c>
      <c r="B110" s="587">
        <v>0</v>
      </c>
      <c r="C110" s="587">
        <v>0.89649999999999996</v>
      </c>
      <c r="D110" s="588">
        <v>0.89649999999999996</v>
      </c>
      <c r="E110" s="597" t="s">
        <v>299</v>
      </c>
      <c r="F110" s="587">
        <v>0</v>
      </c>
      <c r="G110" s="588">
        <v>0</v>
      </c>
      <c r="H110" s="590">
        <v>0.54720000000000002</v>
      </c>
      <c r="I110" s="587">
        <v>0.92969999999999997</v>
      </c>
      <c r="J110" s="588">
        <v>0.92969999999999997</v>
      </c>
      <c r="K110" s="598" t="s">
        <v>299</v>
      </c>
    </row>
    <row r="111" spans="1:11" ht="14.4" customHeight="1" thickBot="1" x14ac:dyDescent="0.35">
      <c r="A111" s="609" t="s">
        <v>402</v>
      </c>
      <c r="B111" s="587">
        <v>0</v>
      </c>
      <c r="C111" s="587">
        <v>7.9999999999989999</v>
      </c>
      <c r="D111" s="588">
        <v>7.9999999999989999</v>
      </c>
      <c r="E111" s="597" t="s">
        <v>299</v>
      </c>
      <c r="F111" s="587">
        <v>0</v>
      </c>
      <c r="G111" s="588">
        <v>0</v>
      </c>
      <c r="H111" s="590">
        <v>0.30002000000000001</v>
      </c>
      <c r="I111" s="587">
        <v>0.30002000000000001</v>
      </c>
      <c r="J111" s="588">
        <v>0.30002000000000001</v>
      </c>
      <c r="K111" s="598" t="s">
        <v>299</v>
      </c>
    </row>
    <row r="112" spans="1:11" ht="14.4" customHeight="1" thickBot="1" x14ac:dyDescent="0.35">
      <c r="A112" s="609" t="s">
        <v>403</v>
      </c>
      <c r="B112" s="587">
        <v>0</v>
      </c>
      <c r="C112" s="587">
        <v>7.4</v>
      </c>
      <c r="D112" s="588">
        <v>7.4</v>
      </c>
      <c r="E112" s="597" t="s">
        <v>299</v>
      </c>
      <c r="F112" s="587">
        <v>0</v>
      </c>
      <c r="G112" s="588">
        <v>0</v>
      </c>
      <c r="H112" s="590">
        <v>4.9406564584124654E-324</v>
      </c>
      <c r="I112" s="587">
        <v>9.8813129168249309E-324</v>
      </c>
      <c r="J112" s="588">
        <v>9.8813129168249309E-324</v>
      </c>
      <c r="K112" s="598" t="s">
        <v>299</v>
      </c>
    </row>
    <row r="113" spans="1:11" ht="14.4" customHeight="1" thickBot="1" x14ac:dyDescent="0.35">
      <c r="A113" s="609" t="s">
        <v>404</v>
      </c>
      <c r="B113" s="587">
        <v>4.9406564584124654E-324</v>
      </c>
      <c r="C113" s="587">
        <v>0.49999999999900002</v>
      </c>
      <c r="D113" s="588">
        <v>0.49999999999900002</v>
      </c>
      <c r="E113" s="597" t="s">
        <v>305</v>
      </c>
      <c r="F113" s="587">
        <v>0</v>
      </c>
      <c r="G113" s="588">
        <v>0</v>
      </c>
      <c r="H113" s="590">
        <v>4.9406564584124654E-324</v>
      </c>
      <c r="I113" s="587">
        <v>9.8813129168249309E-324</v>
      </c>
      <c r="J113" s="588">
        <v>9.8813129168249309E-324</v>
      </c>
      <c r="K113" s="598" t="s">
        <v>299</v>
      </c>
    </row>
    <row r="114" spans="1:11" ht="14.4" customHeight="1" thickBot="1" x14ac:dyDescent="0.35">
      <c r="A114" s="611" t="s">
        <v>405</v>
      </c>
      <c r="B114" s="587">
        <v>4.9406564584124654E-324</v>
      </c>
      <c r="C114" s="587">
        <v>0.45</v>
      </c>
      <c r="D114" s="588">
        <v>0.45</v>
      </c>
      <c r="E114" s="597" t="s">
        <v>305</v>
      </c>
      <c r="F114" s="587">
        <v>0</v>
      </c>
      <c r="G114" s="588">
        <v>0</v>
      </c>
      <c r="H114" s="590">
        <v>4.9406564584124654E-324</v>
      </c>
      <c r="I114" s="587">
        <v>9.8813129168249309E-324</v>
      </c>
      <c r="J114" s="588">
        <v>9.8813129168249309E-324</v>
      </c>
      <c r="K114" s="598" t="s">
        <v>299</v>
      </c>
    </row>
    <row r="115" spans="1:11" ht="14.4" customHeight="1" thickBot="1" x14ac:dyDescent="0.35">
      <c r="A115" s="609" t="s">
        <v>406</v>
      </c>
      <c r="B115" s="587">
        <v>4.9406564584124654E-324</v>
      </c>
      <c r="C115" s="587">
        <v>0.45</v>
      </c>
      <c r="D115" s="588">
        <v>0.45</v>
      </c>
      <c r="E115" s="597" t="s">
        <v>305</v>
      </c>
      <c r="F115" s="587">
        <v>0</v>
      </c>
      <c r="G115" s="588">
        <v>0</v>
      </c>
      <c r="H115" s="590">
        <v>4.9406564584124654E-324</v>
      </c>
      <c r="I115" s="587">
        <v>9.8813129168249309E-324</v>
      </c>
      <c r="J115" s="588">
        <v>9.8813129168249309E-324</v>
      </c>
      <c r="K115" s="598" t="s">
        <v>299</v>
      </c>
    </row>
    <row r="116" spans="1:11" ht="14.4" customHeight="1" thickBot="1" x14ac:dyDescent="0.35">
      <c r="A116" s="611" t="s">
        <v>407</v>
      </c>
      <c r="B116" s="587">
        <v>0</v>
      </c>
      <c r="C116" s="587">
        <v>0.35</v>
      </c>
      <c r="D116" s="588">
        <v>0.35</v>
      </c>
      <c r="E116" s="597" t="s">
        <v>299</v>
      </c>
      <c r="F116" s="587">
        <v>0</v>
      </c>
      <c r="G116" s="588">
        <v>0</v>
      </c>
      <c r="H116" s="590">
        <v>4.9406564584124654E-324</v>
      </c>
      <c r="I116" s="587">
        <v>9.8813129168249309E-324</v>
      </c>
      <c r="J116" s="588">
        <v>9.8813129168249309E-324</v>
      </c>
      <c r="K116" s="598" t="s">
        <v>299</v>
      </c>
    </row>
    <row r="117" spans="1:11" ht="14.4" customHeight="1" thickBot="1" x14ac:dyDescent="0.35">
      <c r="A117" s="609" t="s">
        <v>408</v>
      </c>
      <c r="B117" s="587">
        <v>0</v>
      </c>
      <c r="C117" s="587">
        <v>0.35</v>
      </c>
      <c r="D117" s="588">
        <v>0.35</v>
      </c>
      <c r="E117" s="597" t="s">
        <v>299</v>
      </c>
      <c r="F117" s="587">
        <v>0</v>
      </c>
      <c r="G117" s="588">
        <v>0</v>
      </c>
      <c r="H117" s="590">
        <v>4.9406564584124654E-324</v>
      </c>
      <c r="I117" s="587">
        <v>9.8813129168249309E-324</v>
      </c>
      <c r="J117" s="588">
        <v>9.8813129168249309E-324</v>
      </c>
      <c r="K117" s="598" t="s">
        <v>299</v>
      </c>
    </row>
    <row r="118" spans="1:11" ht="14.4" customHeight="1" thickBot="1" x14ac:dyDescent="0.35">
      <c r="A118" s="606" t="s">
        <v>409</v>
      </c>
      <c r="B118" s="587">
        <v>11851.9999999994</v>
      </c>
      <c r="C118" s="587">
        <v>11860.4</v>
      </c>
      <c r="D118" s="588">
        <v>8.4000000006499995</v>
      </c>
      <c r="E118" s="589">
        <v>1.00070874114</v>
      </c>
      <c r="F118" s="587">
        <v>6923.9824672376399</v>
      </c>
      <c r="G118" s="588">
        <v>1153.9970778729401</v>
      </c>
      <c r="H118" s="590">
        <v>984.48900000000003</v>
      </c>
      <c r="I118" s="587">
        <v>1968.9780000000001</v>
      </c>
      <c r="J118" s="588">
        <v>814.98092212706501</v>
      </c>
      <c r="K118" s="591">
        <v>0.284370737406</v>
      </c>
    </row>
    <row r="119" spans="1:11" ht="14.4" customHeight="1" thickBot="1" x14ac:dyDescent="0.35">
      <c r="A119" s="607" t="s">
        <v>410</v>
      </c>
      <c r="B119" s="587">
        <v>11851.9999999994</v>
      </c>
      <c r="C119" s="587">
        <v>11843.15</v>
      </c>
      <c r="D119" s="588">
        <v>-8.8499999993490004</v>
      </c>
      <c r="E119" s="589">
        <v>0.99925329058300005</v>
      </c>
      <c r="F119" s="587">
        <v>6923.9824672376399</v>
      </c>
      <c r="G119" s="588">
        <v>1153.9970778729401</v>
      </c>
      <c r="H119" s="590">
        <v>984.48900000000003</v>
      </c>
      <c r="I119" s="587">
        <v>1968.9780000000001</v>
      </c>
      <c r="J119" s="588">
        <v>814.98092212706501</v>
      </c>
      <c r="K119" s="591">
        <v>0.284370737406</v>
      </c>
    </row>
    <row r="120" spans="1:11" ht="14.4" customHeight="1" thickBot="1" x14ac:dyDescent="0.35">
      <c r="A120" s="608" t="s">
        <v>411</v>
      </c>
      <c r="B120" s="592">
        <v>11851.9999999994</v>
      </c>
      <c r="C120" s="592">
        <v>11843.15</v>
      </c>
      <c r="D120" s="593">
        <v>-8.8499999993490004</v>
      </c>
      <c r="E120" s="599">
        <v>0.99925329058300005</v>
      </c>
      <c r="F120" s="592">
        <v>6923.9824672376399</v>
      </c>
      <c r="G120" s="593">
        <v>1153.9970778729401</v>
      </c>
      <c r="H120" s="595">
        <v>984.48900000000003</v>
      </c>
      <c r="I120" s="592">
        <v>1968.9780000000001</v>
      </c>
      <c r="J120" s="593">
        <v>814.98092212706501</v>
      </c>
      <c r="K120" s="600">
        <v>0.284370737406</v>
      </c>
    </row>
    <row r="121" spans="1:11" ht="14.4" customHeight="1" thickBot="1" x14ac:dyDescent="0.35">
      <c r="A121" s="609" t="s">
        <v>412</v>
      </c>
      <c r="B121" s="587">
        <v>245.99999999998701</v>
      </c>
      <c r="C121" s="587">
        <v>251.46199999999999</v>
      </c>
      <c r="D121" s="588">
        <v>5.462000000013</v>
      </c>
      <c r="E121" s="589">
        <v>1.0222032520319999</v>
      </c>
      <c r="F121" s="587">
        <v>252.989948366058</v>
      </c>
      <c r="G121" s="588">
        <v>42.164991394342003</v>
      </c>
      <c r="H121" s="590">
        <v>21.05</v>
      </c>
      <c r="I121" s="587">
        <v>42.1</v>
      </c>
      <c r="J121" s="588">
        <v>-6.4991394342000006E-2</v>
      </c>
      <c r="K121" s="591">
        <v>0.16640977347800001</v>
      </c>
    </row>
    <row r="122" spans="1:11" ht="14.4" customHeight="1" thickBot="1" x14ac:dyDescent="0.35">
      <c r="A122" s="609" t="s">
        <v>413</v>
      </c>
      <c r="B122" s="587">
        <v>10327.9999999994</v>
      </c>
      <c r="C122" s="587">
        <v>10328.788</v>
      </c>
      <c r="D122" s="588">
        <v>0.78800000056599995</v>
      </c>
      <c r="E122" s="589">
        <v>1.000076297443</v>
      </c>
      <c r="F122" s="587">
        <v>4220.99999999992</v>
      </c>
      <c r="G122" s="588">
        <v>703.49999999998704</v>
      </c>
      <c r="H122" s="590">
        <v>860.72900000000004</v>
      </c>
      <c r="I122" s="587">
        <v>1721.4580000000001</v>
      </c>
      <c r="J122" s="588">
        <v>1017.95800000002</v>
      </c>
      <c r="K122" s="591">
        <v>0.40783179341300002</v>
      </c>
    </row>
    <row r="123" spans="1:11" ht="14.4" customHeight="1" thickBot="1" x14ac:dyDescent="0.35">
      <c r="A123" s="609" t="s">
        <v>414</v>
      </c>
      <c r="B123" s="587">
        <v>71.999999999996007</v>
      </c>
      <c r="C123" s="587">
        <v>56.48</v>
      </c>
      <c r="D123" s="588">
        <v>-15.519999999995999</v>
      </c>
      <c r="E123" s="589">
        <v>0.78444444444399997</v>
      </c>
      <c r="F123" s="587">
        <v>26.000217527895</v>
      </c>
      <c r="G123" s="588">
        <v>4.3333695879820002</v>
      </c>
      <c r="H123" s="590">
        <v>2.1659999999999999</v>
      </c>
      <c r="I123" s="587">
        <v>4.3319999999999999</v>
      </c>
      <c r="J123" s="588">
        <v>-1.369587982E-3</v>
      </c>
      <c r="K123" s="591">
        <v>0.16661399064599999</v>
      </c>
    </row>
    <row r="124" spans="1:11" ht="14.4" customHeight="1" thickBot="1" x14ac:dyDescent="0.35">
      <c r="A124" s="609" t="s">
        <v>415</v>
      </c>
      <c r="B124" s="587">
        <v>623.99999999996601</v>
      </c>
      <c r="C124" s="587">
        <v>624.67399999999998</v>
      </c>
      <c r="D124" s="588">
        <v>0.67400000003399996</v>
      </c>
      <c r="E124" s="589">
        <v>1.0010801282049999</v>
      </c>
      <c r="F124" s="587">
        <v>624.99230134380002</v>
      </c>
      <c r="G124" s="588">
        <v>104.1653835573</v>
      </c>
      <c r="H124" s="590">
        <v>52.066000000000003</v>
      </c>
      <c r="I124" s="587">
        <v>104.13200000000001</v>
      </c>
      <c r="J124" s="588">
        <v>-3.3383557299E-2</v>
      </c>
      <c r="K124" s="591">
        <v>0.166613252317</v>
      </c>
    </row>
    <row r="125" spans="1:11" ht="14.4" customHeight="1" thickBot="1" x14ac:dyDescent="0.35">
      <c r="A125" s="609" t="s">
        <v>416</v>
      </c>
      <c r="B125" s="587">
        <v>581.99999999996805</v>
      </c>
      <c r="C125" s="587">
        <v>581.74599999999998</v>
      </c>
      <c r="D125" s="588">
        <v>-0.25399999996700001</v>
      </c>
      <c r="E125" s="589">
        <v>0.99956357388299999</v>
      </c>
      <c r="F125" s="587">
        <v>1798.99999999997</v>
      </c>
      <c r="G125" s="588">
        <v>299.83333333332803</v>
      </c>
      <c r="H125" s="590">
        <v>48.478000000000002</v>
      </c>
      <c r="I125" s="587">
        <v>96.956000000000003</v>
      </c>
      <c r="J125" s="588">
        <v>-202.87733333332699</v>
      </c>
      <c r="K125" s="591">
        <v>5.3894385768999999E-2</v>
      </c>
    </row>
    <row r="126" spans="1:11" ht="14.4" customHeight="1" thickBot="1" x14ac:dyDescent="0.35">
      <c r="A126" s="607" t="s">
        <v>417</v>
      </c>
      <c r="B126" s="587">
        <v>0</v>
      </c>
      <c r="C126" s="587">
        <v>17.25</v>
      </c>
      <c r="D126" s="588">
        <v>17.25</v>
      </c>
      <c r="E126" s="597" t="s">
        <v>299</v>
      </c>
      <c r="F126" s="587">
        <v>0</v>
      </c>
      <c r="G126" s="588">
        <v>0</v>
      </c>
      <c r="H126" s="590">
        <v>4.9406564584124654E-324</v>
      </c>
      <c r="I126" s="587">
        <v>9.8813129168249309E-324</v>
      </c>
      <c r="J126" s="588">
        <v>9.8813129168249309E-324</v>
      </c>
      <c r="K126" s="598" t="s">
        <v>299</v>
      </c>
    </row>
    <row r="127" spans="1:11" ht="14.4" customHeight="1" thickBot="1" x14ac:dyDescent="0.35">
      <c r="A127" s="608" t="s">
        <v>418</v>
      </c>
      <c r="B127" s="592">
        <v>0</v>
      </c>
      <c r="C127" s="592">
        <v>10.638</v>
      </c>
      <c r="D127" s="593">
        <v>10.638</v>
      </c>
      <c r="E127" s="594" t="s">
        <v>299</v>
      </c>
      <c r="F127" s="592">
        <v>0</v>
      </c>
      <c r="G127" s="593">
        <v>0</v>
      </c>
      <c r="H127" s="595">
        <v>4.9406564584124654E-324</v>
      </c>
      <c r="I127" s="592">
        <v>9.8813129168249309E-324</v>
      </c>
      <c r="J127" s="593">
        <v>9.8813129168249309E-324</v>
      </c>
      <c r="K127" s="596" t="s">
        <v>299</v>
      </c>
    </row>
    <row r="128" spans="1:11" ht="14.4" customHeight="1" thickBot="1" x14ac:dyDescent="0.35">
      <c r="A128" s="609" t="s">
        <v>419</v>
      </c>
      <c r="B128" s="587">
        <v>0</v>
      </c>
      <c r="C128" s="587">
        <v>10.638</v>
      </c>
      <c r="D128" s="588">
        <v>10.638</v>
      </c>
      <c r="E128" s="597" t="s">
        <v>299</v>
      </c>
      <c r="F128" s="587">
        <v>0</v>
      </c>
      <c r="G128" s="588">
        <v>0</v>
      </c>
      <c r="H128" s="590">
        <v>4.9406564584124654E-324</v>
      </c>
      <c r="I128" s="587">
        <v>9.8813129168249309E-324</v>
      </c>
      <c r="J128" s="588">
        <v>9.8813129168249309E-324</v>
      </c>
      <c r="K128" s="598" t="s">
        <v>299</v>
      </c>
    </row>
    <row r="129" spans="1:11" ht="14.4" customHeight="1" thickBot="1" x14ac:dyDescent="0.35">
      <c r="A129" s="608" t="s">
        <v>420</v>
      </c>
      <c r="B129" s="592">
        <v>4.9406564584124654E-324</v>
      </c>
      <c r="C129" s="592">
        <v>6.6120000000000001</v>
      </c>
      <c r="D129" s="593">
        <v>6.6120000000000001</v>
      </c>
      <c r="E129" s="594" t="s">
        <v>305</v>
      </c>
      <c r="F129" s="592">
        <v>0</v>
      </c>
      <c r="G129" s="593">
        <v>0</v>
      </c>
      <c r="H129" s="595">
        <v>4.9406564584124654E-324</v>
      </c>
      <c r="I129" s="592">
        <v>9.8813129168249309E-324</v>
      </c>
      <c r="J129" s="593">
        <v>9.8813129168249309E-324</v>
      </c>
      <c r="K129" s="596" t="s">
        <v>299</v>
      </c>
    </row>
    <row r="130" spans="1:11" ht="14.4" customHeight="1" thickBot="1" x14ac:dyDescent="0.35">
      <c r="A130" s="609" t="s">
        <v>421</v>
      </c>
      <c r="B130" s="587">
        <v>4.9406564584124654E-324</v>
      </c>
      <c r="C130" s="587">
        <v>6.6120000000000001</v>
      </c>
      <c r="D130" s="588">
        <v>6.6120000000000001</v>
      </c>
      <c r="E130" s="597" t="s">
        <v>305</v>
      </c>
      <c r="F130" s="587">
        <v>0</v>
      </c>
      <c r="G130" s="588">
        <v>0</v>
      </c>
      <c r="H130" s="590">
        <v>4.9406564584124654E-324</v>
      </c>
      <c r="I130" s="587">
        <v>9.8813129168249309E-324</v>
      </c>
      <c r="J130" s="588">
        <v>9.8813129168249309E-324</v>
      </c>
      <c r="K130" s="598" t="s">
        <v>299</v>
      </c>
    </row>
    <row r="131" spans="1:11" ht="14.4" customHeight="1" thickBot="1" x14ac:dyDescent="0.35">
      <c r="A131" s="605" t="s">
        <v>422</v>
      </c>
      <c r="B131" s="587">
        <v>125183.52405601701</v>
      </c>
      <c r="C131" s="587">
        <v>145039.21062</v>
      </c>
      <c r="D131" s="588">
        <v>19855.686563983501</v>
      </c>
      <c r="E131" s="589">
        <v>1.158612618662</v>
      </c>
      <c r="F131" s="587">
        <v>148966.170693024</v>
      </c>
      <c r="G131" s="588">
        <v>24827.695115504001</v>
      </c>
      <c r="H131" s="590">
        <v>13056.55055</v>
      </c>
      <c r="I131" s="587">
        <v>25374.87529</v>
      </c>
      <c r="J131" s="588">
        <v>547.18017449601803</v>
      </c>
      <c r="K131" s="591">
        <v>0.17033985079899999</v>
      </c>
    </row>
    <row r="132" spans="1:11" ht="14.4" customHeight="1" thickBot="1" x14ac:dyDescent="0.35">
      <c r="A132" s="606" t="s">
        <v>423</v>
      </c>
      <c r="B132" s="587">
        <v>124510.17657852201</v>
      </c>
      <c r="C132" s="587">
        <v>143845.78276</v>
      </c>
      <c r="D132" s="588">
        <v>19335.606181477498</v>
      </c>
      <c r="E132" s="589">
        <v>1.15529338013</v>
      </c>
      <c r="F132" s="587">
        <v>148841.279323428</v>
      </c>
      <c r="G132" s="588">
        <v>24806.879887237999</v>
      </c>
      <c r="H132" s="590">
        <v>13052.38932</v>
      </c>
      <c r="I132" s="587">
        <v>25369.245780000001</v>
      </c>
      <c r="J132" s="588">
        <v>562.36589276196503</v>
      </c>
      <c r="K132" s="591">
        <v>0.17044495918899999</v>
      </c>
    </row>
    <row r="133" spans="1:11" ht="14.4" customHeight="1" thickBot="1" x14ac:dyDescent="0.35">
      <c r="A133" s="607" t="s">
        <v>424</v>
      </c>
      <c r="B133" s="587">
        <v>124510.17657852201</v>
      </c>
      <c r="C133" s="587">
        <v>143845.78276</v>
      </c>
      <c r="D133" s="588">
        <v>19335.606181477498</v>
      </c>
      <c r="E133" s="589">
        <v>1.15529338013</v>
      </c>
      <c r="F133" s="587">
        <v>148841.279323428</v>
      </c>
      <c r="G133" s="588">
        <v>24806.879887237999</v>
      </c>
      <c r="H133" s="590">
        <v>13052.38932</v>
      </c>
      <c r="I133" s="587">
        <v>25369.245780000001</v>
      </c>
      <c r="J133" s="588">
        <v>562.36589276196503</v>
      </c>
      <c r="K133" s="591">
        <v>0.17044495918899999</v>
      </c>
    </row>
    <row r="134" spans="1:11" ht="14.4" customHeight="1" thickBot="1" x14ac:dyDescent="0.35">
      <c r="A134" s="608" t="s">
        <v>425</v>
      </c>
      <c r="B134" s="592">
        <v>27.174233716435999</v>
      </c>
      <c r="C134" s="592">
        <v>32.859830000000002</v>
      </c>
      <c r="D134" s="593">
        <v>5.6855962835630001</v>
      </c>
      <c r="E134" s="599">
        <v>1.20922747419</v>
      </c>
      <c r="F134" s="592">
        <v>38.301482461538001</v>
      </c>
      <c r="G134" s="593">
        <v>6.3835804102560001</v>
      </c>
      <c r="H134" s="595">
        <v>2.0190000000000001</v>
      </c>
      <c r="I134" s="592">
        <v>2.0190000000000001</v>
      </c>
      <c r="J134" s="593">
        <v>-4.364580410256</v>
      </c>
      <c r="K134" s="600">
        <v>5.2713364345999998E-2</v>
      </c>
    </row>
    <row r="135" spans="1:11" ht="14.4" customHeight="1" thickBot="1" x14ac:dyDescent="0.35">
      <c r="A135" s="609" t="s">
        <v>426</v>
      </c>
      <c r="B135" s="587">
        <v>27.174233716435999</v>
      </c>
      <c r="C135" s="587">
        <v>32.61533</v>
      </c>
      <c r="D135" s="588">
        <v>5.4410962835629997</v>
      </c>
      <c r="E135" s="589">
        <v>1.2002299803680001</v>
      </c>
      <c r="F135" s="587">
        <v>38.036111830476003</v>
      </c>
      <c r="G135" s="588">
        <v>6.3393519717459998</v>
      </c>
      <c r="H135" s="590">
        <v>4.9406564584124654E-324</v>
      </c>
      <c r="I135" s="587">
        <v>9.8813129168249309E-324</v>
      </c>
      <c r="J135" s="588">
        <v>-6.3393519717459998</v>
      </c>
      <c r="K135" s="591">
        <v>0</v>
      </c>
    </row>
    <row r="136" spans="1:11" ht="14.4" customHeight="1" thickBot="1" x14ac:dyDescent="0.35">
      <c r="A136" s="609" t="s">
        <v>427</v>
      </c>
      <c r="B136" s="587">
        <v>4.9406564584124654E-324</v>
      </c>
      <c r="C136" s="587">
        <v>0.2445</v>
      </c>
      <c r="D136" s="588">
        <v>0.2445</v>
      </c>
      <c r="E136" s="597" t="s">
        <v>305</v>
      </c>
      <c r="F136" s="587">
        <v>0.26537063106199998</v>
      </c>
      <c r="G136" s="588">
        <v>4.4228438510000002E-2</v>
      </c>
      <c r="H136" s="590">
        <v>2.0190000000000001</v>
      </c>
      <c r="I136" s="587">
        <v>2.0190000000000001</v>
      </c>
      <c r="J136" s="588">
        <v>1.974771561489</v>
      </c>
      <c r="K136" s="591">
        <v>7.6082269990239997</v>
      </c>
    </row>
    <row r="137" spans="1:11" ht="14.4" customHeight="1" thickBot="1" x14ac:dyDescent="0.35">
      <c r="A137" s="608" t="s">
        <v>428</v>
      </c>
      <c r="B137" s="592">
        <v>189.002636188412</v>
      </c>
      <c r="C137" s="592">
        <v>108.65940000000001</v>
      </c>
      <c r="D137" s="593">
        <v>-80.343236188410998</v>
      </c>
      <c r="E137" s="599">
        <v>0.57490944143</v>
      </c>
      <c r="F137" s="592">
        <v>0</v>
      </c>
      <c r="G137" s="593">
        <v>0</v>
      </c>
      <c r="H137" s="595">
        <v>4.9406564584124654E-324</v>
      </c>
      <c r="I137" s="592">
        <v>2.4240000000000001E-2</v>
      </c>
      <c r="J137" s="593">
        <v>2.4240000000000001E-2</v>
      </c>
      <c r="K137" s="596" t="s">
        <v>299</v>
      </c>
    </row>
    <row r="138" spans="1:11" ht="14.4" customHeight="1" thickBot="1" x14ac:dyDescent="0.35">
      <c r="A138" s="609" t="s">
        <v>429</v>
      </c>
      <c r="B138" s="587">
        <v>189.002636188412</v>
      </c>
      <c r="C138" s="587">
        <v>108.65940000000001</v>
      </c>
      <c r="D138" s="588">
        <v>-80.343236188410998</v>
      </c>
      <c r="E138" s="589">
        <v>0.57490944143</v>
      </c>
      <c r="F138" s="587">
        <v>0</v>
      </c>
      <c r="G138" s="588">
        <v>0</v>
      </c>
      <c r="H138" s="590">
        <v>4.9406564584124654E-324</v>
      </c>
      <c r="I138" s="587">
        <v>2.4240000000000001E-2</v>
      </c>
      <c r="J138" s="588">
        <v>2.4240000000000001E-2</v>
      </c>
      <c r="K138" s="598" t="s">
        <v>299</v>
      </c>
    </row>
    <row r="139" spans="1:11" ht="14.4" customHeight="1" thickBot="1" x14ac:dyDescent="0.35">
      <c r="A139" s="608" t="s">
        <v>430</v>
      </c>
      <c r="B139" s="592">
        <v>3540.0001157891602</v>
      </c>
      <c r="C139" s="592">
        <v>3319.63</v>
      </c>
      <c r="D139" s="593">
        <v>-220.37011578916201</v>
      </c>
      <c r="E139" s="599">
        <v>0.93774855689699999</v>
      </c>
      <c r="F139" s="592">
        <v>3317.9778409666001</v>
      </c>
      <c r="G139" s="593">
        <v>552.99630682776694</v>
      </c>
      <c r="H139" s="595">
        <v>410.21557000000001</v>
      </c>
      <c r="I139" s="592">
        <v>1102.7686699999999</v>
      </c>
      <c r="J139" s="593">
        <v>549.77236317223299</v>
      </c>
      <c r="K139" s="600">
        <v>0.33236167414500001</v>
      </c>
    </row>
    <row r="140" spans="1:11" ht="14.4" customHeight="1" thickBot="1" x14ac:dyDescent="0.35">
      <c r="A140" s="609" t="s">
        <v>431</v>
      </c>
      <c r="B140" s="587">
        <v>3.9998646890080001</v>
      </c>
      <c r="C140" s="587">
        <v>0.29339999999999999</v>
      </c>
      <c r="D140" s="588">
        <v>-3.706464689008</v>
      </c>
      <c r="E140" s="589">
        <v>7.3352481349000007E-2</v>
      </c>
      <c r="F140" s="587">
        <v>13.999906501968001</v>
      </c>
      <c r="G140" s="588">
        <v>2.3333177503279998</v>
      </c>
      <c r="H140" s="590">
        <v>4.9406564584124654E-324</v>
      </c>
      <c r="I140" s="587">
        <v>9.8813129168249309E-324</v>
      </c>
      <c r="J140" s="588">
        <v>-2.3333177503279998</v>
      </c>
      <c r="K140" s="591">
        <v>0</v>
      </c>
    </row>
    <row r="141" spans="1:11" ht="14.4" customHeight="1" thickBot="1" x14ac:dyDescent="0.35">
      <c r="A141" s="609" t="s">
        <v>432</v>
      </c>
      <c r="B141" s="587">
        <v>3535.0000532324698</v>
      </c>
      <c r="C141" s="587">
        <v>3304.1949500000001</v>
      </c>
      <c r="D141" s="588">
        <v>-230.805103232465</v>
      </c>
      <c r="E141" s="589">
        <v>0.93470859978499998</v>
      </c>
      <c r="F141" s="587">
        <v>3303.9779344646299</v>
      </c>
      <c r="G141" s="588">
        <v>550.66298907743897</v>
      </c>
      <c r="H141" s="590">
        <v>381.55768999999998</v>
      </c>
      <c r="I141" s="587">
        <v>1074.11079</v>
      </c>
      <c r="J141" s="588">
        <v>523.44780092256099</v>
      </c>
      <c r="K141" s="591">
        <v>0.32509623590199999</v>
      </c>
    </row>
    <row r="142" spans="1:11" ht="14.4" customHeight="1" thickBot="1" x14ac:dyDescent="0.35">
      <c r="A142" s="609" t="s">
        <v>433</v>
      </c>
      <c r="B142" s="587">
        <v>1.000197867689</v>
      </c>
      <c r="C142" s="587">
        <v>15.14165</v>
      </c>
      <c r="D142" s="588">
        <v>14.14145213231</v>
      </c>
      <c r="E142" s="589">
        <v>15.138654549407001</v>
      </c>
      <c r="F142" s="587">
        <v>0</v>
      </c>
      <c r="G142" s="588">
        <v>0</v>
      </c>
      <c r="H142" s="590">
        <v>28.657879999999999</v>
      </c>
      <c r="I142" s="587">
        <v>28.657879999999999</v>
      </c>
      <c r="J142" s="588">
        <v>28.657879999999999</v>
      </c>
      <c r="K142" s="598" t="s">
        <v>299</v>
      </c>
    </row>
    <row r="143" spans="1:11" ht="14.4" customHeight="1" thickBot="1" x14ac:dyDescent="0.35">
      <c r="A143" s="608" t="s">
        <v>434</v>
      </c>
      <c r="B143" s="592">
        <v>4.9406564584124654E-324</v>
      </c>
      <c r="C143" s="592">
        <v>-0.55632000000000004</v>
      </c>
      <c r="D143" s="593">
        <v>-0.55632000000000004</v>
      </c>
      <c r="E143" s="594" t="s">
        <v>305</v>
      </c>
      <c r="F143" s="592">
        <v>0</v>
      </c>
      <c r="G143" s="593">
        <v>0</v>
      </c>
      <c r="H143" s="595">
        <v>4.9406564584124654E-324</v>
      </c>
      <c r="I143" s="592">
        <v>9.8813129168249309E-324</v>
      </c>
      <c r="J143" s="593">
        <v>9.8813129168249309E-324</v>
      </c>
      <c r="K143" s="596" t="s">
        <v>299</v>
      </c>
    </row>
    <row r="144" spans="1:11" ht="14.4" customHeight="1" thickBot="1" x14ac:dyDescent="0.35">
      <c r="A144" s="609" t="s">
        <v>435</v>
      </c>
      <c r="B144" s="587">
        <v>4.9406564584124654E-324</v>
      </c>
      <c r="C144" s="587">
        <v>-0.55632000000000004</v>
      </c>
      <c r="D144" s="588">
        <v>-0.55632000000000004</v>
      </c>
      <c r="E144" s="597" t="s">
        <v>305</v>
      </c>
      <c r="F144" s="587">
        <v>0</v>
      </c>
      <c r="G144" s="588">
        <v>0</v>
      </c>
      <c r="H144" s="590">
        <v>4.9406564584124654E-324</v>
      </c>
      <c r="I144" s="587">
        <v>9.8813129168249309E-324</v>
      </c>
      <c r="J144" s="588">
        <v>9.8813129168249309E-324</v>
      </c>
      <c r="K144" s="598" t="s">
        <v>299</v>
      </c>
    </row>
    <row r="145" spans="1:11" ht="14.4" customHeight="1" thickBot="1" x14ac:dyDescent="0.35">
      <c r="A145" s="608" t="s">
        <v>436</v>
      </c>
      <c r="B145" s="592">
        <v>120753.999592828</v>
      </c>
      <c r="C145" s="592">
        <v>136368.04042999999</v>
      </c>
      <c r="D145" s="593">
        <v>15614.0408371715</v>
      </c>
      <c r="E145" s="599">
        <v>1.1293045438639999</v>
      </c>
      <c r="F145" s="592">
        <v>145485</v>
      </c>
      <c r="G145" s="593">
        <v>24247.5</v>
      </c>
      <c r="H145" s="595">
        <v>12441.77684</v>
      </c>
      <c r="I145" s="592">
        <v>23861.47062</v>
      </c>
      <c r="J145" s="593">
        <v>-386.02938000001097</v>
      </c>
      <c r="K145" s="600">
        <v>0.164013270234</v>
      </c>
    </row>
    <row r="146" spans="1:11" ht="14.4" customHeight="1" thickBot="1" x14ac:dyDescent="0.35">
      <c r="A146" s="609" t="s">
        <v>437</v>
      </c>
      <c r="B146" s="587">
        <v>49831.999849768799</v>
      </c>
      <c r="C146" s="587">
        <v>67510.376560000004</v>
      </c>
      <c r="D146" s="588">
        <v>17678.376710231201</v>
      </c>
      <c r="E146" s="589">
        <v>1.3547595272820001</v>
      </c>
      <c r="F146" s="587">
        <v>70566</v>
      </c>
      <c r="G146" s="588">
        <v>11761</v>
      </c>
      <c r="H146" s="590">
        <v>6432.7250400000003</v>
      </c>
      <c r="I146" s="587">
        <v>12225.67676</v>
      </c>
      <c r="J146" s="588">
        <v>464.67675999999301</v>
      </c>
      <c r="K146" s="591">
        <v>0.17325166170600001</v>
      </c>
    </row>
    <row r="147" spans="1:11" ht="14.4" customHeight="1" thickBot="1" x14ac:dyDescent="0.35">
      <c r="A147" s="609" t="s">
        <v>438</v>
      </c>
      <c r="B147" s="587">
        <v>70921.999743059598</v>
      </c>
      <c r="C147" s="587">
        <v>68411.869869999995</v>
      </c>
      <c r="D147" s="588">
        <v>-2510.1298730596</v>
      </c>
      <c r="E147" s="589">
        <v>0.96460717573999999</v>
      </c>
      <c r="F147" s="587">
        <v>73919</v>
      </c>
      <c r="G147" s="588">
        <v>12319.833333333299</v>
      </c>
      <c r="H147" s="590">
        <v>6009.0518000000002</v>
      </c>
      <c r="I147" s="587">
        <v>11635.79386</v>
      </c>
      <c r="J147" s="588">
        <v>-684.03947333333201</v>
      </c>
      <c r="K147" s="591">
        <v>0.15741276072400001</v>
      </c>
    </row>
    <row r="148" spans="1:11" ht="14.4" customHeight="1" thickBot="1" x14ac:dyDescent="0.35">
      <c r="A148" s="609" t="s">
        <v>439</v>
      </c>
      <c r="B148" s="587">
        <v>4.9406564584124654E-324</v>
      </c>
      <c r="C148" s="587">
        <v>4.9406564584124654E-324</v>
      </c>
      <c r="D148" s="588">
        <v>0</v>
      </c>
      <c r="E148" s="589">
        <v>1</v>
      </c>
      <c r="F148" s="587">
        <v>545</v>
      </c>
      <c r="G148" s="588">
        <v>90.833333333333002</v>
      </c>
      <c r="H148" s="590">
        <v>4.9406564584124654E-324</v>
      </c>
      <c r="I148" s="587">
        <v>9.8813129168249309E-324</v>
      </c>
      <c r="J148" s="588">
        <v>-90.833333333333002</v>
      </c>
      <c r="K148" s="591">
        <v>0</v>
      </c>
    </row>
    <row r="149" spans="1:11" ht="14.4" customHeight="1" thickBot="1" x14ac:dyDescent="0.35">
      <c r="A149" s="609" t="s">
        <v>440</v>
      </c>
      <c r="B149" s="587">
        <v>4.9406564584124654E-324</v>
      </c>
      <c r="C149" s="587">
        <v>445.79399999999998</v>
      </c>
      <c r="D149" s="588">
        <v>445.79399999999998</v>
      </c>
      <c r="E149" s="597" t="s">
        <v>305</v>
      </c>
      <c r="F149" s="587">
        <v>455</v>
      </c>
      <c r="G149" s="588">
        <v>75.833333333333002</v>
      </c>
      <c r="H149" s="590">
        <v>4.9406564584124654E-324</v>
      </c>
      <c r="I149" s="587">
        <v>9.8813129168249309E-324</v>
      </c>
      <c r="J149" s="588">
        <v>-75.833333333333002</v>
      </c>
      <c r="K149" s="591">
        <v>0</v>
      </c>
    </row>
    <row r="150" spans="1:11" ht="14.4" customHeight="1" thickBot="1" x14ac:dyDescent="0.35">
      <c r="A150" s="608" t="s">
        <v>441</v>
      </c>
      <c r="B150" s="592">
        <v>0</v>
      </c>
      <c r="C150" s="592">
        <v>4017.1494200000002</v>
      </c>
      <c r="D150" s="593">
        <v>4017.1494200000002</v>
      </c>
      <c r="E150" s="594" t="s">
        <v>299</v>
      </c>
      <c r="F150" s="592">
        <v>0</v>
      </c>
      <c r="G150" s="593">
        <v>0</v>
      </c>
      <c r="H150" s="595">
        <v>198.37791000000001</v>
      </c>
      <c r="I150" s="592">
        <v>402.96325000000002</v>
      </c>
      <c r="J150" s="593">
        <v>402.96325000000002</v>
      </c>
      <c r="K150" s="596" t="s">
        <v>299</v>
      </c>
    </row>
    <row r="151" spans="1:11" ht="14.4" customHeight="1" thickBot="1" x14ac:dyDescent="0.35">
      <c r="A151" s="609" t="s">
        <v>442</v>
      </c>
      <c r="B151" s="587">
        <v>4.9406564584124654E-324</v>
      </c>
      <c r="C151" s="587">
        <v>2574.2133100000001</v>
      </c>
      <c r="D151" s="588">
        <v>2574.2133100000001</v>
      </c>
      <c r="E151" s="597" t="s">
        <v>305</v>
      </c>
      <c r="F151" s="587">
        <v>0</v>
      </c>
      <c r="G151" s="588">
        <v>0</v>
      </c>
      <c r="H151" s="590">
        <v>4.9406564584124654E-324</v>
      </c>
      <c r="I151" s="587">
        <v>204.58534</v>
      </c>
      <c r="J151" s="588">
        <v>204.58534</v>
      </c>
      <c r="K151" s="598" t="s">
        <v>299</v>
      </c>
    </row>
    <row r="152" spans="1:11" ht="14.4" customHeight="1" thickBot="1" x14ac:dyDescent="0.35">
      <c r="A152" s="609" t="s">
        <v>443</v>
      </c>
      <c r="B152" s="587">
        <v>0</v>
      </c>
      <c r="C152" s="587">
        <v>1442.9361100000001</v>
      </c>
      <c r="D152" s="588">
        <v>1442.9361100000001</v>
      </c>
      <c r="E152" s="597" t="s">
        <v>299</v>
      </c>
      <c r="F152" s="587">
        <v>0</v>
      </c>
      <c r="G152" s="588">
        <v>0</v>
      </c>
      <c r="H152" s="590">
        <v>198.37791000000001</v>
      </c>
      <c r="I152" s="587">
        <v>198.37791000000001</v>
      </c>
      <c r="J152" s="588">
        <v>198.37791000000001</v>
      </c>
      <c r="K152" s="598" t="s">
        <v>299</v>
      </c>
    </row>
    <row r="153" spans="1:11" ht="14.4" customHeight="1" thickBot="1" x14ac:dyDescent="0.35">
      <c r="A153" s="606" t="s">
        <v>444</v>
      </c>
      <c r="B153" s="587">
        <v>552.347477494087</v>
      </c>
      <c r="C153" s="587">
        <v>1072.8548599999999</v>
      </c>
      <c r="D153" s="588">
        <v>520.50738250591303</v>
      </c>
      <c r="E153" s="589">
        <v>1.9423549553749999</v>
      </c>
      <c r="F153" s="587">
        <v>3.891369595684</v>
      </c>
      <c r="G153" s="588">
        <v>0.64856159928000001</v>
      </c>
      <c r="H153" s="590">
        <v>4.1612299999999998</v>
      </c>
      <c r="I153" s="587">
        <v>5.6295099999999998</v>
      </c>
      <c r="J153" s="588">
        <v>4.9809484007189999</v>
      </c>
      <c r="K153" s="591">
        <v>1.4466654635530001</v>
      </c>
    </row>
    <row r="154" spans="1:11" ht="14.4" customHeight="1" thickBot="1" x14ac:dyDescent="0.35">
      <c r="A154" s="607" t="s">
        <v>445</v>
      </c>
      <c r="B154" s="587">
        <v>548.45610789840202</v>
      </c>
      <c r="C154" s="587">
        <v>1062.6614500000001</v>
      </c>
      <c r="D154" s="588">
        <v>514.20534210159803</v>
      </c>
      <c r="E154" s="589">
        <v>1.9375505800670001</v>
      </c>
      <c r="F154" s="587">
        <v>0</v>
      </c>
      <c r="G154" s="588">
        <v>0</v>
      </c>
      <c r="H154" s="590">
        <v>4.9406564584124654E-324</v>
      </c>
      <c r="I154" s="587">
        <v>9.8813129168249309E-324</v>
      </c>
      <c r="J154" s="588">
        <v>9.8813129168249309E-324</v>
      </c>
      <c r="K154" s="598" t="s">
        <v>299</v>
      </c>
    </row>
    <row r="155" spans="1:11" ht="14.4" customHeight="1" thickBot="1" x14ac:dyDescent="0.35">
      <c r="A155" s="608" t="s">
        <v>446</v>
      </c>
      <c r="B155" s="592">
        <v>548.45610789840202</v>
      </c>
      <c r="C155" s="592">
        <v>1062.6614500000001</v>
      </c>
      <c r="D155" s="593">
        <v>514.20534210159803</v>
      </c>
      <c r="E155" s="599">
        <v>1.9375505800670001</v>
      </c>
      <c r="F155" s="592">
        <v>0</v>
      </c>
      <c r="G155" s="593">
        <v>0</v>
      </c>
      <c r="H155" s="595">
        <v>4.9406564584124654E-324</v>
      </c>
      <c r="I155" s="592">
        <v>9.8813129168249309E-324</v>
      </c>
      <c r="J155" s="593">
        <v>9.8813129168249309E-324</v>
      </c>
      <c r="K155" s="596" t="s">
        <v>299</v>
      </c>
    </row>
    <row r="156" spans="1:11" ht="14.4" customHeight="1" thickBot="1" x14ac:dyDescent="0.35">
      <c r="A156" s="609" t="s">
        <v>447</v>
      </c>
      <c r="B156" s="587">
        <v>0</v>
      </c>
      <c r="C156" s="587">
        <v>547.85177999999996</v>
      </c>
      <c r="D156" s="588">
        <v>547.85177999999996</v>
      </c>
      <c r="E156" s="597" t="s">
        <v>299</v>
      </c>
      <c r="F156" s="587">
        <v>0</v>
      </c>
      <c r="G156" s="588">
        <v>0</v>
      </c>
      <c r="H156" s="590">
        <v>4.9406564584124654E-324</v>
      </c>
      <c r="I156" s="587">
        <v>9.8813129168249309E-324</v>
      </c>
      <c r="J156" s="588">
        <v>9.8813129168249309E-324</v>
      </c>
      <c r="K156" s="598" t="s">
        <v>299</v>
      </c>
    </row>
    <row r="157" spans="1:11" ht="14.4" customHeight="1" thickBot="1" x14ac:dyDescent="0.35">
      <c r="A157" s="609" t="s">
        <v>448</v>
      </c>
      <c r="B157" s="587">
        <v>0</v>
      </c>
      <c r="C157" s="587">
        <v>178.75926000000001</v>
      </c>
      <c r="D157" s="588">
        <v>178.75926000000001</v>
      </c>
      <c r="E157" s="597" t="s">
        <v>299</v>
      </c>
      <c r="F157" s="587">
        <v>0</v>
      </c>
      <c r="G157" s="588">
        <v>0</v>
      </c>
      <c r="H157" s="590">
        <v>4.9406564584124654E-324</v>
      </c>
      <c r="I157" s="587">
        <v>9.8813129168249309E-324</v>
      </c>
      <c r="J157" s="588">
        <v>9.8813129168249309E-324</v>
      </c>
      <c r="K157" s="598" t="s">
        <v>299</v>
      </c>
    </row>
    <row r="158" spans="1:11" ht="14.4" customHeight="1" thickBot="1" x14ac:dyDescent="0.35">
      <c r="A158" s="609" t="s">
        <v>449</v>
      </c>
      <c r="B158" s="587">
        <v>0</v>
      </c>
      <c r="C158" s="587">
        <v>296.00889999999998</v>
      </c>
      <c r="D158" s="588">
        <v>296.00889999999998</v>
      </c>
      <c r="E158" s="597" t="s">
        <v>299</v>
      </c>
      <c r="F158" s="587">
        <v>0</v>
      </c>
      <c r="G158" s="588">
        <v>0</v>
      </c>
      <c r="H158" s="590">
        <v>4.9406564584124654E-324</v>
      </c>
      <c r="I158" s="587">
        <v>9.8813129168249309E-324</v>
      </c>
      <c r="J158" s="588">
        <v>9.8813129168249309E-324</v>
      </c>
      <c r="K158" s="598" t="s">
        <v>299</v>
      </c>
    </row>
    <row r="159" spans="1:11" ht="14.4" customHeight="1" thickBot="1" x14ac:dyDescent="0.35">
      <c r="A159" s="609" t="s">
        <v>450</v>
      </c>
      <c r="B159" s="587">
        <v>0</v>
      </c>
      <c r="C159" s="587">
        <v>40.041510000000002</v>
      </c>
      <c r="D159" s="588">
        <v>40.041510000000002</v>
      </c>
      <c r="E159" s="597" t="s">
        <v>299</v>
      </c>
      <c r="F159" s="587">
        <v>0</v>
      </c>
      <c r="G159" s="588">
        <v>0</v>
      </c>
      <c r="H159" s="590">
        <v>4.9406564584124654E-324</v>
      </c>
      <c r="I159" s="587">
        <v>9.8813129168249309E-324</v>
      </c>
      <c r="J159" s="588">
        <v>9.8813129168249309E-324</v>
      </c>
      <c r="K159" s="598" t="s">
        <v>299</v>
      </c>
    </row>
    <row r="160" spans="1:11" ht="14.4" customHeight="1" thickBot="1" x14ac:dyDescent="0.35">
      <c r="A160" s="612" t="s">
        <v>451</v>
      </c>
      <c r="B160" s="592">
        <v>3.891369595684</v>
      </c>
      <c r="C160" s="592">
        <v>10.19341</v>
      </c>
      <c r="D160" s="593">
        <v>6.302040404315</v>
      </c>
      <c r="E160" s="599">
        <v>2.6194916081219999</v>
      </c>
      <c r="F160" s="592">
        <v>3.891369595684</v>
      </c>
      <c r="G160" s="593">
        <v>0.64856159928000001</v>
      </c>
      <c r="H160" s="595">
        <v>4.1612299999999998</v>
      </c>
      <c r="I160" s="592">
        <v>5.6295099999999998</v>
      </c>
      <c r="J160" s="593">
        <v>4.9809484007189999</v>
      </c>
      <c r="K160" s="600">
        <v>1.4466654635530001</v>
      </c>
    </row>
    <row r="161" spans="1:11" ht="14.4" customHeight="1" thickBot="1" x14ac:dyDescent="0.35">
      <c r="A161" s="608" t="s">
        <v>452</v>
      </c>
      <c r="B161" s="592">
        <v>0</v>
      </c>
      <c r="C161" s="592">
        <v>-3.5E-4</v>
      </c>
      <c r="D161" s="593">
        <v>-3.5E-4</v>
      </c>
      <c r="E161" s="594" t="s">
        <v>299</v>
      </c>
      <c r="F161" s="592">
        <v>0</v>
      </c>
      <c r="G161" s="593">
        <v>0</v>
      </c>
      <c r="H161" s="595">
        <v>4.9406564584124654E-324</v>
      </c>
      <c r="I161" s="592">
        <v>-2.0000000000000002E-5</v>
      </c>
      <c r="J161" s="593">
        <v>-2.0000000000000002E-5</v>
      </c>
      <c r="K161" s="596" t="s">
        <v>299</v>
      </c>
    </row>
    <row r="162" spans="1:11" ht="14.4" customHeight="1" thickBot="1" x14ac:dyDescent="0.35">
      <c r="A162" s="609" t="s">
        <v>453</v>
      </c>
      <c r="B162" s="587">
        <v>0</v>
      </c>
      <c r="C162" s="587">
        <v>-3.5E-4</v>
      </c>
      <c r="D162" s="588">
        <v>-3.5E-4</v>
      </c>
      <c r="E162" s="597" t="s">
        <v>299</v>
      </c>
      <c r="F162" s="587">
        <v>0</v>
      </c>
      <c r="G162" s="588">
        <v>0</v>
      </c>
      <c r="H162" s="590">
        <v>4.9406564584124654E-324</v>
      </c>
      <c r="I162" s="587">
        <v>-2.0000000000000002E-5</v>
      </c>
      <c r="J162" s="588">
        <v>-2.0000000000000002E-5</v>
      </c>
      <c r="K162" s="598" t="s">
        <v>299</v>
      </c>
    </row>
    <row r="163" spans="1:11" ht="14.4" customHeight="1" thickBot="1" x14ac:dyDescent="0.35">
      <c r="A163" s="608" t="s">
        <v>454</v>
      </c>
      <c r="B163" s="592">
        <v>3.891369595684</v>
      </c>
      <c r="C163" s="592">
        <v>10.193759999999999</v>
      </c>
      <c r="D163" s="593">
        <v>6.3023904043150001</v>
      </c>
      <c r="E163" s="599">
        <v>2.6195815507479998</v>
      </c>
      <c r="F163" s="592">
        <v>3.891369595684</v>
      </c>
      <c r="G163" s="593">
        <v>0.64856159928000001</v>
      </c>
      <c r="H163" s="595">
        <v>4.1612299999999998</v>
      </c>
      <c r="I163" s="592">
        <v>5.6295299999999999</v>
      </c>
      <c r="J163" s="593">
        <v>4.980968400719</v>
      </c>
      <c r="K163" s="600">
        <v>1.446670603132</v>
      </c>
    </row>
    <row r="164" spans="1:11" ht="14.4" customHeight="1" thickBot="1" x14ac:dyDescent="0.35">
      <c r="A164" s="609" t="s">
        <v>455</v>
      </c>
      <c r="B164" s="587">
        <v>0</v>
      </c>
      <c r="C164" s="587">
        <v>0.48299999999999998</v>
      </c>
      <c r="D164" s="588">
        <v>0.48299999999999998</v>
      </c>
      <c r="E164" s="597" t="s">
        <v>299</v>
      </c>
      <c r="F164" s="587">
        <v>0</v>
      </c>
      <c r="G164" s="588">
        <v>0</v>
      </c>
      <c r="H164" s="590">
        <v>2.9000000000000001E-2</v>
      </c>
      <c r="I164" s="587">
        <v>5.0999999999999997E-2</v>
      </c>
      <c r="J164" s="588">
        <v>5.0999999999999997E-2</v>
      </c>
      <c r="K164" s="598" t="s">
        <v>299</v>
      </c>
    </row>
    <row r="165" spans="1:11" ht="14.4" customHeight="1" thickBot="1" x14ac:dyDescent="0.35">
      <c r="A165" s="609" t="s">
        <v>456</v>
      </c>
      <c r="B165" s="587">
        <v>3.891369595684</v>
      </c>
      <c r="C165" s="587">
        <v>9.7107600000000005</v>
      </c>
      <c r="D165" s="588">
        <v>5.8193904043150004</v>
      </c>
      <c r="E165" s="589">
        <v>2.4954607269300002</v>
      </c>
      <c r="F165" s="587">
        <v>3.891369595684</v>
      </c>
      <c r="G165" s="588">
        <v>0.64856159928000001</v>
      </c>
      <c r="H165" s="590">
        <v>4.1322299999999998</v>
      </c>
      <c r="I165" s="587">
        <v>5.5785299999999998</v>
      </c>
      <c r="J165" s="588">
        <v>4.9299684007189999</v>
      </c>
      <c r="K165" s="591">
        <v>1.433564677636</v>
      </c>
    </row>
    <row r="166" spans="1:11" ht="14.4" customHeight="1" thickBot="1" x14ac:dyDescent="0.35">
      <c r="A166" s="606" t="s">
        <v>457</v>
      </c>
      <c r="B166" s="587">
        <v>120.99999999999901</v>
      </c>
      <c r="C166" s="587">
        <v>120.57299999999999</v>
      </c>
      <c r="D166" s="588">
        <v>-0.42699999999799998</v>
      </c>
      <c r="E166" s="589">
        <v>0.99647107438000004</v>
      </c>
      <c r="F166" s="587">
        <v>121</v>
      </c>
      <c r="G166" s="588">
        <v>20.166666666666</v>
      </c>
      <c r="H166" s="590">
        <v>4.9406564584124654E-324</v>
      </c>
      <c r="I166" s="587">
        <v>9.8813129168249309E-324</v>
      </c>
      <c r="J166" s="588">
        <v>-20.166666666666</v>
      </c>
      <c r="K166" s="591">
        <v>0</v>
      </c>
    </row>
    <row r="167" spans="1:11" ht="14.4" customHeight="1" thickBot="1" x14ac:dyDescent="0.35">
      <c r="A167" s="612" t="s">
        <v>458</v>
      </c>
      <c r="B167" s="592">
        <v>120.99999999999901</v>
      </c>
      <c r="C167" s="592">
        <v>120.57299999999999</v>
      </c>
      <c r="D167" s="593">
        <v>-0.42699999999799998</v>
      </c>
      <c r="E167" s="599">
        <v>0.99647107438000004</v>
      </c>
      <c r="F167" s="592">
        <v>121</v>
      </c>
      <c r="G167" s="593">
        <v>20.166666666666</v>
      </c>
      <c r="H167" s="595">
        <v>4.9406564584124654E-324</v>
      </c>
      <c r="I167" s="592">
        <v>9.8813129168249309E-324</v>
      </c>
      <c r="J167" s="593">
        <v>-20.166666666666</v>
      </c>
      <c r="K167" s="600">
        <v>0</v>
      </c>
    </row>
    <row r="168" spans="1:11" ht="14.4" customHeight="1" thickBot="1" x14ac:dyDescent="0.35">
      <c r="A168" s="608" t="s">
        <v>459</v>
      </c>
      <c r="B168" s="592">
        <v>120.99999999999901</v>
      </c>
      <c r="C168" s="592">
        <v>120.57299999999999</v>
      </c>
      <c r="D168" s="593">
        <v>-0.42699999999799998</v>
      </c>
      <c r="E168" s="599">
        <v>0.99647107438000004</v>
      </c>
      <c r="F168" s="592">
        <v>121</v>
      </c>
      <c r="G168" s="593">
        <v>20.166666666666</v>
      </c>
      <c r="H168" s="595">
        <v>4.9406564584124654E-324</v>
      </c>
      <c r="I168" s="592">
        <v>9.8813129168249309E-324</v>
      </c>
      <c r="J168" s="593">
        <v>-20.166666666666</v>
      </c>
      <c r="K168" s="600">
        <v>0</v>
      </c>
    </row>
    <row r="169" spans="1:11" ht="14.4" customHeight="1" thickBot="1" x14ac:dyDescent="0.35">
      <c r="A169" s="609" t="s">
        <v>460</v>
      </c>
      <c r="B169" s="587">
        <v>120.99999999999901</v>
      </c>
      <c r="C169" s="587">
        <v>120.57299999999999</v>
      </c>
      <c r="D169" s="588">
        <v>-0.42699999999799998</v>
      </c>
      <c r="E169" s="589">
        <v>0.99647107438000004</v>
      </c>
      <c r="F169" s="587">
        <v>121</v>
      </c>
      <c r="G169" s="588">
        <v>20.166666666666</v>
      </c>
      <c r="H169" s="590">
        <v>4.9406564584124654E-324</v>
      </c>
      <c r="I169" s="587">
        <v>9.8813129168249309E-324</v>
      </c>
      <c r="J169" s="588">
        <v>-20.166666666666</v>
      </c>
      <c r="K169" s="591">
        <v>0</v>
      </c>
    </row>
    <row r="170" spans="1:11" ht="14.4" customHeight="1" thickBot="1" x14ac:dyDescent="0.35">
      <c r="A170" s="605" t="s">
        <v>461</v>
      </c>
      <c r="B170" s="587">
        <v>5511.44837849745</v>
      </c>
      <c r="C170" s="587">
        <v>5014.0383700000002</v>
      </c>
      <c r="D170" s="588">
        <v>-497.41000849744802</v>
      </c>
      <c r="E170" s="589">
        <v>0.90974967479699997</v>
      </c>
      <c r="F170" s="587">
        <v>5932.00680464984</v>
      </c>
      <c r="G170" s="588">
        <v>988.66780077497401</v>
      </c>
      <c r="H170" s="590">
        <v>380.26181000000003</v>
      </c>
      <c r="I170" s="587">
        <v>808.87329999999997</v>
      </c>
      <c r="J170" s="588">
        <v>-179.79450077497401</v>
      </c>
      <c r="K170" s="591">
        <v>0.136357446415</v>
      </c>
    </row>
    <row r="171" spans="1:11" ht="14.4" customHeight="1" thickBot="1" x14ac:dyDescent="0.35">
      <c r="A171" s="610" t="s">
        <v>462</v>
      </c>
      <c r="B171" s="592">
        <v>5511.44837849745</v>
      </c>
      <c r="C171" s="592">
        <v>5014.0383700000002</v>
      </c>
      <c r="D171" s="593">
        <v>-497.41000849744802</v>
      </c>
      <c r="E171" s="599">
        <v>0.90974967479699997</v>
      </c>
      <c r="F171" s="592">
        <v>5932.00680464984</v>
      </c>
      <c r="G171" s="593">
        <v>988.66780077497401</v>
      </c>
      <c r="H171" s="595">
        <v>380.26181000000003</v>
      </c>
      <c r="I171" s="592">
        <v>808.87329999999997</v>
      </c>
      <c r="J171" s="593">
        <v>-179.79450077497401</v>
      </c>
      <c r="K171" s="600">
        <v>0.136357446415</v>
      </c>
    </row>
    <row r="172" spans="1:11" ht="14.4" customHeight="1" thickBot="1" x14ac:dyDescent="0.35">
      <c r="A172" s="612" t="s">
        <v>57</v>
      </c>
      <c r="B172" s="592">
        <v>5511.44837849745</v>
      </c>
      <c r="C172" s="592">
        <v>5014.0383700000002</v>
      </c>
      <c r="D172" s="593">
        <v>-497.41000849744802</v>
      </c>
      <c r="E172" s="599">
        <v>0.90974967479699997</v>
      </c>
      <c r="F172" s="592">
        <v>5932.00680464984</v>
      </c>
      <c r="G172" s="593">
        <v>988.66780077497401</v>
      </c>
      <c r="H172" s="595">
        <v>380.26181000000003</v>
      </c>
      <c r="I172" s="592">
        <v>808.87329999999997</v>
      </c>
      <c r="J172" s="593">
        <v>-179.79450077497401</v>
      </c>
      <c r="K172" s="600">
        <v>0.136357446415</v>
      </c>
    </row>
    <row r="173" spans="1:11" ht="14.4" customHeight="1" thickBot="1" x14ac:dyDescent="0.35">
      <c r="A173" s="608" t="s">
        <v>463</v>
      </c>
      <c r="B173" s="592">
        <v>74.999999999999005</v>
      </c>
      <c r="C173" s="592">
        <v>117.94199999999999</v>
      </c>
      <c r="D173" s="593">
        <v>42.942000000001002</v>
      </c>
      <c r="E173" s="599">
        <v>1.57256</v>
      </c>
      <c r="F173" s="592">
        <v>54</v>
      </c>
      <c r="G173" s="593">
        <v>9</v>
      </c>
      <c r="H173" s="595">
        <v>10.6205</v>
      </c>
      <c r="I173" s="592">
        <v>21.241</v>
      </c>
      <c r="J173" s="593">
        <v>12.241</v>
      </c>
      <c r="K173" s="600">
        <v>0.39335185185100002</v>
      </c>
    </row>
    <row r="174" spans="1:11" ht="14.4" customHeight="1" thickBot="1" x14ac:dyDescent="0.35">
      <c r="A174" s="609" t="s">
        <v>464</v>
      </c>
      <c r="B174" s="587">
        <v>74.999999999999005</v>
      </c>
      <c r="C174" s="587">
        <v>117.94199999999999</v>
      </c>
      <c r="D174" s="588">
        <v>42.942000000001002</v>
      </c>
      <c r="E174" s="589">
        <v>1.57256</v>
      </c>
      <c r="F174" s="587">
        <v>54</v>
      </c>
      <c r="G174" s="588">
        <v>9</v>
      </c>
      <c r="H174" s="590">
        <v>10.6205</v>
      </c>
      <c r="I174" s="587">
        <v>21.241</v>
      </c>
      <c r="J174" s="588">
        <v>12.241</v>
      </c>
      <c r="K174" s="591">
        <v>0.39335185185100002</v>
      </c>
    </row>
    <row r="175" spans="1:11" ht="14.4" customHeight="1" thickBot="1" x14ac:dyDescent="0.35">
      <c r="A175" s="608" t="s">
        <v>465</v>
      </c>
      <c r="B175" s="592">
        <v>75.911132447857</v>
      </c>
      <c r="C175" s="592">
        <v>40.950000000000003</v>
      </c>
      <c r="D175" s="593">
        <v>-34.961132447856997</v>
      </c>
      <c r="E175" s="599">
        <v>0.53944656968600002</v>
      </c>
      <c r="F175" s="592">
        <v>48.006804649844</v>
      </c>
      <c r="G175" s="593">
        <v>8.0011341083069993</v>
      </c>
      <c r="H175" s="595">
        <v>9.26</v>
      </c>
      <c r="I175" s="592">
        <v>13.81</v>
      </c>
      <c r="J175" s="593">
        <v>5.8088658916920002</v>
      </c>
      <c r="K175" s="600">
        <v>0.28766755256299997</v>
      </c>
    </row>
    <row r="176" spans="1:11" ht="14.4" customHeight="1" thickBot="1" x14ac:dyDescent="0.35">
      <c r="A176" s="609" t="s">
        <v>466</v>
      </c>
      <c r="B176" s="587">
        <v>75.911132447857</v>
      </c>
      <c r="C176" s="587">
        <v>40.950000000000003</v>
      </c>
      <c r="D176" s="588">
        <v>-34.961132447856997</v>
      </c>
      <c r="E176" s="589">
        <v>0.53944656968600002</v>
      </c>
      <c r="F176" s="587">
        <v>48.006804649844</v>
      </c>
      <c r="G176" s="588">
        <v>8.0011341083069993</v>
      </c>
      <c r="H176" s="590">
        <v>9.26</v>
      </c>
      <c r="I176" s="587">
        <v>13.81</v>
      </c>
      <c r="J176" s="588">
        <v>5.8088658916920002</v>
      </c>
      <c r="K176" s="591">
        <v>0.28766755256299997</v>
      </c>
    </row>
    <row r="177" spans="1:11" ht="14.4" customHeight="1" thickBot="1" x14ac:dyDescent="0.35">
      <c r="A177" s="608" t="s">
        <v>467</v>
      </c>
      <c r="B177" s="592">
        <v>196.53724604965899</v>
      </c>
      <c r="C177" s="592">
        <v>184.25290000000001</v>
      </c>
      <c r="D177" s="593">
        <v>-12.284346049658</v>
      </c>
      <c r="E177" s="599">
        <v>0.93749609147000001</v>
      </c>
      <c r="F177" s="592">
        <v>203</v>
      </c>
      <c r="G177" s="593">
        <v>33.833333333333002</v>
      </c>
      <c r="H177" s="595">
        <v>12.898</v>
      </c>
      <c r="I177" s="592">
        <v>27.051100000000002</v>
      </c>
      <c r="J177" s="593">
        <v>-6.782233333333</v>
      </c>
      <c r="K177" s="600">
        <v>0.133256650246</v>
      </c>
    </row>
    <row r="178" spans="1:11" ht="14.4" customHeight="1" thickBot="1" x14ac:dyDescent="0.35">
      <c r="A178" s="609" t="s">
        <v>468</v>
      </c>
      <c r="B178" s="587">
        <v>196.53724604965899</v>
      </c>
      <c r="C178" s="587">
        <v>184.25290000000001</v>
      </c>
      <c r="D178" s="588">
        <v>-12.284346049658</v>
      </c>
      <c r="E178" s="589">
        <v>0.93749609147000001</v>
      </c>
      <c r="F178" s="587">
        <v>203</v>
      </c>
      <c r="G178" s="588">
        <v>33.833333333333002</v>
      </c>
      <c r="H178" s="590">
        <v>12.898</v>
      </c>
      <c r="I178" s="587">
        <v>27.051100000000002</v>
      </c>
      <c r="J178" s="588">
        <v>-6.782233333333</v>
      </c>
      <c r="K178" s="591">
        <v>0.133256650246</v>
      </c>
    </row>
    <row r="179" spans="1:11" ht="14.4" customHeight="1" thickBot="1" x14ac:dyDescent="0.35">
      <c r="A179" s="608" t="s">
        <v>469</v>
      </c>
      <c r="B179" s="592">
        <v>0</v>
      </c>
      <c r="C179" s="592">
        <v>6.3460000000000001</v>
      </c>
      <c r="D179" s="593">
        <v>6.3460000000000001</v>
      </c>
      <c r="E179" s="594" t="s">
        <v>299</v>
      </c>
      <c r="F179" s="592">
        <v>4.9406564584124654E-324</v>
      </c>
      <c r="G179" s="593">
        <v>0</v>
      </c>
      <c r="H179" s="595">
        <v>0.14000000000000001</v>
      </c>
      <c r="I179" s="592">
        <v>1.246</v>
      </c>
      <c r="J179" s="593">
        <v>1.246</v>
      </c>
      <c r="K179" s="596" t="s">
        <v>305</v>
      </c>
    </row>
    <row r="180" spans="1:11" ht="14.4" customHeight="1" thickBot="1" x14ac:dyDescent="0.35">
      <c r="A180" s="609" t="s">
        <v>470</v>
      </c>
      <c r="B180" s="587">
        <v>0</v>
      </c>
      <c r="C180" s="587">
        <v>6.3460000000000001</v>
      </c>
      <c r="D180" s="588">
        <v>6.3460000000000001</v>
      </c>
      <c r="E180" s="597" t="s">
        <v>299</v>
      </c>
      <c r="F180" s="587">
        <v>4.9406564584124654E-324</v>
      </c>
      <c r="G180" s="588">
        <v>0</v>
      </c>
      <c r="H180" s="590">
        <v>0.14000000000000001</v>
      </c>
      <c r="I180" s="587">
        <v>1.246</v>
      </c>
      <c r="J180" s="588">
        <v>1.246</v>
      </c>
      <c r="K180" s="598" t="s">
        <v>305</v>
      </c>
    </row>
    <row r="181" spans="1:11" ht="14.4" customHeight="1" thickBot="1" x14ac:dyDescent="0.35">
      <c r="A181" s="608" t="s">
        <v>471</v>
      </c>
      <c r="B181" s="592">
        <v>2497.99999999997</v>
      </c>
      <c r="C181" s="592">
        <v>2216.1567300000002</v>
      </c>
      <c r="D181" s="593">
        <v>-281.84326999996802</v>
      </c>
      <c r="E181" s="599">
        <v>0.88717242994300005</v>
      </c>
      <c r="F181" s="592">
        <v>3090</v>
      </c>
      <c r="G181" s="593">
        <v>515</v>
      </c>
      <c r="H181" s="595">
        <v>135.62028000000001</v>
      </c>
      <c r="I181" s="592">
        <v>314.42667999999998</v>
      </c>
      <c r="J181" s="593">
        <v>-200.57332</v>
      </c>
      <c r="K181" s="600">
        <v>0.10175620711900001</v>
      </c>
    </row>
    <row r="182" spans="1:11" ht="14.4" customHeight="1" thickBot="1" x14ac:dyDescent="0.35">
      <c r="A182" s="609" t="s">
        <v>472</v>
      </c>
      <c r="B182" s="587">
        <v>2497.99999999997</v>
      </c>
      <c r="C182" s="587">
        <v>2215.9859700000002</v>
      </c>
      <c r="D182" s="588">
        <v>-282.01402999996799</v>
      </c>
      <c r="E182" s="589">
        <v>0.88710407125699997</v>
      </c>
      <c r="F182" s="587">
        <v>3080</v>
      </c>
      <c r="G182" s="588">
        <v>513.33333333333303</v>
      </c>
      <c r="H182" s="590">
        <v>134.84164000000001</v>
      </c>
      <c r="I182" s="587">
        <v>312.86939999999998</v>
      </c>
      <c r="J182" s="588">
        <v>-200.46393333333299</v>
      </c>
      <c r="K182" s="591">
        <v>0.10158097402500001</v>
      </c>
    </row>
    <row r="183" spans="1:11" ht="14.4" customHeight="1" thickBot="1" x14ac:dyDescent="0.35">
      <c r="A183" s="609" t="s">
        <v>473</v>
      </c>
      <c r="B183" s="587">
        <v>0</v>
      </c>
      <c r="C183" s="587">
        <v>0.17076</v>
      </c>
      <c r="D183" s="588">
        <v>0.17076</v>
      </c>
      <c r="E183" s="597" t="s">
        <v>299</v>
      </c>
      <c r="F183" s="587">
        <v>10</v>
      </c>
      <c r="G183" s="588">
        <v>1.6666666666659999</v>
      </c>
      <c r="H183" s="590">
        <v>0.77864</v>
      </c>
      <c r="I183" s="587">
        <v>1.55728</v>
      </c>
      <c r="J183" s="588">
        <v>-0.109386666666</v>
      </c>
      <c r="K183" s="591">
        <v>0.15572800000000001</v>
      </c>
    </row>
    <row r="184" spans="1:11" ht="14.4" customHeight="1" thickBot="1" x14ac:dyDescent="0.35">
      <c r="A184" s="608" t="s">
        <v>474</v>
      </c>
      <c r="B184" s="592">
        <v>0</v>
      </c>
      <c r="C184" s="592">
        <v>46.120080000000002</v>
      </c>
      <c r="D184" s="593">
        <v>46.120080000000002</v>
      </c>
      <c r="E184" s="594" t="s">
        <v>299</v>
      </c>
      <c r="F184" s="592">
        <v>4.9406564584124654E-324</v>
      </c>
      <c r="G184" s="593">
        <v>0</v>
      </c>
      <c r="H184" s="595">
        <v>5.1757799999999996</v>
      </c>
      <c r="I184" s="592">
        <v>10.237629999999999</v>
      </c>
      <c r="J184" s="593">
        <v>10.237629999999999</v>
      </c>
      <c r="K184" s="596" t="s">
        <v>305</v>
      </c>
    </row>
    <row r="185" spans="1:11" ht="14.4" customHeight="1" thickBot="1" x14ac:dyDescent="0.35">
      <c r="A185" s="609" t="s">
        <v>475</v>
      </c>
      <c r="B185" s="587">
        <v>0</v>
      </c>
      <c r="C185" s="587">
        <v>46.120080000000002</v>
      </c>
      <c r="D185" s="588">
        <v>46.120080000000002</v>
      </c>
      <c r="E185" s="597" t="s">
        <v>299</v>
      </c>
      <c r="F185" s="587">
        <v>4.9406564584124654E-324</v>
      </c>
      <c r="G185" s="588">
        <v>0</v>
      </c>
      <c r="H185" s="590">
        <v>5.1757799999999996</v>
      </c>
      <c r="I185" s="587">
        <v>10.237629999999999</v>
      </c>
      <c r="J185" s="588">
        <v>10.237629999999999</v>
      </c>
      <c r="K185" s="598" t="s">
        <v>305</v>
      </c>
    </row>
    <row r="186" spans="1:11" ht="14.4" customHeight="1" thickBot="1" x14ac:dyDescent="0.35">
      <c r="A186" s="608" t="s">
        <v>476</v>
      </c>
      <c r="B186" s="592">
        <v>2665.99999999997</v>
      </c>
      <c r="C186" s="592">
        <v>2402.2706600000001</v>
      </c>
      <c r="D186" s="593">
        <v>-263.72933999996502</v>
      </c>
      <c r="E186" s="599">
        <v>0.90107676669100001</v>
      </c>
      <c r="F186" s="592">
        <v>2537</v>
      </c>
      <c r="G186" s="593">
        <v>422.83333333333297</v>
      </c>
      <c r="H186" s="595">
        <v>206.54724999999999</v>
      </c>
      <c r="I186" s="592">
        <v>420.86088999999998</v>
      </c>
      <c r="J186" s="593">
        <v>-1.972443333333</v>
      </c>
      <c r="K186" s="600">
        <v>0.16588919590000001</v>
      </c>
    </row>
    <row r="187" spans="1:11" ht="14.4" customHeight="1" thickBot="1" x14ac:dyDescent="0.35">
      <c r="A187" s="609" t="s">
        <v>477</v>
      </c>
      <c r="B187" s="587">
        <v>2665.99999999997</v>
      </c>
      <c r="C187" s="587">
        <v>2402.2706600000001</v>
      </c>
      <c r="D187" s="588">
        <v>-263.72933999996502</v>
      </c>
      <c r="E187" s="589">
        <v>0.90107676669100001</v>
      </c>
      <c r="F187" s="587">
        <v>2537</v>
      </c>
      <c r="G187" s="588">
        <v>422.83333333333297</v>
      </c>
      <c r="H187" s="590">
        <v>206.54724999999999</v>
      </c>
      <c r="I187" s="587">
        <v>420.86088999999998</v>
      </c>
      <c r="J187" s="588">
        <v>-1.972443333333</v>
      </c>
      <c r="K187" s="591">
        <v>0.16588919590000001</v>
      </c>
    </row>
    <row r="188" spans="1:11" ht="14.4" customHeight="1" thickBot="1" x14ac:dyDescent="0.35">
      <c r="A188" s="613" t="s">
        <v>478</v>
      </c>
      <c r="B188" s="592">
        <v>0</v>
      </c>
      <c r="C188" s="592">
        <v>230.39089999999999</v>
      </c>
      <c r="D188" s="593">
        <v>230.39089999999999</v>
      </c>
      <c r="E188" s="594" t="s">
        <v>299</v>
      </c>
      <c r="F188" s="592">
        <v>4.9406564584124654E-324</v>
      </c>
      <c r="G188" s="593">
        <v>0</v>
      </c>
      <c r="H188" s="595">
        <v>11.244</v>
      </c>
      <c r="I188" s="592">
        <v>35.305</v>
      </c>
      <c r="J188" s="593">
        <v>35.305</v>
      </c>
      <c r="K188" s="596" t="s">
        <v>305</v>
      </c>
    </row>
    <row r="189" spans="1:11" ht="14.4" customHeight="1" thickBot="1" x14ac:dyDescent="0.35">
      <c r="A189" s="610" t="s">
        <v>479</v>
      </c>
      <c r="B189" s="592">
        <v>0</v>
      </c>
      <c r="C189" s="592">
        <v>230.39089999999999</v>
      </c>
      <c r="D189" s="593">
        <v>230.39089999999999</v>
      </c>
      <c r="E189" s="594" t="s">
        <v>299</v>
      </c>
      <c r="F189" s="592">
        <v>4.9406564584124654E-324</v>
      </c>
      <c r="G189" s="593">
        <v>0</v>
      </c>
      <c r="H189" s="595">
        <v>11.244</v>
      </c>
      <c r="I189" s="592">
        <v>35.305</v>
      </c>
      <c r="J189" s="593">
        <v>35.305</v>
      </c>
      <c r="K189" s="596" t="s">
        <v>305</v>
      </c>
    </row>
    <row r="190" spans="1:11" ht="14.4" customHeight="1" thickBot="1" x14ac:dyDescent="0.35">
      <c r="A190" s="612" t="s">
        <v>480</v>
      </c>
      <c r="B190" s="592">
        <v>0</v>
      </c>
      <c r="C190" s="592">
        <v>230.39089999999999</v>
      </c>
      <c r="D190" s="593">
        <v>230.39089999999999</v>
      </c>
      <c r="E190" s="594" t="s">
        <v>299</v>
      </c>
      <c r="F190" s="592">
        <v>4.9406564584124654E-324</v>
      </c>
      <c r="G190" s="593">
        <v>0</v>
      </c>
      <c r="H190" s="595">
        <v>11.244</v>
      </c>
      <c r="I190" s="592">
        <v>35.305</v>
      </c>
      <c r="J190" s="593">
        <v>35.305</v>
      </c>
      <c r="K190" s="596" t="s">
        <v>305</v>
      </c>
    </row>
    <row r="191" spans="1:11" ht="14.4" customHeight="1" thickBot="1" x14ac:dyDescent="0.35">
      <c r="A191" s="608" t="s">
        <v>481</v>
      </c>
      <c r="B191" s="592">
        <v>0</v>
      </c>
      <c r="C191" s="592">
        <v>230.39089999999999</v>
      </c>
      <c r="D191" s="593">
        <v>230.39089999999999</v>
      </c>
      <c r="E191" s="594" t="s">
        <v>299</v>
      </c>
      <c r="F191" s="592">
        <v>4.9406564584124654E-324</v>
      </c>
      <c r="G191" s="593">
        <v>0</v>
      </c>
      <c r="H191" s="595">
        <v>11.244</v>
      </c>
      <c r="I191" s="592">
        <v>35.305</v>
      </c>
      <c r="J191" s="593">
        <v>35.305</v>
      </c>
      <c r="K191" s="596" t="s">
        <v>305</v>
      </c>
    </row>
    <row r="192" spans="1:11" ht="14.4" customHeight="1" thickBot="1" x14ac:dyDescent="0.35">
      <c r="A192" s="609" t="s">
        <v>482</v>
      </c>
      <c r="B192" s="587">
        <v>0</v>
      </c>
      <c r="C192" s="587">
        <v>230.39089999999999</v>
      </c>
      <c r="D192" s="588">
        <v>230.39089999999999</v>
      </c>
      <c r="E192" s="597" t="s">
        <v>299</v>
      </c>
      <c r="F192" s="587">
        <v>4.9406564584124654E-324</v>
      </c>
      <c r="G192" s="588">
        <v>0</v>
      </c>
      <c r="H192" s="590">
        <v>11.244</v>
      </c>
      <c r="I192" s="587">
        <v>35.305</v>
      </c>
      <c r="J192" s="588">
        <v>35.305</v>
      </c>
      <c r="K192" s="598" t="s">
        <v>305</v>
      </c>
    </row>
    <row r="193" spans="1:11" ht="14.4" customHeight="1" thickBot="1" x14ac:dyDescent="0.35">
      <c r="A193" s="614"/>
      <c r="B193" s="587">
        <v>33959.797324043699</v>
      </c>
      <c r="C193" s="587">
        <v>53522.127740000004</v>
      </c>
      <c r="D193" s="588">
        <v>19562.330415956301</v>
      </c>
      <c r="E193" s="589">
        <v>1.576043791701</v>
      </c>
      <c r="F193" s="587">
        <v>59740.063827172897</v>
      </c>
      <c r="G193" s="588">
        <v>9956.6773045288191</v>
      </c>
      <c r="H193" s="590">
        <v>5616.5775100000001</v>
      </c>
      <c r="I193" s="587">
        <v>11068.251969999999</v>
      </c>
      <c r="J193" s="588">
        <v>1111.57466547115</v>
      </c>
      <c r="K193" s="591">
        <v>0.18527352099899999</v>
      </c>
    </row>
    <row r="194" spans="1:11" ht="14.4" customHeight="1" thickBot="1" x14ac:dyDescent="0.35">
      <c r="A194" s="615" t="s">
        <v>69</v>
      </c>
      <c r="B194" s="601">
        <v>33959.797324043597</v>
      </c>
      <c r="C194" s="601">
        <v>53522.127740000004</v>
      </c>
      <c r="D194" s="602">
        <v>19562.3304159564</v>
      </c>
      <c r="E194" s="603" t="s">
        <v>299</v>
      </c>
      <c r="F194" s="601">
        <v>59740.063827172897</v>
      </c>
      <c r="G194" s="602">
        <v>9956.6773045288191</v>
      </c>
      <c r="H194" s="601">
        <v>5616.5775100000001</v>
      </c>
      <c r="I194" s="601">
        <v>11068.251969999999</v>
      </c>
      <c r="J194" s="602">
        <v>1111.57466547115</v>
      </c>
      <c r="K194" s="604">
        <v>0.18527352099899999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4" width="12.77734375" style="345" bestFit="1" customWidth="1"/>
    <col min="5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8" ht="18.600000000000001" customHeight="1" thickBot="1" x14ac:dyDescent="0.4">
      <c r="A1" s="486" t="s">
        <v>180</v>
      </c>
      <c r="B1" s="487"/>
      <c r="C1" s="487"/>
      <c r="D1" s="487"/>
      <c r="E1" s="487"/>
      <c r="F1" s="487"/>
      <c r="G1" s="463"/>
    </row>
    <row r="2" spans="1:8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8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213</v>
      </c>
      <c r="E3" s="211" t="s">
        <v>4</v>
      </c>
      <c r="F3" s="211" t="s">
        <v>5</v>
      </c>
      <c r="G3" s="212" t="s">
        <v>188</v>
      </c>
    </row>
    <row r="4" spans="1:8" ht="14.4" customHeight="1" x14ac:dyDescent="0.3">
      <c r="A4" s="616" t="s">
        <v>483</v>
      </c>
      <c r="B4" s="617" t="s">
        <v>484</v>
      </c>
      <c r="C4" s="618" t="s">
        <v>485</v>
      </c>
      <c r="D4" s="618" t="s">
        <v>484</v>
      </c>
      <c r="E4" s="618" t="s">
        <v>484</v>
      </c>
      <c r="F4" s="619" t="s">
        <v>484</v>
      </c>
      <c r="G4" s="618" t="s">
        <v>484</v>
      </c>
      <c r="H4" s="618" t="s">
        <v>77</v>
      </c>
    </row>
    <row r="5" spans="1:8" ht="14.4" customHeight="1" x14ac:dyDescent="0.3">
      <c r="A5" s="616" t="s">
        <v>483</v>
      </c>
      <c r="B5" s="617" t="s">
        <v>486</v>
      </c>
      <c r="C5" s="618" t="s">
        <v>487</v>
      </c>
      <c r="D5" s="618">
        <v>32672.513724205317</v>
      </c>
      <c r="E5" s="618">
        <v>10223.645917015941</v>
      </c>
      <c r="F5" s="619">
        <v>0.31291274382239492</v>
      </c>
      <c r="G5" s="618">
        <v>-22448.867807189374</v>
      </c>
      <c r="H5" s="618" t="s">
        <v>2</v>
      </c>
    </row>
    <row r="6" spans="1:8" ht="14.4" customHeight="1" x14ac:dyDescent="0.3">
      <c r="A6" s="616" t="s">
        <v>483</v>
      </c>
      <c r="B6" s="617" t="s">
        <v>488</v>
      </c>
      <c r="C6" s="618" t="s">
        <v>489</v>
      </c>
      <c r="D6" s="618">
        <v>566986.70230058173</v>
      </c>
      <c r="E6" s="618">
        <v>552746.45330434898</v>
      </c>
      <c r="F6" s="619">
        <v>0.97488433337421831</v>
      </c>
      <c r="G6" s="618">
        <v>-14240.248996232753</v>
      </c>
      <c r="H6" s="618" t="s">
        <v>2</v>
      </c>
    </row>
    <row r="7" spans="1:8" ht="14.4" customHeight="1" x14ac:dyDescent="0.3">
      <c r="A7" s="616" t="s">
        <v>483</v>
      </c>
      <c r="B7" s="617" t="s">
        <v>490</v>
      </c>
      <c r="C7" s="618" t="s">
        <v>491</v>
      </c>
      <c r="D7" s="618">
        <v>87.821615213838001</v>
      </c>
      <c r="E7" s="618">
        <v>485.2999999999999</v>
      </c>
      <c r="F7" s="619">
        <v>5.5259744291691355</v>
      </c>
      <c r="G7" s="618">
        <v>397.47838478616188</v>
      </c>
      <c r="H7" s="618" t="s">
        <v>2</v>
      </c>
    </row>
    <row r="8" spans="1:8" ht="14.4" customHeight="1" x14ac:dyDescent="0.3">
      <c r="A8" s="616" t="s">
        <v>483</v>
      </c>
      <c r="B8" s="617" t="s">
        <v>492</v>
      </c>
      <c r="C8" s="618" t="s">
        <v>493</v>
      </c>
      <c r="D8" s="618">
        <v>333333.33333333331</v>
      </c>
      <c r="E8" s="618">
        <v>61708.3</v>
      </c>
      <c r="F8" s="619">
        <v>0.18512490000000001</v>
      </c>
      <c r="G8" s="618">
        <v>-271625.03333333333</v>
      </c>
      <c r="H8" s="618" t="s">
        <v>2</v>
      </c>
    </row>
    <row r="9" spans="1:8" ht="14.4" customHeight="1" x14ac:dyDescent="0.3">
      <c r="A9" s="616" t="s">
        <v>483</v>
      </c>
      <c r="B9" s="617" t="s">
        <v>6</v>
      </c>
      <c r="C9" s="618" t="s">
        <v>485</v>
      </c>
      <c r="D9" s="618">
        <v>935413.70430666732</v>
      </c>
      <c r="E9" s="618">
        <v>625163.69922136504</v>
      </c>
      <c r="F9" s="619">
        <v>0.66832856557809261</v>
      </c>
      <c r="G9" s="618">
        <v>-310250.00508530228</v>
      </c>
      <c r="H9" s="618" t="s">
        <v>494</v>
      </c>
    </row>
    <row r="11" spans="1:8" ht="14.4" customHeight="1" x14ac:dyDescent="0.3">
      <c r="A11" s="616" t="s">
        <v>483</v>
      </c>
      <c r="B11" s="617" t="s">
        <v>484</v>
      </c>
      <c r="C11" s="618" t="s">
        <v>485</v>
      </c>
      <c r="D11" s="618" t="s">
        <v>484</v>
      </c>
      <c r="E11" s="618" t="s">
        <v>484</v>
      </c>
      <c r="F11" s="619" t="s">
        <v>484</v>
      </c>
      <c r="G11" s="618" t="s">
        <v>484</v>
      </c>
      <c r="H11" s="618" t="s">
        <v>77</v>
      </c>
    </row>
    <row r="12" spans="1:8" ht="14.4" customHeight="1" x14ac:dyDescent="0.3">
      <c r="A12" s="616" t="s">
        <v>495</v>
      </c>
      <c r="B12" s="617" t="s">
        <v>486</v>
      </c>
      <c r="C12" s="618" t="s">
        <v>487</v>
      </c>
      <c r="D12" s="618">
        <v>4669.3242923361331</v>
      </c>
      <c r="E12" s="618">
        <v>1557.0570121813589</v>
      </c>
      <c r="F12" s="619">
        <v>0.33346516855490022</v>
      </c>
      <c r="G12" s="618">
        <v>-3112.2672801547742</v>
      </c>
      <c r="H12" s="618" t="s">
        <v>2</v>
      </c>
    </row>
    <row r="13" spans="1:8" ht="14.4" customHeight="1" x14ac:dyDescent="0.3">
      <c r="A13" s="616" t="s">
        <v>495</v>
      </c>
      <c r="B13" s="617" t="s">
        <v>490</v>
      </c>
      <c r="C13" s="618" t="s">
        <v>491</v>
      </c>
      <c r="D13" s="618">
        <v>87.821615213838001</v>
      </c>
      <c r="E13" s="618">
        <v>485.2999999999999</v>
      </c>
      <c r="F13" s="619">
        <v>5.5259744291691355</v>
      </c>
      <c r="G13" s="618">
        <v>397.47838478616188</v>
      </c>
      <c r="H13" s="618" t="s">
        <v>2</v>
      </c>
    </row>
    <row r="14" spans="1:8" ht="14.4" customHeight="1" x14ac:dyDescent="0.3">
      <c r="A14" s="616" t="s">
        <v>495</v>
      </c>
      <c r="B14" s="617" t="s">
        <v>6</v>
      </c>
      <c r="C14" s="618" t="s">
        <v>496</v>
      </c>
      <c r="D14" s="618">
        <v>4757.1459075499715</v>
      </c>
      <c r="E14" s="618">
        <v>2042.3570121813589</v>
      </c>
      <c r="F14" s="619">
        <v>0.42932402156090582</v>
      </c>
      <c r="G14" s="618">
        <v>-2714.7888953686124</v>
      </c>
      <c r="H14" s="618" t="s">
        <v>497</v>
      </c>
    </row>
    <row r="15" spans="1:8" ht="14.4" customHeight="1" x14ac:dyDescent="0.3">
      <c r="A15" s="616" t="s">
        <v>484</v>
      </c>
      <c r="B15" s="617" t="s">
        <v>484</v>
      </c>
      <c r="C15" s="618" t="s">
        <v>484</v>
      </c>
      <c r="D15" s="618" t="s">
        <v>484</v>
      </c>
      <c r="E15" s="618" t="s">
        <v>484</v>
      </c>
      <c r="F15" s="619" t="s">
        <v>484</v>
      </c>
      <c r="G15" s="618" t="s">
        <v>484</v>
      </c>
      <c r="H15" s="618" t="s">
        <v>498</v>
      </c>
    </row>
    <row r="16" spans="1:8" ht="14.4" customHeight="1" x14ac:dyDescent="0.3">
      <c r="A16" s="616" t="s">
        <v>499</v>
      </c>
      <c r="B16" s="617" t="s">
        <v>486</v>
      </c>
      <c r="C16" s="618" t="s">
        <v>487</v>
      </c>
      <c r="D16" s="618">
        <v>5367.7412695621506</v>
      </c>
      <c r="E16" s="618">
        <v>4569.6763543917987</v>
      </c>
      <c r="F16" s="619">
        <v>0.85132202259900458</v>
      </c>
      <c r="G16" s="618">
        <v>-798.06491517035192</v>
      </c>
      <c r="H16" s="618" t="s">
        <v>2</v>
      </c>
    </row>
    <row r="17" spans="1:8" ht="14.4" customHeight="1" x14ac:dyDescent="0.3">
      <c r="A17" s="616" t="s">
        <v>499</v>
      </c>
      <c r="B17" s="617" t="s">
        <v>6</v>
      </c>
      <c r="C17" s="618" t="s">
        <v>500</v>
      </c>
      <c r="D17" s="618">
        <v>5367.7412695621506</v>
      </c>
      <c r="E17" s="618">
        <v>4569.6763543917987</v>
      </c>
      <c r="F17" s="619">
        <v>0.85132202259900458</v>
      </c>
      <c r="G17" s="618">
        <v>-798.06491517035192</v>
      </c>
      <c r="H17" s="618" t="s">
        <v>497</v>
      </c>
    </row>
    <row r="18" spans="1:8" ht="14.4" customHeight="1" x14ac:dyDescent="0.3">
      <c r="A18" s="616" t="s">
        <v>484</v>
      </c>
      <c r="B18" s="617" t="s">
        <v>484</v>
      </c>
      <c r="C18" s="618" t="s">
        <v>484</v>
      </c>
      <c r="D18" s="618" t="s">
        <v>484</v>
      </c>
      <c r="E18" s="618" t="s">
        <v>484</v>
      </c>
      <c r="F18" s="619" t="s">
        <v>484</v>
      </c>
      <c r="G18" s="618" t="s">
        <v>484</v>
      </c>
      <c r="H18" s="618" t="s">
        <v>498</v>
      </c>
    </row>
    <row r="19" spans="1:8" ht="14.4" customHeight="1" x14ac:dyDescent="0.3">
      <c r="A19" s="616" t="s">
        <v>501</v>
      </c>
      <c r="B19" s="617" t="s">
        <v>486</v>
      </c>
      <c r="C19" s="618" t="s">
        <v>487</v>
      </c>
      <c r="D19" s="618">
        <v>22306.944512211165</v>
      </c>
      <c r="E19" s="618">
        <v>4096.9125504427857</v>
      </c>
      <c r="F19" s="619">
        <v>0.18366085719180736</v>
      </c>
      <c r="G19" s="618">
        <v>-18210.031961768378</v>
      </c>
      <c r="H19" s="618" t="s">
        <v>2</v>
      </c>
    </row>
    <row r="20" spans="1:8" ht="14.4" customHeight="1" x14ac:dyDescent="0.3">
      <c r="A20" s="616" t="s">
        <v>501</v>
      </c>
      <c r="B20" s="617" t="s">
        <v>488</v>
      </c>
      <c r="C20" s="618" t="s">
        <v>489</v>
      </c>
      <c r="D20" s="618">
        <v>566986.70230058173</v>
      </c>
      <c r="E20" s="618">
        <v>552746.45330434898</v>
      </c>
      <c r="F20" s="619">
        <v>0.97488433337421831</v>
      </c>
      <c r="G20" s="618">
        <v>-14240.248996232753</v>
      </c>
      <c r="H20" s="618" t="s">
        <v>2</v>
      </c>
    </row>
    <row r="21" spans="1:8" ht="14.4" customHeight="1" x14ac:dyDescent="0.3">
      <c r="A21" s="616" t="s">
        <v>501</v>
      </c>
      <c r="B21" s="617" t="s">
        <v>6</v>
      </c>
      <c r="C21" s="618" t="s">
        <v>502</v>
      </c>
      <c r="D21" s="618">
        <v>591626.98014612612</v>
      </c>
      <c r="E21" s="618">
        <v>556843.36585479171</v>
      </c>
      <c r="F21" s="619">
        <v>0.94120684914886199</v>
      </c>
      <c r="G21" s="618">
        <v>-34783.614291334408</v>
      </c>
      <c r="H21" s="618" t="s">
        <v>497</v>
      </c>
    </row>
    <row r="22" spans="1:8" ht="14.4" customHeight="1" x14ac:dyDescent="0.3">
      <c r="A22" s="616" t="s">
        <v>484</v>
      </c>
      <c r="B22" s="617" t="s">
        <v>484</v>
      </c>
      <c r="C22" s="618" t="s">
        <v>484</v>
      </c>
      <c r="D22" s="618" t="s">
        <v>484</v>
      </c>
      <c r="E22" s="618" t="s">
        <v>484</v>
      </c>
      <c r="F22" s="619" t="s">
        <v>484</v>
      </c>
      <c r="G22" s="618" t="s">
        <v>484</v>
      </c>
      <c r="H22" s="618" t="s">
        <v>498</v>
      </c>
    </row>
    <row r="23" spans="1:8" ht="14.4" customHeight="1" x14ac:dyDescent="0.3">
      <c r="A23" s="616" t="s">
        <v>503</v>
      </c>
      <c r="B23" s="617" t="s">
        <v>492</v>
      </c>
      <c r="C23" s="618" t="s">
        <v>493</v>
      </c>
      <c r="D23" s="618">
        <v>333333.33333333331</v>
      </c>
      <c r="E23" s="618">
        <v>61708.3</v>
      </c>
      <c r="F23" s="619">
        <v>0.18512490000000001</v>
      </c>
      <c r="G23" s="618">
        <v>-271625.03333333333</v>
      </c>
      <c r="H23" s="618" t="s">
        <v>2</v>
      </c>
    </row>
    <row r="24" spans="1:8" ht="14.4" customHeight="1" x14ac:dyDescent="0.3">
      <c r="A24" s="616" t="s">
        <v>503</v>
      </c>
      <c r="B24" s="617" t="s">
        <v>6</v>
      </c>
      <c r="C24" s="618" t="s">
        <v>504</v>
      </c>
      <c r="D24" s="618">
        <v>333333.33333333331</v>
      </c>
      <c r="E24" s="618">
        <v>61708.3</v>
      </c>
      <c r="F24" s="619">
        <v>0.18512490000000001</v>
      </c>
      <c r="G24" s="618">
        <v>-271625.03333333333</v>
      </c>
      <c r="H24" s="618" t="s">
        <v>497</v>
      </c>
    </row>
    <row r="25" spans="1:8" ht="14.4" customHeight="1" x14ac:dyDescent="0.3">
      <c r="A25" s="616" t="s">
        <v>484</v>
      </c>
      <c r="B25" s="617" t="s">
        <v>484</v>
      </c>
      <c r="C25" s="618" t="s">
        <v>484</v>
      </c>
      <c r="D25" s="618" t="s">
        <v>484</v>
      </c>
      <c r="E25" s="618" t="s">
        <v>484</v>
      </c>
      <c r="F25" s="619" t="s">
        <v>484</v>
      </c>
      <c r="G25" s="618" t="s">
        <v>484</v>
      </c>
      <c r="H25" s="618" t="s">
        <v>498</v>
      </c>
    </row>
    <row r="26" spans="1:8" ht="14.4" customHeight="1" x14ac:dyDescent="0.3">
      <c r="A26" s="616" t="s">
        <v>483</v>
      </c>
      <c r="B26" s="617" t="s">
        <v>6</v>
      </c>
      <c r="C26" s="618" t="s">
        <v>485</v>
      </c>
      <c r="D26" s="618">
        <v>935413.70430666732</v>
      </c>
      <c r="E26" s="618">
        <v>625163.69922136492</v>
      </c>
      <c r="F26" s="619">
        <v>0.6683285655780925</v>
      </c>
      <c r="G26" s="618">
        <v>-310250.0050853024</v>
      </c>
      <c r="H26" s="618" t="s">
        <v>494</v>
      </c>
    </row>
  </sheetData>
  <autoFilter ref="A3:G3"/>
  <mergeCells count="1">
    <mergeCell ref="A1:G1"/>
  </mergeCells>
  <conditionalFormatting sqref="F10 F27:F65536">
    <cfRule type="cellIs" dxfId="65" priority="15" stopIfTrue="1" operator="greaterThan">
      <formula>1</formula>
    </cfRule>
  </conditionalFormatting>
  <conditionalFormatting sqref="B4:B9">
    <cfRule type="expression" dxfId="64" priority="12">
      <formula>AND(LEFT(H4,6)&lt;&gt;"mezera",H4&lt;&gt;"")</formula>
    </cfRule>
  </conditionalFormatting>
  <conditionalFormatting sqref="A4:A9">
    <cfRule type="expression" dxfId="63" priority="10">
      <formula>AND(H4&lt;&gt;"",H4&lt;&gt;"mezeraKL")</formula>
    </cfRule>
  </conditionalFormatting>
  <conditionalFormatting sqref="G4:G9">
    <cfRule type="cellIs" dxfId="62" priority="9" operator="greaterThan">
      <formula>0</formula>
    </cfRule>
  </conditionalFormatting>
  <conditionalFormatting sqref="F4:F9">
    <cfRule type="cellIs" dxfId="61" priority="8" operator="greaterThan">
      <formula>1</formula>
    </cfRule>
  </conditionalFormatting>
  <conditionalFormatting sqref="B4:G9">
    <cfRule type="expression" dxfId="60" priority="11">
      <formula>OR($H4="KL",$H4="SumaKL")</formula>
    </cfRule>
    <cfRule type="expression" dxfId="59" priority="13">
      <formula>$H4="SumaNS"</formula>
    </cfRule>
  </conditionalFormatting>
  <conditionalFormatting sqref="A4:G9">
    <cfRule type="expression" dxfId="58" priority="14">
      <formula>$H4&lt;&gt;""</formula>
    </cfRule>
  </conditionalFormatting>
  <conditionalFormatting sqref="F11:F26">
    <cfRule type="cellIs" dxfId="57" priority="3" operator="greaterThan">
      <formula>1</formula>
    </cfRule>
  </conditionalFormatting>
  <conditionalFormatting sqref="B11:B26">
    <cfRule type="expression" dxfId="56" priority="6">
      <formula>AND(LEFT(H11,6)&lt;&gt;"mezera",H11&lt;&gt;"")</formula>
    </cfRule>
  </conditionalFormatting>
  <conditionalFormatting sqref="A11:A26">
    <cfRule type="expression" dxfId="55" priority="4">
      <formula>AND(H11&lt;&gt;"",H11&lt;&gt;"mezeraKL")</formula>
    </cfRule>
  </conditionalFormatting>
  <conditionalFormatting sqref="G11:G26">
    <cfRule type="cellIs" dxfId="54" priority="2" operator="greaterThan">
      <formula>0</formula>
    </cfRule>
  </conditionalFormatting>
  <conditionalFormatting sqref="B11:G26">
    <cfRule type="expression" dxfId="53" priority="5">
      <formula>OR($H11="KL",$H11="SumaKL")</formula>
    </cfRule>
    <cfRule type="expression" dxfId="52" priority="7">
      <formula>$H11="SumaNS"</formula>
    </cfRule>
  </conditionalFormatting>
  <conditionalFormatting sqref="A11:G26">
    <cfRule type="expression" dxfId="51" priority="1">
      <formula>$H11&lt;&gt;""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5" style="345" customWidth="1"/>
    <col min="8" max="8" width="12.44140625" style="345" hidden="1" customWidth="1" outlineLevel="1"/>
    <col min="9" max="9" width="8.5546875" style="345" hidden="1" customWidth="1" outlineLevel="1"/>
    <col min="10" max="10" width="25.77734375" style="345" customWidth="1" collapsed="1"/>
    <col min="11" max="11" width="8.77734375" style="345" customWidth="1"/>
    <col min="12" max="13" width="7.77734375" style="343" customWidth="1"/>
    <col min="14" max="14" width="11.109375" style="343" customWidth="1"/>
    <col min="15" max="16384" width="8.88671875" style="260"/>
  </cols>
  <sheetData>
    <row r="1" spans="1:14" ht="18.600000000000001" customHeight="1" thickBot="1" x14ac:dyDescent="0.4">
      <c r="A1" s="492" t="s">
        <v>212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</row>
    <row r="2" spans="1:14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7"/>
      <c r="J2" s="347"/>
      <c r="K2" s="347"/>
      <c r="L2" s="348"/>
      <c r="M2" s="348"/>
      <c r="N2" s="348"/>
    </row>
    <row r="3" spans="1:14" ht="14.4" customHeight="1" thickBot="1" x14ac:dyDescent="0.35">
      <c r="A3" s="66"/>
      <c r="B3" s="66"/>
      <c r="C3" s="488"/>
      <c r="D3" s="489"/>
      <c r="E3" s="489"/>
      <c r="F3" s="489"/>
      <c r="G3" s="489"/>
      <c r="H3" s="489"/>
      <c r="I3" s="489"/>
      <c r="J3" s="490" t="s">
        <v>163</v>
      </c>
      <c r="K3" s="491"/>
      <c r="L3" s="213">
        <f>IF(M3&lt;&gt;0,N3/M3,0)</f>
        <v>1590.7473262630153</v>
      </c>
      <c r="M3" s="213">
        <f>SUBTOTAL(9,M5:M1048576)</f>
        <v>393</v>
      </c>
      <c r="N3" s="214">
        <f>SUBTOTAL(9,N5:N1048576)</f>
        <v>625163.69922136504</v>
      </c>
    </row>
    <row r="4" spans="1:14" s="344" customFormat="1" ht="14.4" customHeight="1" thickBot="1" x14ac:dyDescent="0.35">
      <c r="A4" s="620" t="s">
        <v>7</v>
      </c>
      <c r="B4" s="621" t="s">
        <v>8</v>
      </c>
      <c r="C4" s="621" t="s">
        <v>0</v>
      </c>
      <c r="D4" s="621" t="s">
        <v>9</v>
      </c>
      <c r="E4" s="621" t="s">
        <v>10</v>
      </c>
      <c r="F4" s="621" t="s">
        <v>2</v>
      </c>
      <c r="G4" s="621" t="s">
        <v>11</v>
      </c>
      <c r="H4" s="621" t="s">
        <v>12</v>
      </c>
      <c r="I4" s="621" t="s">
        <v>13</v>
      </c>
      <c r="J4" s="622" t="s">
        <v>14</v>
      </c>
      <c r="K4" s="622" t="s">
        <v>15</v>
      </c>
      <c r="L4" s="623" t="s">
        <v>189</v>
      </c>
      <c r="M4" s="623" t="s">
        <v>16</v>
      </c>
      <c r="N4" s="624" t="s">
        <v>206</v>
      </c>
    </row>
    <row r="5" spans="1:14" ht="14.4" customHeight="1" x14ac:dyDescent="0.3">
      <c r="A5" s="625" t="s">
        <v>483</v>
      </c>
      <c r="B5" s="626" t="s">
        <v>485</v>
      </c>
      <c r="C5" s="627" t="s">
        <v>495</v>
      </c>
      <c r="D5" s="628" t="s">
        <v>496</v>
      </c>
      <c r="E5" s="627" t="s">
        <v>486</v>
      </c>
      <c r="F5" s="628" t="s">
        <v>487</v>
      </c>
      <c r="G5" s="627" t="s">
        <v>505</v>
      </c>
      <c r="H5" s="627" t="s">
        <v>506</v>
      </c>
      <c r="I5" s="627" t="s">
        <v>507</v>
      </c>
      <c r="J5" s="627" t="s">
        <v>508</v>
      </c>
      <c r="K5" s="627" t="s">
        <v>509</v>
      </c>
      <c r="L5" s="629">
        <v>84.57017023183694</v>
      </c>
      <c r="M5" s="629">
        <v>1</v>
      </c>
      <c r="N5" s="630">
        <v>84.57017023183694</v>
      </c>
    </row>
    <row r="6" spans="1:14" ht="14.4" customHeight="1" x14ac:dyDescent="0.3">
      <c r="A6" s="631" t="s">
        <v>483</v>
      </c>
      <c r="B6" s="632" t="s">
        <v>485</v>
      </c>
      <c r="C6" s="633" t="s">
        <v>495</v>
      </c>
      <c r="D6" s="634" t="s">
        <v>496</v>
      </c>
      <c r="E6" s="633" t="s">
        <v>486</v>
      </c>
      <c r="F6" s="634" t="s">
        <v>487</v>
      </c>
      <c r="G6" s="633" t="s">
        <v>505</v>
      </c>
      <c r="H6" s="633" t="s">
        <v>510</v>
      </c>
      <c r="I6" s="633" t="s">
        <v>511</v>
      </c>
      <c r="J6" s="633" t="s">
        <v>512</v>
      </c>
      <c r="K6" s="633" t="s">
        <v>513</v>
      </c>
      <c r="L6" s="635">
        <v>74.63940864451493</v>
      </c>
      <c r="M6" s="635">
        <v>1</v>
      </c>
      <c r="N6" s="636">
        <v>74.63940864451493</v>
      </c>
    </row>
    <row r="7" spans="1:14" ht="14.4" customHeight="1" x14ac:dyDescent="0.3">
      <c r="A7" s="631" t="s">
        <v>483</v>
      </c>
      <c r="B7" s="632" t="s">
        <v>485</v>
      </c>
      <c r="C7" s="633" t="s">
        <v>495</v>
      </c>
      <c r="D7" s="634" t="s">
        <v>496</v>
      </c>
      <c r="E7" s="633" t="s">
        <v>486</v>
      </c>
      <c r="F7" s="634" t="s">
        <v>487</v>
      </c>
      <c r="G7" s="633" t="s">
        <v>505</v>
      </c>
      <c r="H7" s="633" t="s">
        <v>514</v>
      </c>
      <c r="I7" s="633" t="s">
        <v>515</v>
      </c>
      <c r="J7" s="633" t="s">
        <v>516</v>
      </c>
      <c r="K7" s="633" t="s">
        <v>517</v>
      </c>
      <c r="L7" s="635">
        <v>67.469667241150333</v>
      </c>
      <c r="M7" s="635">
        <v>1</v>
      </c>
      <c r="N7" s="636">
        <v>67.469667241150333</v>
      </c>
    </row>
    <row r="8" spans="1:14" ht="14.4" customHeight="1" x14ac:dyDescent="0.3">
      <c r="A8" s="631" t="s">
        <v>483</v>
      </c>
      <c r="B8" s="632" t="s">
        <v>485</v>
      </c>
      <c r="C8" s="633" t="s">
        <v>495</v>
      </c>
      <c r="D8" s="634" t="s">
        <v>496</v>
      </c>
      <c r="E8" s="633" t="s">
        <v>486</v>
      </c>
      <c r="F8" s="634" t="s">
        <v>487</v>
      </c>
      <c r="G8" s="633" t="s">
        <v>505</v>
      </c>
      <c r="H8" s="633" t="s">
        <v>518</v>
      </c>
      <c r="I8" s="633" t="s">
        <v>519</v>
      </c>
      <c r="J8" s="633" t="s">
        <v>520</v>
      </c>
      <c r="K8" s="633" t="s">
        <v>521</v>
      </c>
      <c r="L8" s="635">
        <v>59.199999999999989</v>
      </c>
      <c r="M8" s="635">
        <v>1</v>
      </c>
      <c r="N8" s="636">
        <v>59.199999999999989</v>
      </c>
    </row>
    <row r="9" spans="1:14" ht="14.4" customHeight="1" x14ac:dyDescent="0.3">
      <c r="A9" s="631" t="s">
        <v>483</v>
      </c>
      <c r="B9" s="632" t="s">
        <v>485</v>
      </c>
      <c r="C9" s="633" t="s">
        <v>495</v>
      </c>
      <c r="D9" s="634" t="s">
        <v>496</v>
      </c>
      <c r="E9" s="633" t="s">
        <v>486</v>
      </c>
      <c r="F9" s="634" t="s">
        <v>487</v>
      </c>
      <c r="G9" s="633" t="s">
        <v>505</v>
      </c>
      <c r="H9" s="633" t="s">
        <v>522</v>
      </c>
      <c r="I9" s="633" t="s">
        <v>523</v>
      </c>
      <c r="J9" s="633" t="s">
        <v>524</v>
      </c>
      <c r="K9" s="633"/>
      <c r="L9" s="635">
        <v>102.01</v>
      </c>
      <c r="M9" s="635">
        <v>1</v>
      </c>
      <c r="N9" s="636">
        <v>102.01</v>
      </c>
    </row>
    <row r="10" spans="1:14" ht="14.4" customHeight="1" x14ac:dyDescent="0.3">
      <c r="A10" s="631" t="s">
        <v>483</v>
      </c>
      <c r="B10" s="632" t="s">
        <v>485</v>
      </c>
      <c r="C10" s="633" t="s">
        <v>495</v>
      </c>
      <c r="D10" s="634" t="s">
        <v>496</v>
      </c>
      <c r="E10" s="633" t="s">
        <v>486</v>
      </c>
      <c r="F10" s="634" t="s">
        <v>487</v>
      </c>
      <c r="G10" s="633" t="s">
        <v>505</v>
      </c>
      <c r="H10" s="633" t="s">
        <v>525</v>
      </c>
      <c r="I10" s="633" t="s">
        <v>526</v>
      </c>
      <c r="J10" s="633" t="s">
        <v>527</v>
      </c>
      <c r="K10" s="633" t="s">
        <v>528</v>
      </c>
      <c r="L10" s="635">
        <v>121.22999999999998</v>
      </c>
      <c r="M10" s="635">
        <v>1</v>
      </c>
      <c r="N10" s="636">
        <v>121.22999999999998</v>
      </c>
    </row>
    <row r="11" spans="1:14" ht="14.4" customHeight="1" x14ac:dyDescent="0.3">
      <c r="A11" s="631" t="s">
        <v>483</v>
      </c>
      <c r="B11" s="632" t="s">
        <v>485</v>
      </c>
      <c r="C11" s="633" t="s">
        <v>495</v>
      </c>
      <c r="D11" s="634" t="s">
        <v>496</v>
      </c>
      <c r="E11" s="633" t="s">
        <v>486</v>
      </c>
      <c r="F11" s="634" t="s">
        <v>487</v>
      </c>
      <c r="G11" s="633" t="s">
        <v>505</v>
      </c>
      <c r="H11" s="633" t="s">
        <v>529</v>
      </c>
      <c r="I11" s="633" t="s">
        <v>530</v>
      </c>
      <c r="J11" s="633" t="s">
        <v>531</v>
      </c>
      <c r="K11" s="633" t="s">
        <v>532</v>
      </c>
      <c r="L11" s="635">
        <v>50.32</v>
      </c>
      <c r="M11" s="635">
        <v>2</v>
      </c>
      <c r="N11" s="636">
        <v>100.64</v>
      </c>
    </row>
    <row r="12" spans="1:14" ht="14.4" customHeight="1" x14ac:dyDescent="0.3">
      <c r="A12" s="631" t="s">
        <v>483</v>
      </c>
      <c r="B12" s="632" t="s">
        <v>485</v>
      </c>
      <c r="C12" s="633" t="s">
        <v>495</v>
      </c>
      <c r="D12" s="634" t="s">
        <v>496</v>
      </c>
      <c r="E12" s="633" t="s">
        <v>486</v>
      </c>
      <c r="F12" s="634" t="s">
        <v>487</v>
      </c>
      <c r="G12" s="633" t="s">
        <v>505</v>
      </c>
      <c r="H12" s="633" t="s">
        <v>533</v>
      </c>
      <c r="I12" s="633" t="s">
        <v>246</v>
      </c>
      <c r="J12" s="633" t="s">
        <v>534</v>
      </c>
      <c r="K12" s="633"/>
      <c r="L12" s="635">
        <v>22.549999999999997</v>
      </c>
      <c r="M12" s="635">
        <v>1</v>
      </c>
      <c r="N12" s="636">
        <v>22.549999999999997</v>
      </c>
    </row>
    <row r="13" spans="1:14" ht="14.4" customHeight="1" x14ac:dyDescent="0.3">
      <c r="A13" s="631" t="s">
        <v>483</v>
      </c>
      <c r="B13" s="632" t="s">
        <v>485</v>
      </c>
      <c r="C13" s="633" t="s">
        <v>495</v>
      </c>
      <c r="D13" s="634" t="s">
        <v>496</v>
      </c>
      <c r="E13" s="633" t="s">
        <v>486</v>
      </c>
      <c r="F13" s="634" t="s">
        <v>487</v>
      </c>
      <c r="G13" s="633" t="s">
        <v>505</v>
      </c>
      <c r="H13" s="633" t="s">
        <v>535</v>
      </c>
      <c r="I13" s="633" t="s">
        <v>246</v>
      </c>
      <c r="J13" s="633" t="s">
        <v>536</v>
      </c>
      <c r="K13" s="633"/>
      <c r="L13" s="635">
        <v>42.71</v>
      </c>
      <c r="M13" s="635">
        <v>2</v>
      </c>
      <c r="N13" s="636">
        <v>85.42</v>
      </c>
    </row>
    <row r="14" spans="1:14" ht="14.4" customHeight="1" x14ac:dyDescent="0.3">
      <c r="A14" s="631" t="s">
        <v>483</v>
      </c>
      <c r="B14" s="632" t="s">
        <v>485</v>
      </c>
      <c r="C14" s="633" t="s">
        <v>495</v>
      </c>
      <c r="D14" s="634" t="s">
        <v>496</v>
      </c>
      <c r="E14" s="633" t="s">
        <v>486</v>
      </c>
      <c r="F14" s="634" t="s">
        <v>487</v>
      </c>
      <c r="G14" s="633" t="s">
        <v>505</v>
      </c>
      <c r="H14" s="633" t="s">
        <v>537</v>
      </c>
      <c r="I14" s="633" t="s">
        <v>538</v>
      </c>
      <c r="J14" s="633" t="s">
        <v>539</v>
      </c>
      <c r="K14" s="633" t="s">
        <v>540</v>
      </c>
      <c r="L14" s="635">
        <v>29.52</v>
      </c>
      <c r="M14" s="635">
        <v>1</v>
      </c>
      <c r="N14" s="636">
        <v>29.52</v>
      </c>
    </row>
    <row r="15" spans="1:14" ht="14.4" customHeight="1" x14ac:dyDescent="0.3">
      <c r="A15" s="631" t="s">
        <v>483</v>
      </c>
      <c r="B15" s="632" t="s">
        <v>485</v>
      </c>
      <c r="C15" s="633" t="s">
        <v>495</v>
      </c>
      <c r="D15" s="634" t="s">
        <v>496</v>
      </c>
      <c r="E15" s="633" t="s">
        <v>486</v>
      </c>
      <c r="F15" s="634" t="s">
        <v>487</v>
      </c>
      <c r="G15" s="633" t="s">
        <v>505</v>
      </c>
      <c r="H15" s="633" t="s">
        <v>541</v>
      </c>
      <c r="I15" s="633" t="s">
        <v>246</v>
      </c>
      <c r="J15" s="633" t="s">
        <v>542</v>
      </c>
      <c r="K15" s="633"/>
      <c r="L15" s="635">
        <v>45.47</v>
      </c>
      <c r="M15" s="635">
        <v>2</v>
      </c>
      <c r="N15" s="636">
        <v>90.94</v>
      </c>
    </row>
    <row r="16" spans="1:14" ht="14.4" customHeight="1" x14ac:dyDescent="0.3">
      <c r="A16" s="631" t="s">
        <v>483</v>
      </c>
      <c r="B16" s="632" t="s">
        <v>485</v>
      </c>
      <c r="C16" s="633" t="s">
        <v>495</v>
      </c>
      <c r="D16" s="634" t="s">
        <v>496</v>
      </c>
      <c r="E16" s="633" t="s">
        <v>486</v>
      </c>
      <c r="F16" s="634" t="s">
        <v>487</v>
      </c>
      <c r="G16" s="633" t="s">
        <v>505</v>
      </c>
      <c r="H16" s="633" t="s">
        <v>543</v>
      </c>
      <c r="I16" s="633" t="s">
        <v>544</v>
      </c>
      <c r="J16" s="633" t="s">
        <v>545</v>
      </c>
      <c r="K16" s="633" t="s">
        <v>546</v>
      </c>
      <c r="L16" s="635">
        <v>88.42</v>
      </c>
      <c r="M16" s="635">
        <v>2</v>
      </c>
      <c r="N16" s="636">
        <v>176.84</v>
      </c>
    </row>
    <row r="17" spans="1:14" ht="14.4" customHeight="1" x14ac:dyDescent="0.3">
      <c r="A17" s="631" t="s">
        <v>483</v>
      </c>
      <c r="B17" s="632" t="s">
        <v>485</v>
      </c>
      <c r="C17" s="633" t="s">
        <v>495</v>
      </c>
      <c r="D17" s="634" t="s">
        <v>496</v>
      </c>
      <c r="E17" s="633" t="s">
        <v>486</v>
      </c>
      <c r="F17" s="634" t="s">
        <v>487</v>
      </c>
      <c r="G17" s="633" t="s">
        <v>505</v>
      </c>
      <c r="H17" s="633" t="s">
        <v>547</v>
      </c>
      <c r="I17" s="633" t="s">
        <v>548</v>
      </c>
      <c r="J17" s="633" t="s">
        <v>549</v>
      </c>
      <c r="K17" s="633" t="s">
        <v>550</v>
      </c>
      <c r="L17" s="635">
        <v>63.629889763206599</v>
      </c>
      <c r="M17" s="635">
        <v>2</v>
      </c>
      <c r="N17" s="636">
        <v>127.2597795264132</v>
      </c>
    </row>
    <row r="18" spans="1:14" ht="14.4" customHeight="1" x14ac:dyDescent="0.3">
      <c r="A18" s="631" t="s">
        <v>483</v>
      </c>
      <c r="B18" s="632" t="s">
        <v>485</v>
      </c>
      <c r="C18" s="633" t="s">
        <v>495</v>
      </c>
      <c r="D18" s="634" t="s">
        <v>496</v>
      </c>
      <c r="E18" s="633" t="s">
        <v>486</v>
      </c>
      <c r="F18" s="634" t="s">
        <v>487</v>
      </c>
      <c r="G18" s="633" t="s">
        <v>505</v>
      </c>
      <c r="H18" s="633" t="s">
        <v>551</v>
      </c>
      <c r="I18" s="633" t="s">
        <v>246</v>
      </c>
      <c r="J18" s="633" t="s">
        <v>552</v>
      </c>
      <c r="K18" s="633" t="s">
        <v>553</v>
      </c>
      <c r="L18" s="635">
        <v>102.03887876247499</v>
      </c>
      <c r="M18" s="635">
        <v>1</v>
      </c>
      <c r="N18" s="636">
        <v>102.03887876247499</v>
      </c>
    </row>
    <row r="19" spans="1:14" ht="14.4" customHeight="1" x14ac:dyDescent="0.3">
      <c r="A19" s="631" t="s">
        <v>483</v>
      </c>
      <c r="B19" s="632" t="s">
        <v>485</v>
      </c>
      <c r="C19" s="633" t="s">
        <v>495</v>
      </c>
      <c r="D19" s="634" t="s">
        <v>496</v>
      </c>
      <c r="E19" s="633" t="s">
        <v>486</v>
      </c>
      <c r="F19" s="634" t="s">
        <v>487</v>
      </c>
      <c r="G19" s="633" t="s">
        <v>505</v>
      </c>
      <c r="H19" s="633" t="s">
        <v>554</v>
      </c>
      <c r="I19" s="633" t="s">
        <v>554</v>
      </c>
      <c r="J19" s="633" t="s">
        <v>555</v>
      </c>
      <c r="K19" s="633" t="s">
        <v>556</v>
      </c>
      <c r="L19" s="635">
        <v>60.260000000000012</v>
      </c>
      <c r="M19" s="635">
        <v>1</v>
      </c>
      <c r="N19" s="636">
        <v>60.260000000000012</v>
      </c>
    </row>
    <row r="20" spans="1:14" ht="14.4" customHeight="1" x14ac:dyDescent="0.3">
      <c r="A20" s="631" t="s">
        <v>483</v>
      </c>
      <c r="B20" s="632" t="s">
        <v>485</v>
      </c>
      <c r="C20" s="633" t="s">
        <v>495</v>
      </c>
      <c r="D20" s="634" t="s">
        <v>496</v>
      </c>
      <c r="E20" s="633" t="s">
        <v>486</v>
      </c>
      <c r="F20" s="634" t="s">
        <v>487</v>
      </c>
      <c r="G20" s="633" t="s">
        <v>505</v>
      </c>
      <c r="H20" s="633" t="s">
        <v>557</v>
      </c>
      <c r="I20" s="633" t="s">
        <v>246</v>
      </c>
      <c r="J20" s="633" t="s">
        <v>558</v>
      </c>
      <c r="K20" s="633"/>
      <c r="L20" s="635">
        <v>19.170005503934437</v>
      </c>
      <c r="M20" s="635">
        <v>1</v>
      </c>
      <c r="N20" s="636">
        <v>19.170005503934437</v>
      </c>
    </row>
    <row r="21" spans="1:14" ht="14.4" customHeight="1" x14ac:dyDescent="0.3">
      <c r="A21" s="631" t="s">
        <v>483</v>
      </c>
      <c r="B21" s="632" t="s">
        <v>485</v>
      </c>
      <c r="C21" s="633" t="s">
        <v>495</v>
      </c>
      <c r="D21" s="634" t="s">
        <v>496</v>
      </c>
      <c r="E21" s="633" t="s">
        <v>486</v>
      </c>
      <c r="F21" s="634" t="s">
        <v>487</v>
      </c>
      <c r="G21" s="633" t="s">
        <v>559</v>
      </c>
      <c r="H21" s="633" t="s">
        <v>560</v>
      </c>
      <c r="I21" s="633" t="s">
        <v>561</v>
      </c>
      <c r="J21" s="633" t="s">
        <v>562</v>
      </c>
      <c r="K21" s="633" t="s">
        <v>563</v>
      </c>
      <c r="L21" s="635">
        <v>116.64955113551704</v>
      </c>
      <c r="M21" s="635">
        <v>2</v>
      </c>
      <c r="N21" s="636">
        <v>233.29910227103409</v>
      </c>
    </row>
    <row r="22" spans="1:14" ht="14.4" customHeight="1" x14ac:dyDescent="0.3">
      <c r="A22" s="631" t="s">
        <v>483</v>
      </c>
      <c r="B22" s="632" t="s">
        <v>485</v>
      </c>
      <c r="C22" s="633" t="s">
        <v>495</v>
      </c>
      <c r="D22" s="634" t="s">
        <v>496</v>
      </c>
      <c r="E22" s="633" t="s">
        <v>490</v>
      </c>
      <c r="F22" s="634" t="s">
        <v>491</v>
      </c>
      <c r="G22" s="633" t="s">
        <v>505</v>
      </c>
      <c r="H22" s="633" t="s">
        <v>564</v>
      </c>
      <c r="I22" s="633" t="s">
        <v>565</v>
      </c>
      <c r="J22" s="633" t="s">
        <v>566</v>
      </c>
      <c r="K22" s="633" t="s">
        <v>567</v>
      </c>
      <c r="L22" s="635">
        <v>39.430000000000007</v>
      </c>
      <c r="M22" s="635">
        <v>2</v>
      </c>
      <c r="N22" s="636">
        <v>78.860000000000014</v>
      </c>
    </row>
    <row r="23" spans="1:14" ht="14.4" customHeight="1" x14ac:dyDescent="0.3">
      <c r="A23" s="631" t="s">
        <v>483</v>
      </c>
      <c r="B23" s="632" t="s">
        <v>485</v>
      </c>
      <c r="C23" s="633" t="s">
        <v>495</v>
      </c>
      <c r="D23" s="634" t="s">
        <v>496</v>
      </c>
      <c r="E23" s="633" t="s">
        <v>490</v>
      </c>
      <c r="F23" s="634" t="s">
        <v>491</v>
      </c>
      <c r="G23" s="633" t="s">
        <v>505</v>
      </c>
      <c r="H23" s="633" t="s">
        <v>568</v>
      </c>
      <c r="I23" s="633" t="s">
        <v>569</v>
      </c>
      <c r="J23" s="633" t="s">
        <v>570</v>
      </c>
      <c r="K23" s="633" t="s">
        <v>571</v>
      </c>
      <c r="L23" s="635">
        <v>66.129999999999967</v>
      </c>
      <c r="M23" s="635">
        <v>1</v>
      </c>
      <c r="N23" s="636">
        <v>66.129999999999967</v>
      </c>
    </row>
    <row r="24" spans="1:14" ht="14.4" customHeight="1" x14ac:dyDescent="0.3">
      <c r="A24" s="631" t="s">
        <v>483</v>
      </c>
      <c r="B24" s="632" t="s">
        <v>485</v>
      </c>
      <c r="C24" s="633" t="s">
        <v>495</v>
      </c>
      <c r="D24" s="634" t="s">
        <v>496</v>
      </c>
      <c r="E24" s="633" t="s">
        <v>490</v>
      </c>
      <c r="F24" s="634" t="s">
        <v>491</v>
      </c>
      <c r="G24" s="633" t="s">
        <v>505</v>
      </c>
      <c r="H24" s="633" t="s">
        <v>572</v>
      </c>
      <c r="I24" s="633" t="s">
        <v>573</v>
      </c>
      <c r="J24" s="633" t="s">
        <v>574</v>
      </c>
      <c r="K24" s="633" t="s">
        <v>575</v>
      </c>
      <c r="L24" s="635">
        <v>86.745000000000005</v>
      </c>
      <c r="M24" s="635">
        <v>2</v>
      </c>
      <c r="N24" s="636">
        <v>173.49</v>
      </c>
    </row>
    <row r="25" spans="1:14" ht="14.4" customHeight="1" x14ac:dyDescent="0.3">
      <c r="A25" s="631" t="s">
        <v>483</v>
      </c>
      <c r="B25" s="632" t="s">
        <v>485</v>
      </c>
      <c r="C25" s="633" t="s">
        <v>495</v>
      </c>
      <c r="D25" s="634" t="s">
        <v>496</v>
      </c>
      <c r="E25" s="633" t="s">
        <v>490</v>
      </c>
      <c r="F25" s="634" t="s">
        <v>491</v>
      </c>
      <c r="G25" s="633" t="s">
        <v>559</v>
      </c>
      <c r="H25" s="633" t="s">
        <v>576</v>
      </c>
      <c r="I25" s="633" t="s">
        <v>577</v>
      </c>
      <c r="J25" s="633" t="s">
        <v>578</v>
      </c>
      <c r="K25" s="633" t="s">
        <v>579</v>
      </c>
      <c r="L25" s="635">
        <v>166.81999999999991</v>
      </c>
      <c r="M25" s="635">
        <v>1</v>
      </c>
      <c r="N25" s="636">
        <v>166.81999999999991</v>
      </c>
    </row>
    <row r="26" spans="1:14" ht="14.4" customHeight="1" x14ac:dyDescent="0.3">
      <c r="A26" s="631" t="s">
        <v>483</v>
      </c>
      <c r="B26" s="632" t="s">
        <v>485</v>
      </c>
      <c r="C26" s="633" t="s">
        <v>499</v>
      </c>
      <c r="D26" s="634" t="s">
        <v>500</v>
      </c>
      <c r="E26" s="633" t="s">
        <v>486</v>
      </c>
      <c r="F26" s="634" t="s">
        <v>487</v>
      </c>
      <c r="G26" s="633" t="s">
        <v>505</v>
      </c>
      <c r="H26" s="633" t="s">
        <v>580</v>
      </c>
      <c r="I26" s="633" t="s">
        <v>580</v>
      </c>
      <c r="J26" s="633" t="s">
        <v>581</v>
      </c>
      <c r="K26" s="633" t="s">
        <v>582</v>
      </c>
      <c r="L26" s="635">
        <v>179.4</v>
      </c>
      <c r="M26" s="635">
        <v>3</v>
      </c>
      <c r="N26" s="636">
        <v>538.20000000000005</v>
      </c>
    </row>
    <row r="27" spans="1:14" ht="14.4" customHeight="1" x14ac:dyDescent="0.3">
      <c r="A27" s="631" t="s">
        <v>483</v>
      </c>
      <c r="B27" s="632" t="s">
        <v>485</v>
      </c>
      <c r="C27" s="633" t="s">
        <v>499</v>
      </c>
      <c r="D27" s="634" t="s">
        <v>500</v>
      </c>
      <c r="E27" s="633" t="s">
        <v>486</v>
      </c>
      <c r="F27" s="634" t="s">
        <v>487</v>
      </c>
      <c r="G27" s="633" t="s">
        <v>505</v>
      </c>
      <c r="H27" s="633" t="s">
        <v>583</v>
      </c>
      <c r="I27" s="633" t="s">
        <v>583</v>
      </c>
      <c r="J27" s="633" t="s">
        <v>581</v>
      </c>
      <c r="K27" s="633" t="s">
        <v>584</v>
      </c>
      <c r="L27" s="635">
        <v>97.18</v>
      </c>
      <c r="M27" s="635">
        <v>4</v>
      </c>
      <c r="N27" s="636">
        <v>388.72</v>
      </c>
    </row>
    <row r="28" spans="1:14" ht="14.4" customHeight="1" x14ac:dyDescent="0.3">
      <c r="A28" s="631" t="s">
        <v>483</v>
      </c>
      <c r="B28" s="632" t="s">
        <v>485</v>
      </c>
      <c r="C28" s="633" t="s">
        <v>499</v>
      </c>
      <c r="D28" s="634" t="s">
        <v>500</v>
      </c>
      <c r="E28" s="633" t="s">
        <v>486</v>
      </c>
      <c r="F28" s="634" t="s">
        <v>487</v>
      </c>
      <c r="G28" s="633" t="s">
        <v>505</v>
      </c>
      <c r="H28" s="633" t="s">
        <v>585</v>
      </c>
      <c r="I28" s="633" t="s">
        <v>586</v>
      </c>
      <c r="J28" s="633" t="s">
        <v>587</v>
      </c>
      <c r="K28" s="633" t="s">
        <v>588</v>
      </c>
      <c r="L28" s="635">
        <v>97.057317719589889</v>
      </c>
      <c r="M28" s="635">
        <v>20</v>
      </c>
      <c r="N28" s="636">
        <v>1941.1463543917978</v>
      </c>
    </row>
    <row r="29" spans="1:14" ht="14.4" customHeight="1" x14ac:dyDescent="0.3">
      <c r="A29" s="631" t="s">
        <v>483</v>
      </c>
      <c r="B29" s="632" t="s">
        <v>485</v>
      </c>
      <c r="C29" s="633" t="s">
        <v>499</v>
      </c>
      <c r="D29" s="634" t="s">
        <v>500</v>
      </c>
      <c r="E29" s="633" t="s">
        <v>486</v>
      </c>
      <c r="F29" s="634" t="s">
        <v>487</v>
      </c>
      <c r="G29" s="633" t="s">
        <v>505</v>
      </c>
      <c r="H29" s="633" t="s">
        <v>589</v>
      </c>
      <c r="I29" s="633" t="s">
        <v>589</v>
      </c>
      <c r="J29" s="633" t="s">
        <v>590</v>
      </c>
      <c r="K29" s="633" t="s">
        <v>591</v>
      </c>
      <c r="L29" s="635">
        <v>38.189999999999991</v>
      </c>
      <c r="M29" s="635">
        <v>2</v>
      </c>
      <c r="N29" s="636">
        <v>76.379999999999981</v>
      </c>
    </row>
    <row r="30" spans="1:14" ht="14.4" customHeight="1" x14ac:dyDescent="0.3">
      <c r="A30" s="631" t="s">
        <v>483</v>
      </c>
      <c r="B30" s="632" t="s">
        <v>485</v>
      </c>
      <c r="C30" s="633" t="s">
        <v>499</v>
      </c>
      <c r="D30" s="634" t="s">
        <v>500</v>
      </c>
      <c r="E30" s="633" t="s">
        <v>486</v>
      </c>
      <c r="F30" s="634" t="s">
        <v>487</v>
      </c>
      <c r="G30" s="633" t="s">
        <v>505</v>
      </c>
      <c r="H30" s="633" t="s">
        <v>592</v>
      </c>
      <c r="I30" s="633" t="s">
        <v>593</v>
      </c>
      <c r="J30" s="633" t="s">
        <v>594</v>
      </c>
      <c r="K30" s="633" t="s">
        <v>595</v>
      </c>
      <c r="L30" s="635">
        <v>55.52</v>
      </c>
      <c r="M30" s="635">
        <v>2</v>
      </c>
      <c r="N30" s="636">
        <v>111.04</v>
      </c>
    </row>
    <row r="31" spans="1:14" ht="14.4" customHeight="1" x14ac:dyDescent="0.3">
      <c r="A31" s="631" t="s">
        <v>483</v>
      </c>
      <c r="B31" s="632" t="s">
        <v>485</v>
      </c>
      <c r="C31" s="633" t="s">
        <v>499</v>
      </c>
      <c r="D31" s="634" t="s">
        <v>500</v>
      </c>
      <c r="E31" s="633" t="s">
        <v>486</v>
      </c>
      <c r="F31" s="634" t="s">
        <v>487</v>
      </c>
      <c r="G31" s="633" t="s">
        <v>505</v>
      </c>
      <c r="H31" s="633" t="s">
        <v>596</v>
      </c>
      <c r="I31" s="633" t="s">
        <v>597</v>
      </c>
      <c r="J31" s="633" t="s">
        <v>598</v>
      </c>
      <c r="K31" s="633" t="s">
        <v>599</v>
      </c>
      <c r="L31" s="635">
        <v>392.89000000000004</v>
      </c>
      <c r="M31" s="635">
        <v>3</v>
      </c>
      <c r="N31" s="636">
        <v>1178.67</v>
      </c>
    </row>
    <row r="32" spans="1:14" ht="14.4" customHeight="1" x14ac:dyDescent="0.3">
      <c r="A32" s="631" t="s">
        <v>483</v>
      </c>
      <c r="B32" s="632" t="s">
        <v>485</v>
      </c>
      <c r="C32" s="633" t="s">
        <v>499</v>
      </c>
      <c r="D32" s="634" t="s">
        <v>500</v>
      </c>
      <c r="E32" s="633" t="s">
        <v>486</v>
      </c>
      <c r="F32" s="634" t="s">
        <v>487</v>
      </c>
      <c r="G32" s="633" t="s">
        <v>505</v>
      </c>
      <c r="H32" s="633" t="s">
        <v>600</v>
      </c>
      <c r="I32" s="633" t="s">
        <v>601</v>
      </c>
      <c r="J32" s="633" t="s">
        <v>602</v>
      </c>
      <c r="K32" s="633" t="s">
        <v>603</v>
      </c>
      <c r="L32" s="635">
        <v>38.94</v>
      </c>
      <c r="M32" s="635">
        <v>1</v>
      </c>
      <c r="N32" s="636">
        <v>38.94</v>
      </c>
    </row>
    <row r="33" spans="1:14" ht="14.4" customHeight="1" x14ac:dyDescent="0.3">
      <c r="A33" s="631" t="s">
        <v>483</v>
      </c>
      <c r="B33" s="632" t="s">
        <v>485</v>
      </c>
      <c r="C33" s="633" t="s">
        <v>499</v>
      </c>
      <c r="D33" s="634" t="s">
        <v>500</v>
      </c>
      <c r="E33" s="633" t="s">
        <v>486</v>
      </c>
      <c r="F33" s="634" t="s">
        <v>487</v>
      </c>
      <c r="G33" s="633" t="s">
        <v>505</v>
      </c>
      <c r="H33" s="633" t="s">
        <v>604</v>
      </c>
      <c r="I33" s="633" t="s">
        <v>605</v>
      </c>
      <c r="J33" s="633" t="s">
        <v>549</v>
      </c>
      <c r="K33" s="633" t="s">
        <v>606</v>
      </c>
      <c r="L33" s="635">
        <v>49.43</v>
      </c>
      <c r="M33" s="635">
        <v>6</v>
      </c>
      <c r="N33" s="636">
        <v>296.58</v>
      </c>
    </row>
    <row r="34" spans="1:14" ht="14.4" customHeight="1" x14ac:dyDescent="0.3">
      <c r="A34" s="631" t="s">
        <v>483</v>
      </c>
      <c r="B34" s="632" t="s">
        <v>485</v>
      </c>
      <c r="C34" s="633" t="s">
        <v>501</v>
      </c>
      <c r="D34" s="634" t="s">
        <v>502</v>
      </c>
      <c r="E34" s="633" t="s">
        <v>486</v>
      </c>
      <c r="F34" s="634" t="s">
        <v>487</v>
      </c>
      <c r="G34" s="633" t="s">
        <v>505</v>
      </c>
      <c r="H34" s="633" t="s">
        <v>506</v>
      </c>
      <c r="I34" s="633" t="s">
        <v>507</v>
      </c>
      <c r="J34" s="633" t="s">
        <v>508</v>
      </c>
      <c r="K34" s="633" t="s">
        <v>509</v>
      </c>
      <c r="L34" s="635">
        <v>84.569999999999979</v>
      </c>
      <c r="M34" s="635">
        <v>2</v>
      </c>
      <c r="N34" s="636">
        <v>169.13999999999996</v>
      </c>
    </row>
    <row r="35" spans="1:14" ht="14.4" customHeight="1" x14ac:dyDescent="0.3">
      <c r="A35" s="631" t="s">
        <v>483</v>
      </c>
      <c r="B35" s="632" t="s">
        <v>485</v>
      </c>
      <c r="C35" s="633" t="s">
        <v>501</v>
      </c>
      <c r="D35" s="634" t="s">
        <v>502</v>
      </c>
      <c r="E35" s="633" t="s">
        <v>486</v>
      </c>
      <c r="F35" s="634" t="s">
        <v>487</v>
      </c>
      <c r="G35" s="633" t="s">
        <v>505</v>
      </c>
      <c r="H35" s="633" t="s">
        <v>607</v>
      </c>
      <c r="I35" s="633" t="s">
        <v>608</v>
      </c>
      <c r="J35" s="633" t="s">
        <v>609</v>
      </c>
      <c r="K35" s="633" t="s">
        <v>610</v>
      </c>
      <c r="L35" s="635">
        <v>73.59</v>
      </c>
      <c r="M35" s="635">
        <v>1</v>
      </c>
      <c r="N35" s="636">
        <v>73.59</v>
      </c>
    </row>
    <row r="36" spans="1:14" ht="14.4" customHeight="1" x14ac:dyDescent="0.3">
      <c r="A36" s="631" t="s">
        <v>483</v>
      </c>
      <c r="B36" s="632" t="s">
        <v>485</v>
      </c>
      <c r="C36" s="633" t="s">
        <v>501</v>
      </c>
      <c r="D36" s="634" t="s">
        <v>502</v>
      </c>
      <c r="E36" s="633" t="s">
        <v>486</v>
      </c>
      <c r="F36" s="634" t="s">
        <v>487</v>
      </c>
      <c r="G36" s="633" t="s">
        <v>505</v>
      </c>
      <c r="H36" s="633" t="s">
        <v>611</v>
      </c>
      <c r="I36" s="633" t="s">
        <v>612</v>
      </c>
      <c r="J36" s="633" t="s">
        <v>613</v>
      </c>
      <c r="K36" s="633" t="s">
        <v>614</v>
      </c>
      <c r="L36" s="635">
        <v>77.150497291782102</v>
      </c>
      <c r="M36" s="635">
        <v>2</v>
      </c>
      <c r="N36" s="636">
        <v>154.3009945835642</v>
      </c>
    </row>
    <row r="37" spans="1:14" ht="14.4" customHeight="1" x14ac:dyDescent="0.3">
      <c r="A37" s="631" t="s">
        <v>483</v>
      </c>
      <c r="B37" s="632" t="s">
        <v>485</v>
      </c>
      <c r="C37" s="633" t="s">
        <v>501</v>
      </c>
      <c r="D37" s="634" t="s">
        <v>502</v>
      </c>
      <c r="E37" s="633" t="s">
        <v>486</v>
      </c>
      <c r="F37" s="634" t="s">
        <v>487</v>
      </c>
      <c r="G37" s="633" t="s">
        <v>505</v>
      </c>
      <c r="H37" s="633" t="s">
        <v>535</v>
      </c>
      <c r="I37" s="633" t="s">
        <v>246</v>
      </c>
      <c r="J37" s="633" t="s">
        <v>536</v>
      </c>
      <c r="K37" s="633"/>
      <c r="L37" s="635">
        <v>42.422000000000004</v>
      </c>
      <c r="M37" s="635">
        <v>5</v>
      </c>
      <c r="N37" s="636">
        <v>212.11</v>
      </c>
    </row>
    <row r="38" spans="1:14" ht="14.4" customHeight="1" x14ac:dyDescent="0.3">
      <c r="A38" s="631" t="s">
        <v>483</v>
      </c>
      <c r="B38" s="632" t="s">
        <v>485</v>
      </c>
      <c r="C38" s="633" t="s">
        <v>501</v>
      </c>
      <c r="D38" s="634" t="s">
        <v>502</v>
      </c>
      <c r="E38" s="633" t="s">
        <v>486</v>
      </c>
      <c r="F38" s="634" t="s">
        <v>487</v>
      </c>
      <c r="G38" s="633" t="s">
        <v>505</v>
      </c>
      <c r="H38" s="633" t="s">
        <v>615</v>
      </c>
      <c r="I38" s="633" t="s">
        <v>616</v>
      </c>
      <c r="J38" s="633" t="s">
        <v>539</v>
      </c>
      <c r="K38" s="633" t="s">
        <v>617</v>
      </c>
      <c r="L38" s="635">
        <v>59.21</v>
      </c>
      <c r="M38" s="635">
        <v>1</v>
      </c>
      <c r="N38" s="636">
        <v>59.21</v>
      </c>
    </row>
    <row r="39" spans="1:14" ht="14.4" customHeight="1" x14ac:dyDescent="0.3">
      <c r="A39" s="631" t="s">
        <v>483</v>
      </c>
      <c r="B39" s="632" t="s">
        <v>485</v>
      </c>
      <c r="C39" s="633" t="s">
        <v>501</v>
      </c>
      <c r="D39" s="634" t="s">
        <v>502</v>
      </c>
      <c r="E39" s="633" t="s">
        <v>486</v>
      </c>
      <c r="F39" s="634" t="s">
        <v>487</v>
      </c>
      <c r="G39" s="633" t="s">
        <v>505</v>
      </c>
      <c r="H39" s="633" t="s">
        <v>618</v>
      </c>
      <c r="I39" s="633" t="s">
        <v>618</v>
      </c>
      <c r="J39" s="633" t="s">
        <v>581</v>
      </c>
      <c r="K39" s="633" t="s">
        <v>619</v>
      </c>
      <c r="L39" s="635">
        <v>201.25</v>
      </c>
      <c r="M39" s="635">
        <v>3</v>
      </c>
      <c r="N39" s="636">
        <v>603.75</v>
      </c>
    </row>
    <row r="40" spans="1:14" ht="14.4" customHeight="1" x14ac:dyDescent="0.3">
      <c r="A40" s="631" t="s">
        <v>483</v>
      </c>
      <c r="B40" s="632" t="s">
        <v>485</v>
      </c>
      <c r="C40" s="633" t="s">
        <v>501</v>
      </c>
      <c r="D40" s="634" t="s">
        <v>502</v>
      </c>
      <c r="E40" s="633" t="s">
        <v>486</v>
      </c>
      <c r="F40" s="634" t="s">
        <v>487</v>
      </c>
      <c r="G40" s="633" t="s">
        <v>505</v>
      </c>
      <c r="H40" s="633" t="s">
        <v>600</v>
      </c>
      <c r="I40" s="633" t="s">
        <v>601</v>
      </c>
      <c r="J40" s="633" t="s">
        <v>602</v>
      </c>
      <c r="K40" s="633" t="s">
        <v>603</v>
      </c>
      <c r="L40" s="635">
        <v>38.94</v>
      </c>
      <c r="M40" s="635">
        <v>1</v>
      </c>
      <c r="N40" s="636">
        <v>38.94</v>
      </c>
    </row>
    <row r="41" spans="1:14" ht="14.4" customHeight="1" x14ac:dyDescent="0.3">
      <c r="A41" s="631" t="s">
        <v>483</v>
      </c>
      <c r="B41" s="632" t="s">
        <v>485</v>
      </c>
      <c r="C41" s="633" t="s">
        <v>501</v>
      </c>
      <c r="D41" s="634" t="s">
        <v>502</v>
      </c>
      <c r="E41" s="633" t="s">
        <v>486</v>
      </c>
      <c r="F41" s="634" t="s">
        <v>487</v>
      </c>
      <c r="G41" s="633" t="s">
        <v>505</v>
      </c>
      <c r="H41" s="633" t="s">
        <v>620</v>
      </c>
      <c r="I41" s="633" t="s">
        <v>621</v>
      </c>
      <c r="J41" s="633" t="s">
        <v>622</v>
      </c>
      <c r="K41" s="633" t="s">
        <v>623</v>
      </c>
      <c r="L41" s="635">
        <v>92.862385195307382</v>
      </c>
      <c r="M41" s="635">
        <v>30</v>
      </c>
      <c r="N41" s="636">
        <v>2785.8715558592216</v>
      </c>
    </row>
    <row r="42" spans="1:14" ht="14.4" customHeight="1" x14ac:dyDescent="0.3">
      <c r="A42" s="631" t="s">
        <v>483</v>
      </c>
      <c r="B42" s="632" t="s">
        <v>485</v>
      </c>
      <c r="C42" s="633" t="s">
        <v>501</v>
      </c>
      <c r="D42" s="634" t="s">
        <v>502</v>
      </c>
      <c r="E42" s="633" t="s">
        <v>488</v>
      </c>
      <c r="F42" s="634" t="s">
        <v>489</v>
      </c>
      <c r="G42" s="633" t="s">
        <v>505</v>
      </c>
      <c r="H42" s="633" t="s">
        <v>624</v>
      </c>
      <c r="I42" s="633" t="s">
        <v>625</v>
      </c>
      <c r="J42" s="633" t="s">
        <v>626</v>
      </c>
      <c r="K42" s="633" t="s">
        <v>627</v>
      </c>
      <c r="L42" s="635">
        <v>1978.046</v>
      </c>
      <c r="M42" s="635">
        <v>25</v>
      </c>
      <c r="N42" s="636">
        <v>49451.15</v>
      </c>
    </row>
    <row r="43" spans="1:14" ht="14.4" customHeight="1" x14ac:dyDescent="0.3">
      <c r="A43" s="631" t="s">
        <v>483</v>
      </c>
      <c r="B43" s="632" t="s">
        <v>485</v>
      </c>
      <c r="C43" s="633" t="s">
        <v>501</v>
      </c>
      <c r="D43" s="634" t="s">
        <v>502</v>
      </c>
      <c r="E43" s="633" t="s">
        <v>488</v>
      </c>
      <c r="F43" s="634" t="s">
        <v>489</v>
      </c>
      <c r="G43" s="633" t="s">
        <v>505</v>
      </c>
      <c r="H43" s="633" t="s">
        <v>628</v>
      </c>
      <c r="I43" s="633" t="s">
        <v>629</v>
      </c>
      <c r="J43" s="633" t="s">
        <v>630</v>
      </c>
      <c r="K43" s="633" t="s">
        <v>631</v>
      </c>
      <c r="L43" s="635">
        <v>758.14</v>
      </c>
      <c r="M43" s="635">
        <v>30</v>
      </c>
      <c r="N43" s="636">
        <v>22744.2</v>
      </c>
    </row>
    <row r="44" spans="1:14" ht="14.4" customHeight="1" x14ac:dyDescent="0.3">
      <c r="A44" s="631" t="s">
        <v>483</v>
      </c>
      <c r="B44" s="632" t="s">
        <v>485</v>
      </c>
      <c r="C44" s="633" t="s">
        <v>501</v>
      </c>
      <c r="D44" s="634" t="s">
        <v>502</v>
      </c>
      <c r="E44" s="633" t="s">
        <v>488</v>
      </c>
      <c r="F44" s="634" t="s">
        <v>489</v>
      </c>
      <c r="G44" s="633" t="s">
        <v>559</v>
      </c>
      <c r="H44" s="633" t="s">
        <v>632</v>
      </c>
      <c r="I44" s="633" t="s">
        <v>633</v>
      </c>
      <c r="J44" s="633" t="s">
        <v>634</v>
      </c>
      <c r="K44" s="633" t="s">
        <v>627</v>
      </c>
      <c r="L44" s="635">
        <v>2184.3231968379505</v>
      </c>
      <c r="M44" s="635">
        <v>220</v>
      </c>
      <c r="N44" s="636">
        <v>480551.10330434906</v>
      </c>
    </row>
    <row r="45" spans="1:14" ht="14.4" customHeight="1" thickBot="1" x14ac:dyDescent="0.35">
      <c r="A45" s="637" t="s">
        <v>483</v>
      </c>
      <c r="B45" s="638" t="s">
        <v>485</v>
      </c>
      <c r="C45" s="639" t="s">
        <v>503</v>
      </c>
      <c r="D45" s="640" t="s">
        <v>504</v>
      </c>
      <c r="E45" s="639" t="s">
        <v>492</v>
      </c>
      <c r="F45" s="640" t="s">
        <v>493</v>
      </c>
      <c r="G45" s="639" t="s">
        <v>505</v>
      </c>
      <c r="H45" s="639" t="s">
        <v>635</v>
      </c>
      <c r="I45" s="639" t="s">
        <v>635</v>
      </c>
      <c r="J45" s="639" t="s">
        <v>636</v>
      </c>
      <c r="K45" s="639" t="s">
        <v>637</v>
      </c>
      <c r="L45" s="641">
        <v>20569.433333333334</v>
      </c>
      <c r="M45" s="641">
        <v>3</v>
      </c>
      <c r="N45" s="642">
        <v>61708.3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16384" width="8.88671875" style="260"/>
  </cols>
  <sheetData>
    <row r="1" spans="1:6" ht="37.200000000000003" customHeight="1" thickBot="1" x14ac:dyDescent="0.4">
      <c r="A1" s="493" t="s">
        <v>214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643" t="s">
        <v>190</v>
      </c>
      <c r="B4" s="644" t="s">
        <v>17</v>
      </c>
      <c r="C4" s="645" t="s">
        <v>5</v>
      </c>
      <c r="D4" s="644" t="s">
        <v>17</v>
      </c>
      <c r="E4" s="645" t="s">
        <v>5</v>
      </c>
      <c r="F4" s="646" t="s">
        <v>17</v>
      </c>
    </row>
    <row r="5" spans="1:6" ht="14.4" customHeight="1" x14ac:dyDescent="0.3">
      <c r="A5" s="658" t="s">
        <v>638</v>
      </c>
      <c r="B5" s="629"/>
      <c r="C5" s="647">
        <v>0</v>
      </c>
      <c r="D5" s="629">
        <v>480551.10330434906</v>
      </c>
      <c r="E5" s="647">
        <v>1</v>
      </c>
      <c r="F5" s="630">
        <v>480551.10330434906</v>
      </c>
    </row>
    <row r="6" spans="1:6" ht="14.4" customHeight="1" thickBot="1" x14ac:dyDescent="0.35">
      <c r="A6" s="659" t="s">
        <v>639</v>
      </c>
      <c r="B6" s="650"/>
      <c r="C6" s="651">
        <v>0</v>
      </c>
      <c r="D6" s="650">
        <v>400.11910227103397</v>
      </c>
      <c r="E6" s="651">
        <v>1</v>
      </c>
      <c r="F6" s="652">
        <v>400.11910227103397</v>
      </c>
    </row>
    <row r="7" spans="1:6" ht="14.4" customHeight="1" thickBot="1" x14ac:dyDescent="0.35">
      <c r="A7" s="654" t="s">
        <v>6</v>
      </c>
      <c r="B7" s="655"/>
      <c r="C7" s="656">
        <v>0</v>
      </c>
      <c r="D7" s="655">
        <v>480951.2224066201</v>
      </c>
      <c r="E7" s="656">
        <v>1</v>
      </c>
      <c r="F7" s="657">
        <v>480951.2224066201</v>
      </c>
    </row>
    <row r="8" spans="1:6" ht="14.4" customHeight="1" thickBot="1" x14ac:dyDescent="0.35"/>
    <row r="9" spans="1:6" ht="14.4" customHeight="1" x14ac:dyDescent="0.3">
      <c r="A9" s="658" t="s">
        <v>640</v>
      </c>
      <c r="B9" s="629"/>
      <c r="C9" s="647">
        <v>0</v>
      </c>
      <c r="D9" s="629">
        <v>233.29910227103409</v>
      </c>
      <c r="E9" s="647">
        <v>1</v>
      </c>
      <c r="F9" s="630">
        <v>233.29910227103409</v>
      </c>
    </row>
    <row r="10" spans="1:6" ht="14.4" customHeight="1" x14ac:dyDescent="0.3">
      <c r="A10" s="661" t="s">
        <v>641</v>
      </c>
      <c r="B10" s="635"/>
      <c r="C10" s="648">
        <v>0</v>
      </c>
      <c r="D10" s="635">
        <v>480551.10330434906</v>
      </c>
      <c r="E10" s="648">
        <v>1</v>
      </c>
      <c r="F10" s="636">
        <v>480551.10330434906</v>
      </c>
    </row>
    <row r="11" spans="1:6" ht="14.4" customHeight="1" thickBot="1" x14ac:dyDescent="0.35">
      <c r="A11" s="659" t="s">
        <v>642</v>
      </c>
      <c r="B11" s="650"/>
      <c r="C11" s="651">
        <v>0</v>
      </c>
      <c r="D11" s="650">
        <v>166.81999999999991</v>
      </c>
      <c r="E11" s="651">
        <v>1</v>
      </c>
      <c r="F11" s="652">
        <v>166.81999999999991</v>
      </c>
    </row>
    <row r="12" spans="1:6" ht="14.4" customHeight="1" thickBot="1" x14ac:dyDescent="0.35">
      <c r="A12" s="654" t="s">
        <v>6</v>
      </c>
      <c r="B12" s="655"/>
      <c r="C12" s="656">
        <v>0</v>
      </c>
      <c r="D12" s="655">
        <v>480951.2224066201</v>
      </c>
      <c r="E12" s="656">
        <v>1</v>
      </c>
      <c r="F12" s="657">
        <v>480951.2224066201</v>
      </c>
    </row>
  </sheetData>
  <mergeCells count="3">
    <mergeCell ref="A1:F1"/>
    <mergeCell ref="B3:C3"/>
    <mergeCell ref="D3:E3"/>
  </mergeCells>
  <conditionalFormatting sqref="C5:C1048576">
    <cfRule type="cellIs" dxfId="5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2014-03-27T10:25:04Z</dcterms:modified>
</cp:coreProperties>
</file>