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Detail'!$A$5:$P$5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T9" i="371" l="1"/>
  <c r="V9" i="371" s="1"/>
  <c r="S9" i="371"/>
  <c r="R9" i="371"/>
  <c r="Q9" i="371"/>
  <c r="V8" i="371"/>
  <c r="T8" i="371"/>
  <c r="U8" i="371" s="1"/>
  <c r="S8" i="371"/>
  <c r="R8" i="371"/>
  <c r="Q8" i="371"/>
  <c r="T7" i="371"/>
  <c r="V7" i="371" s="1"/>
  <c r="S7" i="371"/>
  <c r="R7" i="371"/>
  <c r="Q7" i="371"/>
  <c r="V6" i="371"/>
  <c r="T6" i="371"/>
  <c r="U6" i="371" s="1"/>
  <c r="S6" i="371"/>
  <c r="R6" i="371"/>
  <c r="Q6" i="371"/>
  <c r="V5" i="371"/>
  <c r="U5" i="371"/>
  <c r="T5" i="371"/>
  <c r="S5" i="371"/>
  <c r="R5" i="371"/>
  <c r="Q5" i="371"/>
  <c r="U7" i="371" l="1"/>
  <c r="U9" i="371"/>
  <c r="AI21" i="419"/>
  <c r="AI22" i="419" s="1"/>
  <c r="AH21" i="419"/>
  <c r="AH22" i="419" s="1"/>
  <c r="AG21" i="419"/>
  <c r="AF21" i="419"/>
  <c r="AE21" i="419"/>
  <c r="AD21" i="419"/>
  <c r="AD22" i="419" s="1"/>
  <c r="AC21" i="419"/>
  <c r="AB21" i="419"/>
  <c r="AA21" i="419"/>
  <c r="Z21" i="419"/>
  <c r="Z22" i="419" s="1"/>
  <c r="Y21" i="419"/>
  <c r="X21" i="419"/>
  <c r="X22" i="419" s="1"/>
  <c r="W21" i="419"/>
  <c r="W22" i="419" s="1"/>
  <c r="V21" i="419"/>
  <c r="V22" i="419" s="1"/>
  <c r="U21" i="419"/>
  <c r="T21" i="419"/>
  <c r="S21" i="419"/>
  <c r="R21" i="419"/>
  <c r="R22" i="419" s="1"/>
  <c r="Q21" i="419"/>
  <c r="P21" i="419"/>
  <c r="P22" i="419" s="1"/>
  <c r="O21" i="419"/>
  <c r="N21" i="419"/>
  <c r="N22" i="419" s="1"/>
  <c r="M21" i="419"/>
  <c r="L21" i="419"/>
  <c r="K21" i="419"/>
  <c r="J21" i="419"/>
  <c r="J22" i="419" s="1"/>
  <c r="I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AI16" i="419"/>
  <c r="AH16" i="419"/>
  <c r="AG16" i="419"/>
  <c r="AF16" i="419"/>
  <c r="AE16" i="419"/>
  <c r="AE18" i="419" s="1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O18" i="419" s="1"/>
  <c r="N16" i="419"/>
  <c r="M16" i="419"/>
  <c r="L16" i="419"/>
  <c r="K16" i="419"/>
  <c r="K18" i="419" s="1"/>
  <c r="J16" i="419"/>
  <c r="I16" i="419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I18" i="419" l="1"/>
  <c r="M18" i="419"/>
  <c r="Q18" i="419"/>
  <c r="U18" i="419"/>
  <c r="Y18" i="419"/>
  <c r="AC18" i="419"/>
  <c r="AG18" i="419"/>
  <c r="K23" i="419"/>
  <c r="O23" i="419"/>
  <c r="S23" i="419"/>
  <c r="AA23" i="419"/>
  <c r="AE23" i="419"/>
  <c r="O22" i="419"/>
  <c r="AE22" i="419"/>
  <c r="N23" i="419"/>
  <c r="V23" i="419"/>
  <c r="AD23" i="419"/>
  <c r="J18" i="419"/>
  <c r="N18" i="419"/>
  <c r="R18" i="419"/>
  <c r="V18" i="419"/>
  <c r="Z18" i="419"/>
  <c r="AD18" i="419"/>
  <c r="AH18" i="419"/>
  <c r="L23" i="419"/>
  <c r="T23" i="419"/>
  <c r="AB23" i="419"/>
  <c r="AF23" i="419"/>
  <c r="S22" i="419"/>
  <c r="W23" i="419"/>
  <c r="I23" i="419"/>
  <c r="M23" i="419"/>
  <c r="Q23" i="419"/>
  <c r="U23" i="419"/>
  <c r="Y23" i="419"/>
  <c r="AC23" i="419"/>
  <c r="AG23" i="419"/>
  <c r="J23" i="419"/>
  <c r="R23" i="419"/>
  <c r="Z23" i="419"/>
  <c r="AH23" i="419"/>
  <c r="L18" i="419"/>
  <c r="P18" i="419"/>
  <c r="T18" i="419"/>
  <c r="X18" i="419"/>
  <c r="AB18" i="419"/>
  <c r="AF18" i="419"/>
  <c r="AI18" i="419"/>
  <c r="K22" i="419"/>
  <c r="AA22" i="419"/>
  <c r="L22" i="419"/>
  <c r="T22" i="419"/>
  <c r="AB22" i="419"/>
  <c r="AF22" i="419"/>
  <c r="I22" i="419"/>
  <c r="M22" i="419"/>
  <c r="Q22" i="419"/>
  <c r="U22" i="419"/>
  <c r="Y22" i="419"/>
  <c r="AC22" i="419"/>
  <c r="AG22" i="419"/>
  <c r="P23" i="419"/>
  <c r="X23" i="419"/>
  <c r="AI23" i="419"/>
  <c r="M3" i="418"/>
  <c r="H21" i="419" l="1"/>
  <c r="H22" i="419" s="1"/>
  <c r="G21" i="419"/>
  <c r="G22" i="419" s="1"/>
  <c r="F21" i="419"/>
  <c r="F22" i="419" s="1"/>
  <c r="E21" i="419"/>
  <c r="D21" i="419"/>
  <c r="D22" i="419" s="1"/>
  <c r="C21" i="419"/>
  <c r="C22" i="419" s="1"/>
  <c r="H20" i="419"/>
  <c r="G20" i="419"/>
  <c r="F20" i="419"/>
  <c r="E20" i="419"/>
  <c r="D20" i="419"/>
  <c r="C20" i="419"/>
  <c r="H19" i="419"/>
  <c r="G19" i="419"/>
  <c r="F19" i="419"/>
  <c r="E19" i="419"/>
  <c r="D19" i="419"/>
  <c r="C19" i="419"/>
  <c r="H17" i="419"/>
  <c r="G17" i="419"/>
  <c r="F17" i="419"/>
  <c r="E17" i="419"/>
  <c r="D17" i="419"/>
  <c r="C17" i="419"/>
  <c r="H16" i="419"/>
  <c r="G16" i="419"/>
  <c r="F16" i="419"/>
  <c r="E16" i="419"/>
  <c r="D16" i="419"/>
  <c r="C16" i="419"/>
  <c r="H14" i="419"/>
  <c r="G14" i="419"/>
  <c r="F14" i="419"/>
  <c r="E14" i="419"/>
  <c r="D14" i="419"/>
  <c r="C14" i="419"/>
  <c r="H13" i="419"/>
  <c r="G13" i="419"/>
  <c r="F13" i="419"/>
  <c r="E13" i="419"/>
  <c r="D13" i="419"/>
  <c r="C13" i="419"/>
  <c r="H12" i="419"/>
  <c r="G12" i="419"/>
  <c r="F12" i="419"/>
  <c r="E12" i="419"/>
  <c r="D12" i="419"/>
  <c r="C12" i="419"/>
  <c r="H11" i="419"/>
  <c r="G11" i="419"/>
  <c r="F11" i="419"/>
  <c r="E11" i="419"/>
  <c r="D11" i="419"/>
  <c r="C11" i="419"/>
  <c r="E18" i="419" l="1"/>
  <c r="E23" i="419"/>
  <c r="F18" i="419"/>
  <c r="D18" i="419"/>
  <c r="H18" i="419"/>
  <c r="C18" i="419"/>
  <c r="G18" i="419"/>
  <c r="C23" i="419"/>
  <c r="G23" i="419"/>
  <c r="E22" i="419"/>
  <c r="F23" i="419"/>
  <c r="D23" i="419"/>
  <c r="H23" i="419"/>
  <c r="B21" i="419"/>
  <c r="B22" i="419" l="1"/>
  <c r="A27" i="383"/>
  <c r="G3" i="429"/>
  <c r="F3" i="429"/>
  <c r="E3" i="429"/>
  <c r="D3" i="429"/>
  <c r="C3" i="429"/>
  <c r="B3" i="429"/>
  <c r="A36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I26" i="419" l="1"/>
  <c r="AI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I27" i="419" l="1"/>
  <c r="G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I28" i="419" l="1"/>
  <c r="G25" i="419"/>
  <c r="G27" i="419" s="1"/>
  <c r="B25" i="419" l="1"/>
  <c r="B27" i="419" s="1"/>
  <c r="G28" i="419"/>
  <c r="B28" i="419" s="1"/>
  <c r="A7" i="339"/>
  <c r="D3" i="418" l="1"/>
  <c r="AH6" i="419" l="1"/>
  <c r="AD6" i="419"/>
  <c r="V6" i="419"/>
  <c r="N6" i="419"/>
  <c r="P6" i="419"/>
  <c r="AG6" i="419"/>
  <c r="AC6" i="419"/>
  <c r="Y6" i="419"/>
  <c r="U6" i="419"/>
  <c r="Q6" i="419"/>
  <c r="M6" i="419"/>
  <c r="I6" i="419"/>
  <c r="L6" i="419"/>
  <c r="AI6" i="419"/>
  <c r="AF6" i="419"/>
  <c r="AB6" i="419"/>
  <c r="X6" i="419"/>
  <c r="T6" i="419"/>
  <c r="AE6" i="419"/>
  <c r="AA6" i="419"/>
  <c r="W6" i="419"/>
  <c r="S6" i="419"/>
  <c r="O6" i="419"/>
  <c r="K6" i="419"/>
  <c r="Z6" i="419"/>
  <c r="R6" i="419"/>
  <c r="J6" i="419"/>
  <c r="E6" i="419"/>
  <c r="H6" i="419"/>
  <c r="D6" i="419"/>
  <c r="G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D4" i="414"/>
  <c r="D16" i="414"/>
  <c r="C16" i="414"/>
  <c r="D19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2" i="414"/>
  <c r="D22" i="414"/>
  <c r="N3" i="372" l="1"/>
  <c r="H3" i="390"/>
  <c r="Q3" i="347"/>
  <c r="S3" i="347"/>
  <c r="U3" i="347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D18" i="414"/>
  <c r="C4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<sst xmlns="http://schemas.openxmlformats.org/spreadsheetml/2006/main" count="7655" uniqueCount="1599">
  <si>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</si>
  <si>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</si>
  <si>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</si>
  <si>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</si>
  <si>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</si>
  <si>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</si>
  <si>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</si>
  <si>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</si>
  <si>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</si>
  <si>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</si>
  <si>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</si>
  <si>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</si>
  <si>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</si>
  <si>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</si>
  <si>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</si>
  <si>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</si>
  <si>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</si>
  <si>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</si>
  <si>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</si>
  <si>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</si>
  <si>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</si>
  <si>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</si>
  <si>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</si>
  <si>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</si>
  <si>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</si>
  <si>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</si>
  <si>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</si>
  <si>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</si>
  <si>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</si>
  <si>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</si>
  <si>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</si>
  <si>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</si>
  <si>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</si>
  <si>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</si>
  <si>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</si>
  <si>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</si>
  <si>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</si>
  <si>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</si>
  <si>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</si>
  <si>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</si>
  <si>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</si>
  <si>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</si>
  <si>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</si>
  <si>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</si>
  <si>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</si>
  <si>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</si>
  <si>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</si>
  <si>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</si>
  <si>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</si>
  <si>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</si>
  <si>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</si>
  <si>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</si>
  <si>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</si>
  <si>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</si>
  <si>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</si>
  <si>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</si>
  <si>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</si>
  <si>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</si>
  <si>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</si>
  <si>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</si>
  <si>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</si>
  <si>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</si>
  <si>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</si>
  <si>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</si>
  <si>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</si>
  <si>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</si>
  <si>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</si>
  <si>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</si>
  <si>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</si>
  <si>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</si>
  <si>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</si>
  <si>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</si>
  <si>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</si>
  <si>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</si>
  <si>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</si>
  <si>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</si>
  <si>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</si>
  <si>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</si>
  <si>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</si>
  <si>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</si>
  <si>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</si>
  <si>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</si>
  <si>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</si>
  <si>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</si>
  <si>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</si>
  <si>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</si>
  <si>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</si>
  <si>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</si>
  <si>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</si>
  <si>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</si>
  <si>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</si>
  <si>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</si>
  <si>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</si>
  <si>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</si>
  <si>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</si>
  <si>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</si>
  <si>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</si>
  <si>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</si>
  <si>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</si>
  <si>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</si>
  <si>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</si>
  <si>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</si>
  <si>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</si>
  <si>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</si>
  <si>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</si>
  <si>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</si>
  <si>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</si>
  <si>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</si>
  <si>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</si>
  <si>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</si>
  <si>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</si>
  <si>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</si>
  <si>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</si>
  <si>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</si>
  <si>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</si>
  <si>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</si>
  <si>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</si>
  <si>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</si>
  <si>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</si>
  <si>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</si>
  <si>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</si>
  <si>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</si>
  <si>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</si>
  <si>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</si>
  <si>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</si>
  <si>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</si>
  <si>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</si>
  <si>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</si>
  <si>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</si>
  <si>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</si>
  <si>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</si>
  <si>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</si>
  <si>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</si>
  <si>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</si>
  <si>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</si>
  <si>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</si>
  <si>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</si>
  <si>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</si>
  <si>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</si>
  <si>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</si>
  <si>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</si>
  <si>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</si>
  <si>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</si>
  <si>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</si>
  <si>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</si>
  <si>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</si>
  <si>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</si>
  <si>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</si>
  <si>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</si>
  <si>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</si>
  <si>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</si>
  <si>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</si>
  <si>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</si>
  <si>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</si>
  <si>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</si>
  <si>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</si>
  <si>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</si>
  <si>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</si>
  <si>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</si>
  <si>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</si>
  <si>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</si>
  <si>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</si>
  <si>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</si>
  <si>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</si>
  <si>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</si>
  <si>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</si>
  <si>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</si>
  <si>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</si>
  <si>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</si>
  <si>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</si>
  <si>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</si>
  <si>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</si>
  <si>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</si>
  <si>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</si>
  <si>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</si>
  <si>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</si>
  <si>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</si>
  <si>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</si>
  <si>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</si>
  <si>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</si>
  <si>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</si>
  <si>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</si>
  <si>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</si>
  <si>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</si>
  <si>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</si>
  <si>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</si>
  <si>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</si>
  <si>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</si>
  <si>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</si>
  <si>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</si>
  <si>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</si>
  <si>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</si>
  <si>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</si>
  <si>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</si>
  <si>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</si>
  <si>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</si>
  <si>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</si>
  <si>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</si>
  <si>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</si>
  <si>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</si>
  <si>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</si>
  <si>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</si>
  <si>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</si>
  <si>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</si>
  <si>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</si>
  <si>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</si>
  <si>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</si>
  <si>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</si>
  <si>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</si>
  <si>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</si>
  <si>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</si>
  <si>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</si>
  <si>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</si>
  <si>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</si>
  <si>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</si>
  <si>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</si>
  <si>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</si>
  <si>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</si>
  <si>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</si>
  <si>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</si>
  <si>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</si>
  <si>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</si>
  <si>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</si>
  <si>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</si>
  <si>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</si>
  <si>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</si>
  <si>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</si>
  <si>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</si>
  <si>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</si>
  <si>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</si>
  <si>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</si>
  <si>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</si>
  <si>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</si>
  <si>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</si>
  <si>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</si>
  <si>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</si>
  <si>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</si>
  <si>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farmaceuti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</si>
  <si>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</si>
  <si>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</si>
  <si>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</si>
  <si>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</si>
  <si>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</si>
  <si>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</si>
  <si>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</si>
  <si>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</si>
  <si>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</si>
  <si>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</si>
  <si>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</si>
  <si>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</si>
  <si>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</si>
  <si>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</si>
  <si>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</si>
  <si>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</si>
  <si>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</si>
  <si>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</si>
  <si>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</si>
  <si>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</si>
  <si>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</si>
  <si>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</si>
  <si>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</si>
  <si>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</si>
  <si>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</si>
  <si>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</si>
  <si>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</si>
  <si>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</si>
  <si>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</si>
  <si>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</si>
  <si>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</si>
  <si>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</si>
  <si>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</si>
  <si>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</si>
  <si>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</si>
  <si>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</si>
  <si>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</si>
  <si>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</si>
  <si>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</si>
  <si>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</si>
  <si>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</si>
  <si>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</si>
  <si>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</si>
  <si>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</si>
  <si>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</si>
  <si>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</si>
  <si>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</si>
  <si>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</si>
  <si>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</si>
  <si>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</si>
  <si>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</si>
  <si>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</si>
  <si>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</si>
  <si>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</si>
  <si>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</si>
  <si>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</si>
  <si>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</si>
  <si>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</si>
  <si>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</si>
  <si>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</si>
  <si>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</si>
  <si>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</si>
  <si>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</si>
  <si>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</si>
  <si>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</si>
  <si>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</si>
  <si>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</si>
  <si>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</si>
  <si>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</si>
  <si>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</si>
  <si>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</si>
  <si>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</si>
  <si>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</si>
  <si>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</si>
  <si>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</si>
  <si>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</si>
  <si>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</si>
  <si>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</si>
  <si>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</si>
  <si>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</si>
  <si>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</si>
  <si>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</si>
  <si>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</si>
  <si>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</si>
  <si>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</si>
  <si>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</si>
  <si>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</si>
  <si>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</si>
  <si>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</si>
  <si>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</si>
  <si>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</si>
  <si>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</si>
  <si>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</si>
  <si>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</si>
  <si>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</si>
  <si>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</si>
  <si>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</si>
  <si>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</si>
  <si>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Klinika nukleární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</si>
  <si>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</si>
  <si>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</si>
  <si>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</si>
  <si>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</si>
  <si>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</si>
  <si>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</si>
  <si>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</si>
  <si>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</si>
  <si>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</si>
  <si>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50113005     léky - radiofarmaka (KNM)</t>
  </si>
  <si>
    <t>50113006     léky - enter. a parenter. výživa (LEK)</t>
  </si>
  <si>
    <t>50113009     léky - RTG diagnostika ZUL (LEK)</t>
  </si>
  <si>
    <t>50113013     léky (paušál) - antibiotika (LEK)</t>
  </si>
  <si>
    <t>50113014     léky (paušál) - antimykotika (LEK)</t>
  </si>
  <si>
    <t>--</t>
  </si>
  <si>
    <t>50113016     léky - spotřeba v centrech (LEK)</t>
  </si>
  <si>
    <t>50114     Krevní přípravky</t>
  </si>
  <si>
    <t>50114002     krevní přípravky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</si>
  <si>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</si>
  <si>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</si>
  <si>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</si>
  <si>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</si>
  <si>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</si>
  <si>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</si>
  <si>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</si>
  <si>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</si>
  <si>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</si>
  <si>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</si>
  <si>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</si>
  <si>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</si>
  <si>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</si>
  <si>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</si>
  <si>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</si>
  <si>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</si>
  <si>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</si>
  <si>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</si>
  <si>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</si>
  <si>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</si>
  <si>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</si>
  <si>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</si>
  <si>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</si>
  <si>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</si>
  <si>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</si>
  <si>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</si>
  <si>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</si>
  <si>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</si>
  <si>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</si>
  <si>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</si>
  <si>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</si>
  <si>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</si>
  <si>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</si>
  <si>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</si>
  <si>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</si>
  <si>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</si>
  <si>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</si>
  <si>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</si>
  <si>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</si>
  <si>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</si>
  <si>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</si>
  <si>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</si>
  <si>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</si>
  <si>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</si>
  <si>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</si>
  <si>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</si>
  <si>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</si>
  <si>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</si>
  <si>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</si>
  <si>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</si>
  <si>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</si>
  <si>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</si>
  <si>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</si>
  <si>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</si>
  <si>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</si>
  <si>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</si>
  <si>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</si>
  <si>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</si>
  <si>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</si>
  <si>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</si>
  <si>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</si>
  <si>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</si>
  <si>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</si>
  <si>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</si>
  <si>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</si>
  <si>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</si>
  <si>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</si>
  <si>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</si>
  <si>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</si>
  <si>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</si>
  <si>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51874015     organ.rozvoj (certif., akred.)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</si>
  <si>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</si>
  <si>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</si>
  <si>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</si>
  <si>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</si>
  <si>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</si>
  <si>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</si>
  <si>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</si>
  <si>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</si>
  <si>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</si>
  <si>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</si>
  <si>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</si>
  <si>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</si>
  <si>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</si>
  <si>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</si>
  <si>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</si>
  <si>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</si>
  <si>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</si>
  <si>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</si>
  <si>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</si>
  <si>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</si>
  <si>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</si>
  <si>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</si>
  <si>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</si>
  <si>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</si>
  <si>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</si>
  <si>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</si>
  <si>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</si>
  <si>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</si>
  <si>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</si>
  <si>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</si>
  <si>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</si>
  <si>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</si>
  <si>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</si>
  <si>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</si>
  <si>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</si>
  <si>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</si>
  <si>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</si>
  <si>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</si>
  <si>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</si>
  <si>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</si>
  <si>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</si>
  <si>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</si>
  <si>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</si>
  <si>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</si>
  <si>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</si>
  <si>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</si>
  <si>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</si>
  <si>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</si>
  <si>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</si>
  <si>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</si>
  <si>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</si>
  <si>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</si>
  <si>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</si>
  <si>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</si>
  <si>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</si>
  <si>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</si>
  <si>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</si>
  <si>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</si>
  <si>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</si>
  <si>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60229246     PET/CT (pouze rozp.)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</si>
  <si>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</si>
  <si>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</si>
  <si>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</si>
  <si>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</si>
  <si>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</si>
  <si>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</si>
  <si>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</si>
  <si>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</si>
  <si>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</si>
  <si>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</si>
  <si>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</si>
  <si>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</si>
  <si>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</si>
  <si>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</si>
  <si>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</si>
  <si>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</si>
  <si>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</si>
  <si>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</si>
  <si>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</si>
  <si>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</si>
  <si>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</si>
  <si>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</si>
  <si>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</si>
  <si>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</si>
  <si>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</si>
  <si>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</si>
  <si>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</si>
  <si>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</si>
  <si>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</si>
  <si>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</si>
  <si>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</si>
  <si>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</si>
  <si>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</si>
  <si>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</si>
  <si>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</si>
  <si>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</si>
  <si>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</si>
  <si>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</si>
  <si>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</si>
  <si>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</si>
  <si>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</si>
  <si>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</si>
  <si>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</si>
  <si>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22</t>
  </si>
  <si>
    <t>Klinika nukleární medicíny</t>
  </si>
  <si>
    <t/>
  </si>
  <si>
    <t>Klinika nukleární medicíny Celkem</t>
  </si>
  <si>
    <t>SumaKL</t>
  </si>
  <si>
    <t>2211</t>
  </si>
  <si>
    <t>lůžkové oddělení 40</t>
  </si>
  <si>
    <t>lůžkové oddělení 40 Celkem</t>
  </si>
  <si>
    <t>SumaNS</t>
  </si>
  <si>
    <t>mezeraNS</t>
  </si>
  <si>
    <t>2221</t>
  </si>
  <si>
    <t>ambulance</t>
  </si>
  <si>
    <t>ambulance Celkem</t>
  </si>
  <si>
    <t>2241</t>
  </si>
  <si>
    <t>laboratoř-SVLS</t>
  </si>
  <si>
    <t>laboratoř-SVLS Celkem</t>
  </si>
  <si>
    <t>2251</t>
  </si>
  <si>
    <t xml:space="preserve">přístr.pracoviště - PET </t>
  </si>
  <si>
    <t>přístr.pracoviště - PET  Celkem</t>
  </si>
  <si>
    <t>2294</t>
  </si>
  <si>
    <t>centrum - KNM</t>
  </si>
  <si>
    <t>centrum - KNM Celkem</t>
  </si>
  <si>
    <t>50113001</t>
  </si>
  <si>
    <t>O</t>
  </si>
  <si>
    <t>100362</t>
  </si>
  <si>
    <t>362</t>
  </si>
  <si>
    <t>ADRENALIN LECIVA</t>
  </si>
  <si>
    <t>INJ 5X1ML/1MG</t>
  </si>
  <si>
    <t>102420</t>
  </si>
  <si>
    <t>2420</t>
  </si>
  <si>
    <t>PANCREOLAN FORTE</t>
  </si>
  <si>
    <t>TBL ENT 30X220MG</t>
  </si>
  <si>
    <t>132225</t>
  </si>
  <si>
    <t>32225</t>
  </si>
  <si>
    <t>BETALOC ZOK 25 MG</t>
  </si>
  <si>
    <t>TBL RET 28X25MG</t>
  </si>
  <si>
    <t>188217</t>
  </si>
  <si>
    <t>88217</t>
  </si>
  <si>
    <t>LEXAURIN</t>
  </si>
  <si>
    <t>TBL 30X1.5MG</t>
  </si>
  <si>
    <t>188630</t>
  </si>
  <si>
    <t>88630</t>
  </si>
  <si>
    <t>TBL.MAGNESII LACTICI 0.5 GLO</t>
  </si>
  <si>
    <t>TBL 100X500MG</t>
  </si>
  <si>
    <t>846413</t>
  </si>
  <si>
    <t>57585</t>
  </si>
  <si>
    <t>Espumisan cps.100x40mg-blistr</t>
  </si>
  <si>
    <t>0057585</t>
  </si>
  <si>
    <t>847713</t>
  </si>
  <si>
    <t>125526</t>
  </si>
  <si>
    <t>APO-IBUPROFEN 400 MG</t>
  </si>
  <si>
    <t>POR TBL FLM 100X400MG</t>
  </si>
  <si>
    <t>849941</t>
  </si>
  <si>
    <t>162142</t>
  </si>
  <si>
    <t>PARALEN 500</t>
  </si>
  <si>
    <t>POR TBL NOB 24X500MG</t>
  </si>
  <si>
    <t>100231</t>
  </si>
  <si>
    <t>231</t>
  </si>
  <si>
    <t>NITROGLYCERIN SLOVAKOFARMA</t>
  </si>
  <si>
    <t>TBL 20X0.5MG</t>
  </si>
  <si>
    <t>117172</t>
  </si>
  <si>
    <t>17172</t>
  </si>
  <si>
    <t>OLYNTH 0.05%</t>
  </si>
  <si>
    <t>NAS SPR SOL 1X10ML</t>
  </si>
  <si>
    <t>841498</t>
  </si>
  <si>
    <t>Carbosorb tbl.20-blistr</t>
  </si>
  <si>
    <t>846618</t>
  </si>
  <si>
    <t>100014</t>
  </si>
  <si>
    <t>IBALGIN 200</t>
  </si>
  <si>
    <t>POR TBL FLM 24X200MG</t>
  </si>
  <si>
    <t>102963</t>
  </si>
  <si>
    <t>2963</t>
  </si>
  <si>
    <t>PREDNISON 20 LECIVA</t>
  </si>
  <si>
    <t>TBL 20X20MG(BLISTR)</t>
  </si>
  <si>
    <t>844964</t>
  </si>
  <si>
    <t>40542</t>
  </si>
  <si>
    <t>Olynth HA 0,1</t>
  </si>
  <si>
    <t>156926</t>
  </si>
  <si>
    <t>56926</t>
  </si>
  <si>
    <t>AQUA PRO INJECTIONE BRAUN</t>
  </si>
  <si>
    <t>INJ SOL 20X10ML-PLA</t>
  </si>
  <si>
    <t>162323</t>
  </si>
  <si>
    <t>62323</t>
  </si>
  <si>
    <t>MAXI-KALZ 1000</t>
  </si>
  <si>
    <t>TBL EFF 10X1000MG</t>
  </si>
  <si>
    <t>844148</t>
  </si>
  <si>
    <t>104694</t>
  </si>
  <si>
    <t>MUCOSOLVAN PRO DOSPĚLÉ</t>
  </si>
  <si>
    <t>POR SIR 1X100ML</t>
  </si>
  <si>
    <t>114826</t>
  </si>
  <si>
    <t>14826</t>
  </si>
  <si>
    <t>FLECTOR EP GEL</t>
  </si>
  <si>
    <t>DRM GEL 1X100GM</t>
  </si>
  <si>
    <t>176954</t>
  </si>
  <si>
    <t>ALGIFEN NEO</t>
  </si>
  <si>
    <t>POR GTT SOL 1X50ML</t>
  </si>
  <si>
    <t>P</t>
  </si>
  <si>
    <t>142547</t>
  </si>
  <si>
    <t>42547</t>
  </si>
  <si>
    <t>LACTULOSE AL SIRUP</t>
  </si>
  <si>
    <t>POR SIR 1X500ML</t>
  </si>
  <si>
    <t>147144</t>
  </si>
  <si>
    <t>47144</t>
  </si>
  <si>
    <t>LETROX 100</t>
  </si>
  <si>
    <t>TBL 100X100RG</t>
  </si>
  <si>
    <t>169189</t>
  </si>
  <si>
    <t>69189</t>
  </si>
  <si>
    <t>EUTHYROX 50</t>
  </si>
  <si>
    <t>TBL 100X50RG</t>
  </si>
  <si>
    <t>187425</t>
  </si>
  <si>
    <t>LETROX 50</t>
  </si>
  <si>
    <t>POR TBL NOB 100X50RG II</t>
  </si>
  <si>
    <t>169714</t>
  </si>
  <si>
    <t>LETROX 125</t>
  </si>
  <si>
    <t>POR TBL NOB 100X125MCG</t>
  </si>
  <si>
    <t>51366</t>
  </si>
  <si>
    <t>CHLORID SODNÝ 0,9% BRAUN</t>
  </si>
  <si>
    <t>INF SOL 20X100MLPELAH</t>
  </si>
  <si>
    <t>51367</t>
  </si>
  <si>
    <t>INF SOL 10X250MLPELAH</t>
  </si>
  <si>
    <t>100498</t>
  </si>
  <si>
    <t>498</t>
  </si>
  <si>
    <t>MAGNESIUM SULFURICUM BIOTIKA</t>
  </si>
  <si>
    <t>INJ 5X10ML 10%</t>
  </si>
  <si>
    <t>100516</t>
  </si>
  <si>
    <t>516</t>
  </si>
  <si>
    <t>NATRIUM CHLORATUM BIOTIKA ISOT.</t>
  </si>
  <si>
    <t>INJ 10X10ML</t>
  </si>
  <si>
    <t>102133</t>
  </si>
  <si>
    <t>2133</t>
  </si>
  <si>
    <t>FUROSEMID BIOTIKA</t>
  </si>
  <si>
    <t>INJ 5X2ML/20MG</t>
  </si>
  <si>
    <t>100536</t>
  </si>
  <si>
    <t>536</t>
  </si>
  <si>
    <t>NORADRENALIN LECIVA</t>
  </si>
  <si>
    <t>104380</t>
  </si>
  <si>
    <t>4380</t>
  </si>
  <si>
    <t>TENSAMIN</t>
  </si>
  <si>
    <t>INJ 10X5ML</t>
  </si>
  <si>
    <t>196610</t>
  </si>
  <si>
    <t>96610</t>
  </si>
  <si>
    <t>APAURIN</t>
  </si>
  <si>
    <t>INJ 10X2ML/10MG</t>
  </si>
  <si>
    <t>185071</t>
  </si>
  <si>
    <t>85071</t>
  </si>
  <si>
    <t>NITROMINT</t>
  </si>
  <si>
    <t>ORM SPR SLG 1X10GM</t>
  </si>
  <si>
    <t>394627</t>
  </si>
  <si>
    <t>KL BARVA NA  DETI 20 g</t>
  </si>
  <si>
    <t>169751</t>
  </si>
  <si>
    <t>69751</t>
  </si>
  <si>
    <t>ARDEANUTRISOL G 20</t>
  </si>
  <si>
    <t>INF SOL 1X80ML</t>
  </si>
  <si>
    <t>131934</t>
  </si>
  <si>
    <t>31934</t>
  </si>
  <si>
    <t>VENTOLIN INHALER N</t>
  </si>
  <si>
    <t>INHSUSPSS200X100RG</t>
  </si>
  <si>
    <t>130160</t>
  </si>
  <si>
    <t>30160</t>
  </si>
  <si>
    <t>MIDAZOLAM TORREX 1MG/ML</t>
  </si>
  <si>
    <t>INJ 10X2ML/2MG</t>
  </si>
  <si>
    <t>50113009</t>
  </si>
  <si>
    <t>167779</t>
  </si>
  <si>
    <t>RAPISCAN 400 MCG</t>
  </si>
  <si>
    <t>INJ SOL 1X5ML</t>
  </si>
  <si>
    <t>192729</t>
  </si>
  <si>
    <t>92729</t>
  </si>
  <si>
    <t>ACIDUM ASCORBICUM</t>
  </si>
  <si>
    <t>INJ 5X5ML</t>
  </si>
  <si>
    <t>51383</t>
  </si>
  <si>
    <t>INF SOL 10X500MLPELAH</t>
  </si>
  <si>
    <t>193746</t>
  </si>
  <si>
    <t>93746</t>
  </si>
  <si>
    <t>HEPARIN LECIVA</t>
  </si>
  <si>
    <t>INJ 1X10ML/50KU</t>
  </si>
  <si>
    <t>845369</t>
  </si>
  <si>
    <t>107987</t>
  </si>
  <si>
    <t>ANALGIN</t>
  </si>
  <si>
    <t>INJ SOL 5X5ML</t>
  </si>
  <si>
    <t>51384</t>
  </si>
  <si>
    <t>INF SOL 10X1000MLPLAH</t>
  </si>
  <si>
    <t>198169</t>
  </si>
  <si>
    <t>98169</t>
  </si>
  <si>
    <t>BUSCOPAN</t>
  </si>
  <si>
    <t>INJ 5X1ML/20MG</t>
  </si>
  <si>
    <t>187000</t>
  </si>
  <si>
    <t>87000</t>
  </si>
  <si>
    <t>ARDEAOSMOSOL MA 20 (Mannitol)</t>
  </si>
  <si>
    <t>INF 1X200ML</t>
  </si>
  <si>
    <t>132087</t>
  </si>
  <si>
    <t>32087</t>
  </si>
  <si>
    <t>TRALGIT 100 INJ</t>
  </si>
  <si>
    <t>INJ SOL 5X2ML/100MG</t>
  </si>
  <si>
    <t>110820</t>
  </si>
  <si>
    <t>10820</t>
  </si>
  <si>
    <t>ZOFRAN</t>
  </si>
  <si>
    <t>INJ SOL 5X4ML/8MG</t>
  </si>
  <si>
    <t>122048</t>
  </si>
  <si>
    <t>22048</t>
  </si>
  <si>
    <t>IOMERON 300</t>
  </si>
  <si>
    <t>INJ SOL 1X50ML</t>
  </si>
  <si>
    <t>122077</t>
  </si>
  <si>
    <t>22077</t>
  </si>
  <si>
    <t>IOMERON 400</t>
  </si>
  <si>
    <t>INJ SOL 1X200ML</t>
  </si>
  <si>
    <t>195609</t>
  </si>
  <si>
    <t>95609</t>
  </si>
  <si>
    <t>MICROPAQUE CT</t>
  </si>
  <si>
    <t>SUS 1X2000ML/100GM</t>
  </si>
  <si>
    <t>122075</t>
  </si>
  <si>
    <t>22075</t>
  </si>
  <si>
    <t>INJ SOL 1X100ML</t>
  </si>
  <si>
    <t>193626</t>
  </si>
  <si>
    <t>93626</t>
  </si>
  <si>
    <t>ULTRAVIST 370</t>
  </si>
  <si>
    <t>50113016</t>
  </si>
  <si>
    <t>27720</t>
  </si>
  <si>
    <t>THYROGEN 0.9 MG</t>
  </si>
  <si>
    <t>INJ PLV SOL 2X0.9MG</t>
  </si>
  <si>
    <t>Klinika nukleární medicíny, lůžkové oddělení 40</t>
  </si>
  <si>
    <t>Klinika nukleární medicíny, ambulance</t>
  </si>
  <si>
    <t>Klinika nukleární medicíny, laboratoř-SVLS</t>
  </si>
  <si>
    <t>KNM, přístr.pracoviště - PET</t>
  </si>
  <si>
    <t>Klinika nukleární medicíny, centrum - KNM</t>
  </si>
  <si>
    <t>Lékárna - léčiva</t>
  </si>
  <si>
    <t>Lékárna - RTG diagnostika</t>
  </si>
  <si>
    <t>Lékárna - centrové léky</t>
  </si>
  <si>
    <t>2211 - Klinika nukleární medicíny, lůžkové oddělení 40</t>
  </si>
  <si>
    <t>2251 - KNM, přístr.pracoviště - PET</t>
  </si>
  <si>
    <t>2221 - Klinika nukleární medicíny, ambulance</t>
  </si>
  <si>
    <t>A04AA01 - Ondansetron</t>
  </si>
  <si>
    <t>R03AC02 - Salbutamol</t>
  </si>
  <si>
    <t>N05CD08 - Midazolam</t>
  </si>
  <si>
    <t>A06AD11 - Laktulóza</t>
  </si>
  <si>
    <t>V08AB05 - Jopromid</t>
  </si>
  <si>
    <t>H03AA01 - Levothyroxin, sodná sůl</t>
  </si>
  <si>
    <t>N02AX02 - Tramadol</t>
  </si>
  <si>
    <t>A06AD11</t>
  </si>
  <si>
    <t>H03AA01</t>
  </si>
  <si>
    <t>POR TBL NOB 100X100RG I</t>
  </si>
  <si>
    <t>EUTHYROX 50 MIKROGRAMŮ</t>
  </si>
  <si>
    <t>POR TBL NOB 100X50RG</t>
  </si>
  <si>
    <t>N05CD08</t>
  </si>
  <si>
    <t>MIDAZOLAM TORREX 1 MG/ML</t>
  </si>
  <si>
    <t>INJ SOL 10X2ML/2MG</t>
  </si>
  <si>
    <t>R03AC02</t>
  </si>
  <si>
    <t>INH SUS PSS 200X100RG</t>
  </si>
  <si>
    <t>A04AA01</t>
  </si>
  <si>
    <t>N02AX02</t>
  </si>
  <si>
    <t>V08AB05</t>
  </si>
  <si>
    <t>Přehled plnění pozitivního listu - spotřeba léčivých přípravků - orientační přehled</t>
  </si>
  <si>
    <t>22 - Klinika nukleární medicíny</t>
  </si>
  <si>
    <t>2211 - lůžkové oddělení 40</t>
  </si>
  <si>
    <t>2221 - ambulance</t>
  </si>
  <si>
    <t>2241 - laboratoř-SVLS</t>
  </si>
  <si>
    <t xml:space="preserve">2251 - přístr.pracoviště - PET </t>
  </si>
  <si>
    <t>2294 - centrum - KNM</t>
  </si>
  <si>
    <t>HVLP</t>
  </si>
  <si>
    <t>89301221</t>
  </si>
  <si>
    <t>Standardní lůžková péče Celkem</t>
  </si>
  <si>
    <t>89301222</t>
  </si>
  <si>
    <t>Všeobecná ambulance Celkem</t>
  </si>
  <si>
    <t>Budíková Miroslava</t>
  </si>
  <si>
    <t>Dočkal Milan</t>
  </si>
  <si>
    <t>Formánek Radim</t>
  </si>
  <si>
    <t>Henzlová Lenka</t>
  </si>
  <si>
    <t>Kamínek Milan</t>
  </si>
  <si>
    <t>Koranda Pavel</t>
  </si>
  <si>
    <t>Metelková Iva</t>
  </si>
  <si>
    <t>Mysliveček Miroslav</t>
  </si>
  <si>
    <t>Polzerová Hana</t>
  </si>
  <si>
    <t>Marcinková Jana</t>
  </si>
  <si>
    <t>Levothyroxin, sodná sůl</t>
  </si>
  <si>
    <t>30021</t>
  </si>
  <si>
    <t>47133</t>
  </si>
  <si>
    <t>LETROX 150</t>
  </si>
  <si>
    <t>POR TBL NOB 100X150RG</t>
  </si>
  <si>
    <t>Omeprazol</t>
  </si>
  <si>
    <t>25366</t>
  </si>
  <si>
    <t>HELICID 20 ZENTIVA</t>
  </si>
  <si>
    <t>POR CPS ETD 90X20MG</t>
  </si>
  <si>
    <t>Prednison</t>
  </si>
  <si>
    <t>PREDNISON 20 LÉČIVA</t>
  </si>
  <si>
    <t>POR TBL NOB 20X20MG</t>
  </si>
  <si>
    <t>Uhličitan vápenatý</t>
  </si>
  <si>
    <t>17994</t>
  </si>
  <si>
    <t>CALCII CARBONICI 0,5 TBL. MEDICAMENTA</t>
  </si>
  <si>
    <t>POR TBL NOB 100X0.5GM</t>
  </si>
  <si>
    <t>POR TBL EFF 10X1000MG</t>
  </si>
  <si>
    <t>Chlorid draselný</t>
  </si>
  <si>
    <t>17188</t>
  </si>
  <si>
    <t>KALIUM CHLORATUM BIOMEDICA</t>
  </si>
  <si>
    <t>POR TBL ENT 50X500MG</t>
  </si>
  <si>
    <t>Jiná</t>
  </si>
  <si>
    <t>999999</t>
  </si>
  <si>
    <t>Jiný</t>
  </si>
  <si>
    <t>147460</t>
  </si>
  <si>
    <t>EUTHYROX 200 MIKROGRAMŮ</t>
  </si>
  <si>
    <t>POR TBL NOB 100X200RG I</t>
  </si>
  <si>
    <t>147464</t>
  </si>
  <si>
    <t>EUTHYROX 137 MIKROGRAMŮ</t>
  </si>
  <si>
    <t>POR TBL NOB 100X137RG I</t>
  </si>
  <si>
    <t>187427</t>
  </si>
  <si>
    <t>POR TBL NOB 100X100RG II</t>
  </si>
  <si>
    <t>30018</t>
  </si>
  <si>
    <t>LETROX 75</t>
  </si>
  <si>
    <t>POR TBL NOB 100X75MCG I</t>
  </si>
  <si>
    <t>132530</t>
  </si>
  <si>
    <t>HELICID 20</t>
  </si>
  <si>
    <t>POR CPS ETD 28X20MG</t>
  </si>
  <si>
    <t>132531</t>
  </si>
  <si>
    <t>147462</t>
  </si>
  <si>
    <t>POR TBL NOB 100X200RG II</t>
  </si>
  <si>
    <t>147466</t>
  </si>
  <si>
    <t>POR TBL NOB 100X137RG II</t>
  </si>
  <si>
    <t>46694</t>
  </si>
  <si>
    <t>EUTHYROX 125 MIKROGRAMŮ</t>
  </si>
  <si>
    <t>POR TBL NOB 100X125RG</t>
  </si>
  <si>
    <t>69190</t>
  </si>
  <si>
    <t>POR TBL NOB 50X50RG</t>
  </si>
  <si>
    <t>69191</t>
  </si>
  <si>
    <t>EUTHYROX 150 MIKROGRAMŮ</t>
  </si>
  <si>
    <t>97186</t>
  </si>
  <si>
    <t>EUTHYROX 100 MIKROGRAMŮ</t>
  </si>
  <si>
    <t>POR TBL NOB 100X100RG</t>
  </si>
  <si>
    <t>47132</t>
  </si>
  <si>
    <t>POR TBL NOB 50X150RG</t>
  </si>
  <si>
    <t>Propylthiouracil</t>
  </si>
  <si>
    <t>14913</t>
  </si>
  <si>
    <t>PROPYCIL 50</t>
  </si>
  <si>
    <t>POR TBL NOB 20X50MG</t>
  </si>
  <si>
    <t>Alfakalcidol</t>
  </si>
  <si>
    <t>14398</t>
  </si>
  <si>
    <t>ALPHA D3 1 MIKROGRAM</t>
  </si>
  <si>
    <t>POR CPS MOL 30X1RG</t>
  </si>
  <si>
    <t>Amoxicilin a enzymový inhibitor</t>
  </si>
  <si>
    <t>5951</t>
  </si>
  <si>
    <t>AMOKSIKLAV 1 G</t>
  </si>
  <si>
    <t>POR TBL FLM 14</t>
  </si>
  <si>
    <t>Bilastin</t>
  </si>
  <si>
    <t>148675</t>
  </si>
  <si>
    <t>XADOS 20 MG TABLETY</t>
  </si>
  <si>
    <t>POR TBL NOB 50X20MG</t>
  </si>
  <si>
    <t>Citalopram</t>
  </si>
  <si>
    <t>203106</t>
  </si>
  <si>
    <t>CITALEC 20 ZENTIVA</t>
  </si>
  <si>
    <t>POR TBL FLM 60X20 MG</t>
  </si>
  <si>
    <t>Desloratadin</t>
  </si>
  <si>
    <t>26330</t>
  </si>
  <si>
    <t>AERIUS 5 MG</t>
  </si>
  <si>
    <t>POR TBL FLM 50X5MG</t>
  </si>
  <si>
    <t>Erdostein</t>
  </si>
  <si>
    <t>87076</t>
  </si>
  <si>
    <t>ERDOMED</t>
  </si>
  <si>
    <t>POR CPS DUR 20X300MG</t>
  </si>
  <si>
    <t>Hydrokortison</t>
  </si>
  <si>
    <t>2668</t>
  </si>
  <si>
    <t>OPHTHALMO-HYDROCORTISON LÉČIVA</t>
  </si>
  <si>
    <t>OPH UNG 1X5GM/25MG</t>
  </si>
  <si>
    <t>Isotretinoin, kombinace</t>
  </si>
  <si>
    <t>169737</t>
  </si>
  <si>
    <t>ISOTREXIN</t>
  </si>
  <si>
    <t>DRM GEL 1X30GM</t>
  </si>
  <si>
    <t>Kalcitriol</t>
  </si>
  <si>
    <t>14935</t>
  </si>
  <si>
    <t>ROCALTROL 0,25 MCG</t>
  </si>
  <si>
    <t>POR CPS MOL 30X0.25RG</t>
  </si>
  <si>
    <t>Klarithromycin</t>
  </si>
  <si>
    <t>203854</t>
  </si>
  <si>
    <t>KLACID 500</t>
  </si>
  <si>
    <t>POR TBL FLM 14X500MG</t>
  </si>
  <si>
    <t>Klopidogrel</t>
  </si>
  <si>
    <t>149483</t>
  </si>
  <si>
    <t>ZYLLT 75 MG</t>
  </si>
  <si>
    <t>POR TBL FLM 56X75MG</t>
  </si>
  <si>
    <t>Kodein</t>
  </si>
  <si>
    <t>88</t>
  </si>
  <si>
    <t>CODEIN SLOVAKOFARMA 15 MG</t>
  </si>
  <si>
    <t>POR TBL NOB 10X15MG</t>
  </si>
  <si>
    <t>147452</t>
  </si>
  <si>
    <t>EUTHYROX 88 MIKROGRAMŮ</t>
  </si>
  <si>
    <t>POR TBL NOB 100X88RG I</t>
  </si>
  <si>
    <t>147456</t>
  </si>
  <si>
    <t>EUTHYROX 112 MIKROGRAMŮ</t>
  </si>
  <si>
    <t>POR TBL NOB 100X112RG I</t>
  </si>
  <si>
    <t>164997</t>
  </si>
  <si>
    <t>ELTROXIN 100 MCG</t>
  </si>
  <si>
    <t>47141</t>
  </si>
  <si>
    <t>POR TBL NOB 100X50RG I</t>
  </si>
  <si>
    <t>69192</t>
  </si>
  <si>
    <t>Losartan</t>
  </si>
  <si>
    <t>13894</t>
  </si>
  <si>
    <t>LOZAP 50 ZENTIVA</t>
  </si>
  <si>
    <t>POR TBL FLM 90X50MG</t>
  </si>
  <si>
    <t>Mupirocin</t>
  </si>
  <si>
    <t>90778</t>
  </si>
  <si>
    <t>BACTROBAN</t>
  </si>
  <si>
    <t>DRM UNG 1X15GM</t>
  </si>
  <si>
    <t>Nitrofurantoin</t>
  </si>
  <si>
    <t>154748</t>
  </si>
  <si>
    <t>NITROFURANTOIN - RATIOPHARM 100 MG</t>
  </si>
  <si>
    <t>POR CPS PRO 50X100MG</t>
  </si>
  <si>
    <t>Spazmolytika, psycholeptika a analgetika v kombinaci</t>
  </si>
  <si>
    <t>91261</t>
  </si>
  <si>
    <t>SPASMOPAN</t>
  </si>
  <si>
    <t>RCT SUP 5</t>
  </si>
  <si>
    <t>Sulfadiazin, stříbrná sůl, kombinace</t>
  </si>
  <si>
    <t>14877</t>
  </si>
  <si>
    <t>IALUGEN PLUS</t>
  </si>
  <si>
    <t>DRM CRM 1X60GM</t>
  </si>
  <si>
    <t>14874</t>
  </si>
  <si>
    <t>DRM LIG IPR 30KS(10X10CM)</t>
  </si>
  <si>
    <t>Tretinoin</t>
  </si>
  <si>
    <t>49985</t>
  </si>
  <si>
    <t>LOCACID</t>
  </si>
  <si>
    <t>DRM CRM 1X30GM 0.05%</t>
  </si>
  <si>
    <t>137119</t>
  </si>
  <si>
    <t>CALCIUM 500 MG PHARMAVIT</t>
  </si>
  <si>
    <t>POR TBL EFF 20X500MG</t>
  </si>
  <si>
    <t>Zolpidem</t>
  </si>
  <si>
    <t>16286</t>
  </si>
  <si>
    <t>STILNOX</t>
  </si>
  <si>
    <t>POR TBL FLM 20X10MG</t>
  </si>
  <si>
    <t>198054</t>
  </si>
  <si>
    <t>SANVAL 10 MG</t>
  </si>
  <si>
    <t>14399</t>
  </si>
  <si>
    <t>POR CPS MOL 100X1RG</t>
  </si>
  <si>
    <t>Azithromycin</t>
  </si>
  <si>
    <t>45010</t>
  </si>
  <si>
    <t>AZITROMYCIN SANDOZ 500 MG</t>
  </si>
  <si>
    <t>POR TBL FLM 3X500MG</t>
  </si>
  <si>
    <t>Betamethason a antibiotika</t>
  </si>
  <si>
    <t>17170</t>
  </si>
  <si>
    <t>BELOGENT KRÉM</t>
  </si>
  <si>
    <t>DRM CRM 1X30GM</t>
  </si>
  <si>
    <t>Ciklopirox</t>
  </si>
  <si>
    <t>76150</t>
  </si>
  <si>
    <t>BATRAFEN KRÉM</t>
  </si>
  <si>
    <t>DRM CRM 1X20GM/200MG</t>
  </si>
  <si>
    <t>Hořčík (různé sole v kombinaci)</t>
  </si>
  <si>
    <t>66555</t>
  </si>
  <si>
    <t>MAGNOSOLV</t>
  </si>
  <si>
    <t>POR GRA SOL SCC 30X365MG</t>
  </si>
  <si>
    <t>90</t>
  </si>
  <si>
    <t>CODEIN SLOVAKOFARMA 30 MG</t>
  </si>
  <si>
    <t>POR TBL NOB 10X30MG</t>
  </si>
  <si>
    <t>Kyselina listová</t>
  </si>
  <si>
    <t>76064</t>
  </si>
  <si>
    <t>ACIDUM FOLICUM LÉČIVA</t>
  </si>
  <si>
    <t>POR TBL OBD 30X10MG</t>
  </si>
  <si>
    <t>184245</t>
  </si>
  <si>
    <t>POR TBL NOB 100X75MCG II</t>
  </si>
  <si>
    <t>46692</t>
  </si>
  <si>
    <t>EUTHYROX 75 MIKROGRAMŮ</t>
  </si>
  <si>
    <t>POR TBL NOB 100X75RG</t>
  </si>
  <si>
    <t>Midazolam</t>
  </si>
  <si>
    <t>15010</t>
  </si>
  <si>
    <t>DORMICUM 15 MG</t>
  </si>
  <si>
    <t>POR TBL FLM 10X15MG</t>
  </si>
  <si>
    <t>Promethazin</t>
  </si>
  <si>
    <t>122197</t>
  </si>
  <si>
    <t>PROTHAZIN</t>
  </si>
  <si>
    <t>POR TBL FLM 20X25MG</t>
  </si>
  <si>
    <t>Pseudoefedrin, kombinace</t>
  </si>
  <si>
    <t>83059</t>
  </si>
  <si>
    <t>CLARINASE REPETABS</t>
  </si>
  <si>
    <t>POR TBL RET 14</t>
  </si>
  <si>
    <t>Thiamazol</t>
  </si>
  <si>
    <t>87149</t>
  </si>
  <si>
    <t>THYROZOL 10</t>
  </si>
  <si>
    <t>POR TBL FLM 50X10MG</t>
  </si>
  <si>
    <t>202863</t>
  </si>
  <si>
    <t>HELICID 40 MG</t>
  </si>
  <si>
    <t>POR CPS ETD 100X40MG III HDPE</t>
  </si>
  <si>
    <t>Pitofenon a analgetika</t>
  </si>
  <si>
    <t>Acebutolol</t>
  </si>
  <si>
    <t>80058</t>
  </si>
  <si>
    <t>SECTRAL 400 MG</t>
  </si>
  <si>
    <t>POR TBL FLM 30X400MG</t>
  </si>
  <si>
    <t>14329</t>
  </si>
  <si>
    <t>ALPHA D3 0,25 MIKROGRAMU</t>
  </si>
  <si>
    <t>Alopurinol</t>
  </si>
  <si>
    <t>119773</t>
  </si>
  <si>
    <t>MILURIT 100</t>
  </si>
  <si>
    <t>POR TBL NOB 100X100MG</t>
  </si>
  <si>
    <t>Bimatoprost</t>
  </si>
  <si>
    <t>193838</t>
  </si>
  <si>
    <t>LUMIGAN 0,3 MG/ML</t>
  </si>
  <si>
    <t>OPH GTT SOL 30X0.4ML</t>
  </si>
  <si>
    <t>Bisoprolol</t>
  </si>
  <si>
    <t>176914</t>
  </si>
  <si>
    <t>RIVOCOR 10</t>
  </si>
  <si>
    <t>POR TBL FLM 90X10MG</t>
  </si>
  <si>
    <t>94164</t>
  </si>
  <si>
    <t>CONCOR 5</t>
  </si>
  <si>
    <t>POR TBL FLM 30X5MG</t>
  </si>
  <si>
    <t>Diosmin, kombinace</t>
  </si>
  <si>
    <t>14075</t>
  </si>
  <si>
    <t>DETRALEX</t>
  </si>
  <si>
    <t>POR TBL FLM 60X500MG</t>
  </si>
  <si>
    <t>Enalapril</t>
  </si>
  <si>
    <t>59643</t>
  </si>
  <si>
    <t>ENAP 5 MG</t>
  </si>
  <si>
    <t>POR TBL NOB 100X5MG</t>
  </si>
  <si>
    <t>Fentermin</t>
  </si>
  <si>
    <t>97374</t>
  </si>
  <si>
    <t>ADIPEX RETARD</t>
  </si>
  <si>
    <t>POR CPS RML 100X15MG</t>
  </si>
  <si>
    <t>Indapamid</t>
  </si>
  <si>
    <t>151949</t>
  </si>
  <si>
    <t>INDAP</t>
  </si>
  <si>
    <t>POR CPS DUR 100X2.5MG</t>
  </si>
  <si>
    <t>Kombinace různých antibiotik</t>
  </si>
  <si>
    <t>1076</t>
  </si>
  <si>
    <t>OPHTHALMO-FRAMYKOIN</t>
  </si>
  <si>
    <t>OPH UNG 1X5GM</t>
  </si>
  <si>
    <t>Medroxyprogesteron a estrogen</t>
  </si>
  <si>
    <t>14628</t>
  </si>
  <si>
    <t>DIVINA</t>
  </si>
  <si>
    <t>POR TBL NOB 3X21</t>
  </si>
  <si>
    <t>Mefenoxalon</t>
  </si>
  <si>
    <t>85656</t>
  </si>
  <si>
    <t>DORSIFLEX 200 MG</t>
  </si>
  <si>
    <t>POR TBL NOB 30X200MG</t>
  </si>
  <si>
    <t>Nimesulid</t>
  </si>
  <si>
    <t>17187</t>
  </si>
  <si>
    <t>NIMESIL</t>
  </si>
  <si>
    <t>POR GRA SUS 30X100MG</t>
  </si>
  <si>
    <t>Norethisteron a estrogen</t>
  </si>
  <si>
    <t>96382</t>
  </si>
  <si>
    <t>TRISEQUENS</t>
  </si>
  <si>
    <t>POR TBL FLM 1X28</t>
  </si>
  <si>
    <t>Pentoxifylin</t>
  </si>
  <si>
    <t>47085</t>
  </si>
  <si>
    <t>PENTOMER RETARD 400 MG</t>
  </si>
  <si>
    <t>POR TBL PRO 100X400MG</t>
  </si>
  <si>
    <t>Perindopril a diuretika</t>
  </si>
  <si>
    <t>122690</t>
  </si>
  <si>
    <t>PRESTARIUM NEO COMBI 5 MG/1,25 MG</t>
  </si>
  <si>
    <t>POR TBL FLM 90</t>
  </si>
  <si>
    <t>Dienogest a ethinylestradiol</t>
  </si>
  <si>
    <t>132824</t>
  </si>
  <si>
    <t>BONADEA</t>
  </si>
  <si>
    <t>POR TBL FLM 3X21</t>
  </si>
  <si>
    <t>Itopridum</t>
  </si>
  <si>
    <t>166760</t>
  </si>
  <si>
    <t>KINITO 50 MG, POTAHOVANÉ TABLETY</t>
  </si>
  <si>
    <t>POR TBL FLM 100X50MG</t>
  </si>
  <si>
    <t>28812</t>
  </si>
  <si>
    <t>POR TBL DIS 90X5MG</t>
  </si>
  <si>
    <t>Mebendazol</t>
  </si>
  <si>
    <t>122198</t>
  </si>
  <si>
    <t>VERMOX</t>
  </si>
  <si>
    <t>POR TBL NOB 6X100MG</t>
  </si>
  <si>
    <t>199576</t>
  </si>
  <si>
    <t>Amoxicilin</t>
  </si>
  <si>
    <t>62052</t>
  </si>
  <si>
    <t>DUOMOX 1000</t>
  </si>
  <si>
    <t>POR TBL SUS 20X1000MG</t>
  </si>
  <si>
    <t>3801</t>
  </si>
  <si>
    <t>CONCOR COR 2,5 MG</t>
  </si>
  <si>
    <t>POR TBL FLM 28X2.5MG</t>
  </si>
  <si>
    <t>Gestoden a ethinylestradiol</t>
  </si>
  <si>
    <t>6247</t>
  </si>
  <si>
    <t>LUNAFEM</t>
  </si>
  <si>
    <t>POR TBL OBD 63</t>
  </si>
  <si>
    <t>14936</t>
  </si>
  <si>
    <t>ROCALTROL 0,50 MCG</t>
  </si>
  <si>
    <t>POR CPS MOL 30X0.50RG</t>
  </si>
  <si>
    <t>147454</t>
  </si>
  <si>
    <t>POR TBL NOB 100X88RG II</t>
  </si>
  <si>
    <t>107869</t>
  </si>
  <si>
    <t>APO-ALLOPURINOL</t>
  </si>
  <si>
    <t>Atorvastatin</t>
  </si>
  <si>
    <t>93015</t>
  </si>
  <si>
    <t>SORTIS 10 MG</t>
  </si>
  <si>
    <t>POR TBL FLM 100X10MG</t>
  </si>
  <si>
    <t>93021</t>
  </si>
  <si>
    <t>SORTIS 40 MG</t>
  </si>
  <si>
    <t>POR TBL FLM 100X40MG</t>
  </si>
  <si>
    <t>3645</t>
  </si>
  <si>
    <t>DIMEXOL</t>
  </si>
  <si>
    <t>Nadroparin</t>
  </si>
  <si>
    <t>32058</t>
  </si>
  <si>
    <t>FRAXIPARINE</t>
  </si>
  <si>
    <t>INJ SOL 10X0.3ML</t>
  </si>
  <si>
    <t>Tramadol</t>
  </si>
  <si>
    <t>84262</t>
  </si>
  <si>
    <t>TRALGIT GTT.</t>
  </si>
  <si>
    <t>POR GTT SOL 1X96ML</t>
  </si>
  <si>
    <t>14330</t>
  </si>
  <si>
    <t>POR CPS MOL 100X0.25RG</t>
  </si>
  <si>
    <t>30020</t>
  </si>
  <si>
    <t>Vápník, kombinace s vitaminem D a/nebo jinými léčivy</t>
  </si>
  <si>
    <t>189081</t>
  </si>
  <si>
    <t>CALCICHEW D3 LEMON 400 IU</t>
  </si>
  <si>
    <t>POR TBL MND 100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</si>
  <si>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</si>
  <si>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</si>
  <si>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</si>
  <si>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</si>
  <si>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C07AB07 - Bisoprolol</t>
  </si>
  <si>
    <t>J01FA09 - Klarithromycin</t>
  </si>
  <si>
    <t>M01AX17 - Nimesulid</t>
  </si>
  <si>
    <t>B01AC04 - Klopidogrel</t>
  </si>
  <si>
    <t>C09BA04 - Perindopril a diuretika</t>
  </si>
  <si>
    <t>J01FA10 - Azithromycin</t>
  </si>
  <si>
    <t>C09CA01 - Losartan</t>
  </si>
  <si>
    <t>C10AA05 - Atorvastatin</t>
  </si>
  <si>
    <t>N06AB04 - Citalopram</t>
  </si>
  <si>
    <t>A03FA07 - Itopridum</t>
  </si>
  <si>
    <t>B01AB06 - Nadroparin</t>
  </si>
  <si>
    <t>J01CR02 - Amoxicilin a enzymový inhibitor</t>
  </si>
  <si>
    <t>B01AC04</t>
  </si>
  <si>
    <t>C09CA01</t>
  </si>
  <si>
    <t>J01CR02</t>
  </si>
  <si>
    <t>J01FA09</t>
  </si>
  <si>
    <t>N06AB04</t>
  </si>
  <si>
    <t>J01FA10</t>
  </si>
  <si>
    <t>C07AB07</t>
  </si>
  <si>
    <t>C09BA04</t>
  </si>
  <si>
    <t>M01AX17</t>
  </si>
  <si>
    <t>A03FA07</t>
  </si>
  <si>
    <t>C10AA05</t>
  </si>
  <si>
    <t>B01AB06</t>
  </si>
  <si>
    <t>Přehled plnění PL - Preskripce léčivých přípravků - orientační přehled</t>
  </si>
  <si>
    <t>ZA090</t>
  </si>
  <si>
    <t>Vata buničitá přířezy 37 x 57 cm 2730152</t>
  </si>
  <si>
    <t>ZA439</t>
  </si>
  <si>
    <t>Obvaz elastický síťový pruban č. 6 427306</t>
  </si>
  <si>
    <t>ZB756</t>
  </si>
  <si>
    <t>Zkumavka 3 ml K3 edta fialová 454086</t>
  </si>
  <si>
    <t>ZB777</t>
  </si>
  <si>
    <t>Zkumavka červená 4 ml gel 454071</t>
  </si>
  <si>
    <t>ZE159</t>
  </si>
  <si>
    <t>Nádoba na kontaminovaný odpad 2 l 15-0003</t>
  </si>
  <si>
    <t>ZF159</t>
  </si>
  <si>
    <t>Nádoba na kontaminovaný odpad 1 l 15-0002</t>
  </si>
  <si>
    <t>ZG515</t>
  </si>
  <si>
    <t>Zkumavka močová vacuette 10,5 ml bal. á 50 ks 455007</t>
  </si>
  <si>
    <t>ZB768</t>
  </si>
  <si>
    <t>Jehla vakuová 216/38 mm zelená 450076</t>
  </si>
  <si>
    <t>ZM292</t>
  </si>
  <si>
    <t>Rukavice nitril sempercare bez p. M bal. á 200 ks 30803</t>
  </si>
  <si>
    <t>ZM291</t>
  </si>
  <si>
    <t>Rukavice nitril sempercare bez p. S bal. á 200 ks 30802</t>
  </si>
  <si>
    <t>ZB084</t>
  </si>
  <si>
    <t>Náplast transpore 2,50 cm x 9,14 m 1527-1</t>
  </si>
  <si>
    <t>ZA065</t>
  </si>
  <si>
    <t>Verba č. 5 - břišní pás 105 - 115 cm 932535</t>
  </si>
  <si>
    <t>ZA066</t>
  </si>
  <si>
    <t>Verba č. 4 - břišní pás 95 - 105 cm 932534</t>
  </si>
  <si>
    <t>ZA067</t>
  </si>
  <si>
    <t>Verba č. 3 - břišní pás 85 - 95 cm 932533</t>
  </si>
  <si>
    <t>ZL685</t>
  </si>
  <si>
    <t>Verba č. 2 - břišní pás 75 - 85 cm 932532</t>
  </si>
  <si>
    <t>ZA787</t>
  </si>
  <si>
    <t>Stříkačka injekční 2-dílná 10 ml L Inject Solo 4606108V</t>
  </si>
  <si>
    <t>ZA789</t>
  </si>
  <si>
    <t>Stříkačka injekční 2-dílná 2 ml L Inject Solo 4606027V</t>
  </si>
  <si>
    <t>ZB844</t>
  </si>
  <si>
    <t>Esmarch 60 x 1250 KVS 06125</t>
  </si>
  <si>
    <t>ZB893</t>
  </si>
  <si>
    <t>Stříkačka inzulinová omnican 0,5 ml 100j s jehlou 30 G 9151125S</t>
  </si>
  <si>
    <t>ZC648</t>
  </si>
  <si>
    <t>Elektroda EKG s gelem ovál 33 x 51 mm pro dospělé H-108006</t>
  </si>
  <si>
    <t>ZC769</t>
  </si>
  <si>
    <t>Hadička spojovací HS 1,8 x 450LL 606301-ND</t>
  </si>
  <si>
    <t>ZD211</t>
  </si>
  <si>
    <t>Kohout trojcestný modrý á 50 ks, RO 301- pouze pro KNM</t>
  </si>
  <si>
    <t>ZD808</t>
  </si>
  <si>
    <t>Kanyla vasofix 22G modrá safety 4269098S-01</t>
  </si>
  <si>
    <t>ZK798</t>
  </si>
  <si>
    <t>Zátka combi modrá 4495152</t>
  </si>
  <si>
    <t>ZA360</t>
  </si>
  <si>
    <t>Jehla sterican 0,5 x 25 mm oranžová 9186158</t>
  </si>
  <si>
    <t>ZA835</t>
  </si>
  <si>
    <t>Jehla injekční 0,6 x 25 mm modrá 4657667</t>
  </si>
  <si>
    <t>ZE668</t>
  </si>
  <si>
    <t>Rukavice latex bez p.zdrsněné L 9421625</t>
  </si>
  <si>
    <t>ZM293</t>
  </si>
  <si>
    <t>Rukavice nitril sempercare bez p. L bal. á 200 ks 30804</t>
  </si>
  <si>
    <t>ZA459</t>
  </si>
  <si>
    <t>Kompresa AB 10 x 20 cm / 1 ks sterilní NT savá 1230114021</t>
  </si>
  <si>
    <t>ZA593</t>
  </si>
  <si>
    <t>Tampon stáčený sterilní 20 x 20 cm / 5 ks 28003</t>
  </si>
  <si>
    <t>ZC100</t>
  </si>
  <si>
    <t>Vata buničitá dělená 2 role / 500 ks 40 x 50 mm 1230200310</t>
  </si>
  <si>
    <t>ZA737</t>
  </si>
  <si>
    <t>Filtr mini spike modrý 4550234</t>
  </si>
  <si>
    <t>ZA738</t>
  </si>
  <si>
    <t>Filtr mini spike zelený 4550242</t>
  </si>
  <si>
    <t>ZA788</t>
  </si>
  <si>
    <t>Stříkačka injekční 2-dílná 20 ml L Inject Solo 4606205V</t>
  </si>
  <si>
    <t>ZB289</t>
  </si>
  <si>
    <t>Válec do tlak. stříkačky Medrad SDS-CTP-QFT 1H07169</t>
  </si>
  <si>
    <t>ZB600</t>
  </si>
  <si>
    <t>Kit denní DDK-LU pro systém LU</t>
  </si>
  <si>
    <t>ZC863</t>
  </si>
  <si>
    <t>Hadička spojovací HS 1,8 x 1800LL 606304-ND</t>
  </si>
  <si>
    <t>ZC906</t>
  </si>
  <si>
    <t>Škrtidlo se sponou pro dospělé 25 x 500 mm KVS25500</t>
  </si>
  <si>
    <t>ZD809</t>
  </si>
  <si>
    <t>Kanyla vasofix 20G růžová safety 4269110S-01</t>
  </si>
  <si>
    <t>ZL689</t>
  </si>
  <si>
    <t>Roztok Accu-Check Performa Int´l Controls 1+2 level 04861736</t>
  </si>
  <si>
    <t>ZB599</t>
  </si>
  <si>
    <t>Kit denní DDK-A pro dávávkovač DDK-A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</si>
  <si>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</si>
  <si>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</si>
  <si>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</si>
  <si>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</si>
  <si>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</si>
  <si>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</si>
  <si>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</si>
  <si>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</si>
  <si>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</si>
  <si>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ON Data</t>
  </si>
  <si>
    <t>407 - Pracoviště nukleární medicíny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</si>
  <si>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</si>
  <si>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</si>
  <si>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</si>
  <si>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</si>
  <si>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</si>
  <si>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Buriánková Eva</t>
  </si>
  <si>
    <t>Dočkalová Eva</t>
  </si>
  <si>
    <t>Zdravotní výkony vykázané na pracovišti v rámci ambulantní péče dle lékařů *</t>
  </si>
  <si>
    <t>407</t>
  </si>
  <si>
    <t>1</t>
  </si>
  <si>
    <t>0022077</t>
  </si>
  <si>
    <t>0042433</t>
  </si>
  <si>
    <t>VISIPAQUE 320 MG I/ML</t>
  </si>
  <si>
    <t>0077019</t>
  </si>
  <si>
    <t>0093625</t>
  </si>
  <si>
    <t>0093626</t>
  </si>
  <si>
    <t>0095609</t>
  </si>
  <si>
    <t>9999990</t>
  </si>
  <si>
    <t>Nespecifikovany LEK</t>
  </si>
  <si>
    <t>9999999</t>
  </si>
  <si>
    <t>2</t>
  </si>
  <si>
    <t>0002013</t>
  </si>
  <si>
    <t>90Y-citronan yttritý inj.</t>
  </si>
  <si>
    <t>0002015</t>
  </si>
  <si>
    <t>99mTc-technecistan sodný inj.</t>
  </si>
  <si>
    <t>0002018</t>
  </si>
  <si>
    <t>99mTc-makrosalb inj.</t>
  </si>
  <si>
    <t>0002021</t>
  </si>
  <si>
    <t>99mTc-nanokoloid albuminu inj.</t>
  </si>
  <si>
    <t>0002023</t>
  </si>
  <si>
    <t>99mTc Mefenin inj.</t>
  </si>
  <si>
    <t>0002025</t>
  </si>
  <si>
    <t>99mTc-HM PAO inj.</t>
  </si>
  <si>
    <t>0002027</t>
  </si>
  <si>
    <t>99mTc-MIBI inj.</t>
  </si>
  <si>
    <t>0002028</t>
  </si>
  <si>
    <t>99mTc-DMSA inj.</t>
  </si>
  <si>
    <t>0002034</t>
  </si>
  <si>
    <t>99mTc-DTPA inj.</t>
  </si>
  <si>
    <t>0002035</t>
  </si>
  <si>
    <t>99mTc-MAG3 inj.</t>
  </si>
  <si>
    <t>0002049</t>
  </si>
  <si>
    <t>131I-jodid sodný inj. diagnost.</t>
  </si>
  <si>
    <t>0002060</t>
  </si>
  <si>
    <t>99mTc-erytrocyty in vivo</t>
  </si>
  <si>
    <t>0002061</t>
  </si>
  <si>
    <t>99mTc-leukocyty značené HM PAO</t>
  </si>
  <si>
    <t>0002062</t>
  </si>
  <si>
    <t>51Cr-erytrocyty vitální</t>
  </si>
  <si>
    <t>0002066</t>
  </si>
  <si>
    <t>51Cr-trombocyty</t>
  </si>
  <si>
    <t>0002067</t>
  </si>
  <si>
    <t>81m-krypton plyn k inhal.</t>
  </si>
  <si>
    <t>0002072</t>
  </si>
  <si>
    <t>123I-MIBG inj.</t>
  </si>
  <si>
    <t>0002073</t>
  </si>
  <si>
    <t>99mTc-oxidronát disodný inj.</t>
  </si>
  <si>
    <t>0002077</t>
  </si>
  <si>
    <t>111In pentetreotid inj.</t>
  </si>
  <si>
    <t>0002081</t>
  </si>
  <si>
    <t>153Sm-EDTMP inj.</t>
  </si>
  <si>
    <t>0002087</t>
  </si>
  <si>
    <t>18F-FDG</t>
  </si>
  <si>
    <t>0002092</t>
  </si>
  <si>
    <t>123I-joflupan inj.</t>
  </si>
  <si>
    <t>0002095</t>
  </si>
  <si>
    <t>99mTc-nanokoloid alb.inj.</t>
  </si>
  <si>
    <t>0002059</t>
  </si>
  <si>
    <t>99mTc-erytrocyty vitální</t>
  </si>
  <si>
    <t>0002101</t>
  </si>
  <si>
    <t>18F Fluoromethylcholin inj.</t>
  </si>
  <si>
    <t>0002099</t>
  </si>
  <si>
    <t>18 F-FLT inj.</t>
  </si>
  <si>
    <t>0002090</t>
  </si>
  <si>
    <t>186Re-koloidní rhenium sulfid inj.</t>
  </si>
  <si>
    <t>9999910</t>
  </si>
  <si>
    <t>3</t>
  </si>
  <si>
    <t>0110740</t>
  </si>
  <si>
    <t>VÁLCE (DVA) STERILNÍ, JEDNORÁZOVÉ DO INJEKTORU, CE</t>
  </si>
  <si>
    <t>V</t>
  </si>
  <si>
    <t>09511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</si>
  <si>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</si>
  <si>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</si>
  <si>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</si>
  <si>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</si>
  <si>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</si>
  <si>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</si>
  <si>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>METASTÁZY KOSTÍ - TERAPIE RADIONUKLIDY</t>
  </si>
  <si>
    <t>47123</t>
  </si>
  <si>
    <t>RADIONUKLIDOVÁ SYNOVEKTOMIE</t>
  </si>
  <si>
    <t>47125</t>
  </si>
  <si>
    <t>KARDIOANGIOGRAFIE FIRST PASS</t>
  </si>
  <si>
    <t>RADIONUKLIDOVÁ VENTRIKULOGRAFIE KLIDOVÁ</t>
  </si>
  <si>
    <t>47153</t>
  </si>
  <si>
    <t>SCINTIGRAFIE PŘÍŠTÍTNÝCH TĚLÍSEK</t>
  </si>
  <si>
    <t>47163</t>
  </si>
  <si>
    <t>SCINTIGRAFIE EVAKUACE ŽALUDKU</t>
  </si>
  <si>
    <t>47169</t>
  </si>
  <si>
    <t>SCINTIGRAFICKÉ VYŠETŘENÍ PŘÍTOMNOSTI MECKELOVA DIV</t>
  </si>
  <si>
    <t>47215</t>
  </si>
  <si>
    <t>SCINTIGRAFIE LEDVIN S VÝPOČTEM RELATIVNÍ FUNKCE</t>
  </si>
  <si>
    <t>47219</t>
  </si>
  <si>
    <t xml:space="preserve">SCINTIGRAFIE LEDVIN DYNAMICKÁ VČETNĚ STANOVENÍ GF </t>
  </si>
  <si>
    <t>47233</t>
  </si>
  <si>
    <t>PŘEŽÍVÁNÍ A LOKALIZACE DESTRUKCE AUTOLOGNÍCH THROM</t>
  </si>
  <si>
    <t>47245</t>
  </si>
  <si>
    <t>SCINTIGRAFIE SKELETU CÍLENÁ TŘÍFÁZOVÁ</t>
  </si>
  <si>
    <t>47255</t>
  </si>
  <si>
    <t xml:space="preserve">TOMOGRAFICKÁ SCINTIGRAFIE PERFÚSE MOZKU PO PODÁNÍ </t>
  </si>
  <si>
    <t>47259</t>
  </si>
  <si>
    <t>SCINTIGRAFIE PLIC VENTILAČNÍ STATICKÁ</t>
  </si>
  <si>
    <t>47263</t>
  </si>
  <si>
    <t>RADIONUKLIDOVÁ LYMFOGRAFIE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</si>
  <si>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</si>
  <si>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</si>
  <si>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</si>
  <si>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</si>
  <si>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</si>
  <si>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</si>
  <si>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47353</t>
  </si>
  <si>
    <t>POZITRONOVÁ EMISNÍ TOMOGRAFIE (PET) LIMITOVANÉ OBL</t>
  </si>
  <si>
    <t>47355</t>
  </si>
  <si>
    <t>HYBRIDNÍ VÝPOČETNÍ A POZITRONOVÁ EMISNÍ TOMOGRAFIE</t>
  </si>
  <si>
    <t>09547</t>
  </si>
  <si>
    <t>REGULAČNÍ POPLATEK -- POJIŠTĚNEC OD ÚHRADY POPLATK</t>
  </si>
  <si>
    <t>99991</t>
  </si>
  <si>
    <t>(VZP) KÓD POUZE PRO CENTRA DLE VYHL. 368/2006 - SL</t>
  </si>
  <si>
    <t>09543</t>
  </si>
  <si>
    <t>SIGNÁLNÍ VÝKON KLINICKÉHO VYŠETŘENÍ / DO 31.12.201</t>
  </si>
  <si>
    <t>09119</t>
  </si>
  <si>
    <t xml:space="preserve">ODBĚR KRVE ZE ŽÍLY U DOSPĚLÉHO NEBO DÍTĚTE NAD 10 </t>
  </si>
  <si>
    <t>17113</t>
  </si>
  <si>
    <t>SPECIALIZOVANÉ ERGOMETRICKÉ VYŠETŘENÍ</t>
  </si>
  <si>
    <t>47151</t>
  </si>
  <si>
    <t>CELOTĚLOVÁ SCINTIGRAFIE U KARCINOMU ŠTÍTNÉ ŽLÁZY</t>
  </si>
  <si>
    <t>47147</t>
  </si>
  <si>
    <t>SCINTIGRAFIE ŠTÍTNÉ ŽLÁZY PROSTÁ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</si>
  <si>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</si>
  <si>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</si>
  <si>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</si>
  <si>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</si>
  <si>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</si>
  <si>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</si>
  <si>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47267</t>
  </si>
  <si>
    <t>SCINTIGRAFIE  NÁDORU</t>
  </si>
  <si>
    <t>47022</t>
  </si>
  <si>
    <t>CÍLENÉ VYŠETŘENÍ LÉKAŘEM SE SPECIALIZOVANOU ZPŮSOB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</si>
  <si>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</si>
  <si>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</si>
  <si>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</si>
  <si>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</si>
  <si>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</si>
  <si>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</si>
  <si>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>47227</t>
  </si>
  <si>
    <t>STANOVENÍ OBJEMU KRVE A JEJÍCH SLOŽEK POMOCÍ RADIO</t>
  </si>
  <si>
    <t>47231</t>
  </si>
  <si>
    <t>PŘEŽÍVÁNÍ A LOKALIZACE DESTRUKCE 51Cr ERYTROCYTŮ</t>
  </si>
  <si>
    <t>47187</t>
  </si>
  <si>
    <t>SCINTIGRAFIE JATER A ŽLUČOVÝCH CEST DYNAMICKÁ</t>
  </si>
  <si>
    <t>47311</t>
  </si>
  <si>
    <t>MALIGNÍ LYMFOMY - TERAPIE RADIONUKLIDY</t>
  </si>
  <si>
    <t>47171</t>
  </si>
  <si>
    <t>SCINTIGRAFICKÁ DIAGNOSTIKA KRVÁCENÍ DO GIT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</si>
  <si>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</si>
  <si>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</si>
  <si>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</si>
  <si>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</si>
  <si>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</si>
  <si>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</si>
  <si>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</si>
  <si>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</si>
  <si>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</si>
  <si>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</si>
  <si>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</si>
  <si>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</si>
  <si>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</si>
  <si>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</si>
  <si>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</si>
  <si>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</si>
  <si>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</si>
  <si>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</si>
  <si>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</si>
  <si>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</si>
  <si>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</si>
  <si>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</si>
  <si>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</si>
  <si>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</si>
  <si>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01</t>
  </si>
  <si>
    <t>02</t>
  </si>
  <si>
    <t>03</t>
  </si>
  <si>
    <t>47165</t>
  </si>
  <si>
    <t>STANOVENÍ GASTROESOFAGEÁLNÍHO REFLUXU</t>
  </si>
  <si>
    <t>04</t>
  </si>
  <si>
    <t>05</t>
  </si>
  <si>
    <t>06</t>
  </si>
  <si>
    <t>07</t>
  </si>
  <si>
    <t>08</t>
  </si>
  <si>
    <t>10</t>
  </si>
  <si>
    <t>11</t>
  </si>
  <si>
    <t>0002039</t>
  </si>
  <si>
    <t>99mTc-besilesomab inj.</t>
  </si>
  <si>
    <t>47265</t>
  </si>
  <si>
    <t>SCINTIGRAFICKÁ DIAGNOSTIKA ZÁNĚTŮ</t>
  </si>
  <si>
    <t>12</t>
  </si>
  <si>
    <t>13</t>
  </si>
  <si>
    <t>16</t>
  </si>
  <si>
    <t>17</t>
  </si>
  <si>
    <t>18</t>
  </si>
  <si>
    <t>20</t>
  </si>
  <si>
    <t>21</t>
  </si>
  <si>
    <t>4F7</t>
  </si>
  <si>
    <t>0027720</t>
  </si>
  <si>
    <t>THYROG</t>
  </si>
  <si>
    <t>0002050</t>
  </si>
  <si>
    <t>131I-jodid sodný inj. terap.</t>
  </si>
  <si>
    <t>0002076</t>
  </si>
  <si>
    <t>131I jodid sodný terap.perorální</t>
  </si>
  <si>
    <t>00601</t>
  </si>
  <si>
    <t>OD TYPU 01 - PRO NEMOCNICE TYPU 3, (KATEGORIE 6)</t>
  </si>
  <si>
    <t>47115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</si>
  <si>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</si>
  <si>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</si>
  <si>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</si>
  <si>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</si>
  <si>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</si>
  <si>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09544</t>
  </si>
  <si>
    <t>SIGNÁLNÍ VÝKON POBYTU V ZAŘÍZENÍ LŮŽKOVÉ PÉČE / DO</t>
  </si>
  <si>
    <t>09215</t>
  </si>
  <si>
    <t>INJEKCE I. M., S. C., I. D.</t>
  </si>
  <si>
    <t>47113</t>
  </si>
  <si>
    <t>HYPERTHYREOSA - TERAPIE RADIONUKLIDY</t>
  </si>
  <si>
    <t>47021</t>
  </si>
  <si>
    <t>KOMPLEXNÍ VYŠETŘENÍ LÉKAŘEM SE SPECIALIZOVANOU ZPŮ</t>
  </si>
  <si>
    <t>47111</t>
  </si>
  <si>
    <t>MALIGNÍ THYREOIDEA - TERAPIE RADIONUKLIDY</t>
  </si>
  <si>
    <t>25</t>
  </si>
  <si>
    <t>26</t>
  </si>
  <si>
    <t>30</t>
  </si>
  <si>
    <t>31</t>
  </si>
  <si>
    <t>32</t>
  </si>
  <si>
    <t>0002097</t>
  </si>
  <si>
    <t>99Y-IB</t>
  </si>
  <si>
    <t>99Y-ibritumomab tiuxetan inj.</t>
  </si>
  <si>
    <t>50</t>
  </si>
  <si>
    <t>Zdravotní výkony vykázané na pracovišti pro pacienty hospitalizované ve FNOL - orientační přehled</t>
  </si>
  <si>
    <t>06381</t>
  </si>
  <si>
    <t>A</t>
  </si>
  <si>
    <t xml:space="preserve">JINÉ PORUCHY TRÁVICÍHO SYSTÉMU BEZ CC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</si>
  <si>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</si>
  <si>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</si>
  <si>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</si>
  <si>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</si>
  <si>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17321</t>
  </si>
  <si>
    <t xml:space="preserve">RADIOTERAPIE BEZ CC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</si>
  <si>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</si>
  <si>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</si>
  <si>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Porovnání jednotlivých IR DRG skupin</t>
  </si>
  <si>
    <t>33 - Oddělení klinické biochemie</t>
  </si>
  <si>
    <t>34 - Radiologická klinika</t>
  </si>
  <si>
    <t>40 - Ústav mikrobiologie</t>
  </si>
  <si>
    <t>41 - Ústav imunologie</t>
  </si>
  <si>
    <t>818</t>
  </si>
  <si>
    <t>96167</t>
  </si>
  <si>
    <t>KREVNÍ OBRAZ S PĚTI POPULAČNÍM DIFERENCIÁLNÍM POČT</t>
  </si>
  <si>
    <t>96711</t>
  </si>
  <si>
    <t>PANOPTICKÉ OBARVENÍ NÁTĚRU PERIFERNÍ KRVE NEBO ASP</t>
  </si>
  <si>
    <t>96315</t>
  </si>
  <si>
    <t>ANALÝZA KREVNÍHO NÁTĚRU PANOPTICKY OBARVENÉHO. IND</t>
  </si>
  <si>
    <t>33</t>
  </si>
  <si>
    <t>801</t>
  </si>
  <si>
    <t>81157</t>
  </si>
  <si>
    <t>CHLORIDY STATIM</t>
  </si>
  <si>
    <t>81237</t>
  </si>
  <si>
    <t>TROPONIN - T NEBO I ELISA</t>
  </si>
  <si>
    <t>81427</t>
  </si>
  <si>
    <t>FOSFOR ANORGANICKÝ</t>
  </si>
  <si>
    <t>81731</t>
  </si>
  <si>
    <t>STANOVENÍ NATRIURETICKÝCH PEPTIDŮ V SÉRU A V PLAZM</t>
  </si>
  <si>
    <t>93171</t>
  </si>
  <si>
    <t>PARATHORMON</t>
  </si>
  <si>
    <t>93187</t>
  </si>
  <si>
    <t>TYROXIN CELKOVÝ (TT4)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</si>
  <si>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</si>
  <si>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</si>
  <si>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</si>
  <si>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</si>
  <si>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</si>
  <si>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</si>
  <si>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81135</t>
  </si>
  <si>
    <t>SODÍK STATIM</t>
  </si>
  <si>
    <t>93189</t>
  </si>
  <si>
    <t>TYROXIN VOLNÝ (FT4)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</si>
  <si>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</si>
  <si>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</si>
  <si>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</si>
  <si>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</si>
  <si>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</si>
  <si>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</si>
  <si>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93195</t>
  </si>
  <si>
    <t>TYREOTROPIN (TSH)</t>
  </si>
  <si>
    <t>93235</t>
  </si>
  <si>
    <t>AUTOPROTILÁTKY PROTI RECEPTORŮM (hTSH)</t>
  </si>
  <si>
    <t>81249</t>
  </si>
  <si>
    <t>CEA (MEIA)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</si>
  <si>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</si>
  <si>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</si>
  <si>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</si>
  <si>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</si>
  <si>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</si>
  <si>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</si>
  <si>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</si>
  <si>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</si>
  <si>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93199</t>
  </si>
  <si>
    <t>TYREOGLOBULIN (TG)</t>
  </si>
  <si>
    <t>81369</t>
  </si>
  <si>
    <t>BÍLKOVINA KVANTITATIVNĚ (MOČ, MOZKOM. MOK, VÝPOTEK</t>
  </si>
  <si>
    <t>81235</t>
  </si>
  <si>
    <t>TUMORMARKERY CA 19-9, CA 15-3, CA 72-4, CA 125</t>
  </si>
  <si>
    <t>93265</t>
  </si>
  <si>
    <t>CYFRA 21-1 (NÁDOROVÝ ANTIGEN, CYTOKERATIN FRAGMENT</t>
  </si>
  <si>
    <t>34</t>
  </si>
  <si>
    <t>809</t>
  </si>
  <si>
    <t>89131</t>
  </si>
  <si>
    <t>RTG HRUDNÍKU</t>
  </si>
  <si>
    <t>89615</t>
  </si>
  <si>
    <t>CT VYŠETŘENÍ S VĚTŠÍM POČTEM SKENŮ (NAD 30), BEZ P</t>
  </si>
  <si>
    <t>40</t>
  </si>
  <si>
    <t>802</t>
  </si>
  <si>
    <t>82057</t>
  </si>
  <si>
    <t>IDENTIFIKACE KMENE ORIENTAČNÍ JEDNODUCHÝM TESTEM</t>
  </si>
  <si>
    <t>41</t>
  </si>
  <si>
    <t>813</t>
  </si>
  <si>
    <t>91161</t>
  </si>
  <si>
    <t>STANOVENÍ C4 SLOŽKY KOMPLEMENTU</t>
  </si>
  <si>
    <t>91171</t>
  </si>
  <si>
    <t>STANOVENÍ IgG ELISA</t>
  </si>
  <si>
    <t>STANOVENÍ ANTI ENA Ab ELISA</t>
  </si>
  <si>
    <t>91317</t>
  </si>
  <si>
    <t>PRŮKAZ ANTINUKLEÁRNÍCH PROTILÁTEK - JINÉ SUBSTRÁTY</t>
  </si>
  <si>
    <t>91501</t>
  </si>
  <si>
    <t>STANOVENÍ HLADIN REVMATOIDNÍHO FAKTORU (RF) NEFELO</t>
  </si>
  <si>
    <t>91323</t>
  </si>
  <si>
    <t>PRŮKAZ ANCA IF</t>
  </si>
  <si>
    <t>91355</t>
  </si>
  <si>
    <t>STANOVENÍ CIK METODOU PEG-IKEM</t>
  </si>
  <si>
    <t>91253</t>
  </si>
  <si>
    <t>STANOVENÍ ANTI ds-DNA Ab ELISA</t>
  </si>
  <si>
    <t>91159</t>
  </si>
  <si>
    <t>STANOVENÍ C3 SLOŽKY KOMPLEMENTU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</si>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</sst>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12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20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20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9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2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1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6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5" xfId="0" applyNumberFormat="1" applyFont="1" applyFill="1" applyBorder="1" applyAlignment="1">
      <alignment horizontal="right" vertical="top"/>
    </xf>
    <xf numFmtId="3" fontId="36" fillId="10" borderId="126" xfId="0" applyNumberFormat="1" applyFont="1" applyFill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176" fontId="36" fillId="10" borderId="128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3" fontId="38" fillId="10" borderId="131" xfId="0" applyNumberFormat="1" applyFont="1" applyFill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3" fontId="38" fillId="0" borderId="130" xfId="0" applyNumberFormat="1" applyFont="1" applyBorder="1" applyAlignment="1">
      <alignment horizontal="right" vertical="top"/>
    </xf>
    <xf numFmtId="0" fontId="38" fillId="10" borderId="133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6" fillId="10" borderId="128" xfId="0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176" fontId="38" fillId="10" borderId="133" xfId="0" applyNumberFormat="1" applyFont="1" applyFill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3" fontId="38" fillId="0" borderId="135" xfId="0" applyNumberFormat="1" applyFont="1" applyBorder="1" applyAlignment="1">
      <alignment horizontal="right" vertical="top"/>
    </xf>
    <xf numFmtId="0" fontId="38" fillId="0" borderId="136" xfId="0" applyFont="1" applyBorder="1" applyAlignment="1">
      <alignment horizontal="right" vertical="top"/>
    </xf>
    <xf numFmtId="176" fontId="38" fillId="10" borderId="137" xfId="0" applyNumberFormat="1" applyFont="1" applyFill="1" applyBorder="1" applyAlignment="1">
      <alignment horizontal="right" vertical="top"/>
    </xf>
    <xf numFmtId="0" fontId="40" fillId="11" borderId="124" xfId="0" applyFont="1" applyFill="1" applyBorder="1" applyAlignment="1">
      <alignment vertical="top"/>
    </xf>
    <xf numFmtId="0" fontId="40" fillId="11" borderId="124" xfId="0" applyFont="1" applyFill="1" applyBorder="1" applyAlignment="1">
      <alignment vertical="top" indent="2"/>
    </xf>
    <xf numFmtId="0" fontId="40" fillId="11" borderId="124" xfId="0" applyFont="1" applyFill="1" applyBorder="1" applyAlignment="1">
      <alignment vertical="top" indent="4"/>
    </xf>
    <xf numFmtId="0" fontId="41" fillId="11" borderId="129" xfId="0" applyFont="1" applyFill="1" applyBorder="1" applyAlignment="1">
      <alignment vertical="top" indent="6"/>
    </xf>
    <xf numFmtId="0" fontId="40" fillId="11" borderId="124" xfId="0" applyFont="1" applyFill="1" applyBorder="1" applyAlignment="1">
      <alignment vertical="top" indent="8"/>
    </xf>
    <xf numFmtId="0" fontId="41" fillId="11" borderId="129" xfId="0" applyFont="1" applyFill="1" applyBorder="1" applyAlignment="1">
      <alignment vertical="top" indent="2"/>
    </xf>
    <xf numFmtId="0" fontId="40" fillId="11" borderId="124" xfId="0" applyFont="1" applyFill="1" applyBorder="1" applyAlignment="1">
      <alignment vertical="top" indent="6"/>
    </xf>
    <xf numFmtId="0" fontId="41" fillId="11" borderId="129" xfId="0" applyFont="1" applyFill="1" applyBorder="1" applyAlignment="1">
      <alignment vertical="top" indent="4"/>
    </xf>
    <xf numFmtId="0" fontId="41" fillId="11" borderId="129" xfId="0" applyFont="1" applyFill="1" applyBorder="1" applyAlignment="1">
      <alignment vertical="top"/>
    </xf>
    <xf numFmtId="0" fontId="35" fillId="11" borderId="124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8" xfId="53" applyNumberFormat="1" applyFont="1" applyFill="1" applyBorder="1" applyAlignment="1">
      <alignment horizontal="left"/>
    </xf>
    <xf numFmtId="164" fontId="34" fillId="2" borderId="139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8" xfId="0" applyFont="1" applyFill="1" applyBorder="1"/>
    <xf numFmtId="3" fontId="42" fillId="2" borderId="140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1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9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8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20" xfId="0" applyFont="1" applyFill="1" applyBorder="1"/>
    <xf numFmtId="0" fontId="42" fillId="0" borderId="118" xfId="0" applyFont="1" applyFill="1" applyBorder="1" applyAlignment="1">
      <alignment horizontal="left" indent="1"/>
    </xf>
    <xf numFmtId="0" fontId="42" fillId="0" borderId="119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42" fillId="11" borderId="120" xfId="0" applyFont="1" applyFill="1" applyBorder="1"/>
    <xf numFmtId="0" fontId="42" fillId="11" borderId="118" xfId="0" applyFont="1" applyFill="1" applyBorder="1"/>
    <xf numFmtId="0" fontId="42" fillId="11" borderId="119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20" xfId="0" applyFont="1" applyFill="1" applyBorder="1"/>
    <xf numFmtId="0" fontId="35" fillId="0" borderId="118" xfId="0" applyFont="1" applyFill="1" applyBorder="1"/>
    <xf numFmtId="0" fontId="35" fillId="0" borderId="119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80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73" fontId="42" fillId="4" borderId="147" xfId="0" applyNumberFormat="1" applyFont="1" applyFill="1" applyBorder="1" applyAlignment="1">
      <alignment horizontal="center"/>
    </xf>
    <xf numFmtId="173" fontId="42" fillId="4" borderId="148" xfId="0" applyNumberFormat="1" applyFont="1" applyFill="1" applyBorder="1" applyAlignment="1">
      <alignment horizontal="center"/>
    </xf>
    <xf numFmtId="173" fontId="35" fillId="0" borderId="149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 wrapText="1"/>
    </xf>
    <xf numFmtId="175" fontId="35" fillId="0" borderId="149" xfId="0" applyNumberFormat="1" applyFont="1" applyBorder="1" applyAlignment="1">
      <alignment horizontal="right"/>
    </xf>
    <xf numFmtId="175" fontId="35" fillId="0" borderId="150" xfId="0" applyNumberFormat="1" applyFont="1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173" fontId="35" fillId="0" borderId="152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1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3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3" xfId="0" applyNumberFormat="1" applyFont="1" applyBorder="1"/>
    <xf numFmtId="173" fontId="35" fillId="0" borderId="60" xfId="0" applyNumberFormat="1" applyFont="1" applyBorder="1"/>
    <xf numFmtId="9" fontId="35" fillId="0" borderId="113" xfId="0" applyNumberFormat="1" applyFont="1" applyBorder="1"/>
    <xf numFmtId="173" fontId="42" fillId="4" borderId="154" xfId="0" applyNumberFormat="1" applyFont="1" applyFill="1" applyBorder="1" applyAlignment="1">
      <alignment horizontal="center"/>
    </xf>
    <xf numFmtId="173" fontId="35" fillId="0" borderId="155" xfId="0" applyNumberFormat="1" applyFont="1" applyBorder="1" applyAlignment="1">
      <alignment horizontal="right"/>
    </xf>
    <xf numFmtId="175" fontId="35" fillId="0" borderId="155" xfId="0" applyNumberFormat="1" applyFont="1" applyBorder="1" applyAlignment="1">
      <alignment horizontal="right"/>
    </xf>
    <xf numFmtId="173" fontId="35" fillId="0" borderId="156" xfId="0" applyNumberFormat="1" applyFont="1" applyBorder="1" applyAlignment="1">
      <alignment horizontal="right"/>
    </xf>
    <xf numFmtId="0" fontId="0" fillId="0" borderId="17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29" xfId="0" applyNumberFormat="1" applyFont="1" applyFill="1" applyBorder="1"/>
    <xf numFmtId="0" fontId="35" fillId="0" borderId="29" xfId="0" applyFont="1" applyFill="1" applyBorder="1"/>
    <xf numFmtId="0" fontId="42" fillId="0" borderId="21" xfId="0" applyFont="1" applyFill="1" applyBorder="1"/>
    <xf numFmtId="0" fontId="66" fillId="0" borderId="0" xfId="0" applyFont="1" applyFill="1"/>
    <xf numFmtId="0" fontId="67" fillId="0" borderId="0" xfId="0" applyFont="1" applyFill="1"/>
    <xf numFmtId="0" fontId="34" fillId="2" borderId="18" xfId="26" applyNumberFormat="1" applyFont="1" applyFill="1" applyBorder="1"/>
    <xf numFmtId="169" fontId="35" fillId="0" borderId="31" xfId="0" applyNumberFormat="1" applyFont="1" applyFill="1" applyBorder="1"/>
    <xf numFmtId="169" fontId="35" fillId="0" borderId="27" xfId="0" applyNumberFormat="1" applyFont="1" applyFill="1" applyBorder="1"/>
    <xf numFmtId="169" fontId="35" fillId="0" borderId="99" xfId="0" applyNumberFormat="1" applyFont="1" applyFill="1" applyBorder="1"/>
    <xf numFmtId="169" fontId="35" fillId="0" borderId="100" xfId="0" applyNumberFormat="1" applyFont="1" applyFill="1" applyBorder="1"/>
    <xf numFmtId="169" fontId="35" fillId="0" borderId="92" xfId="0" applyNumberFormat="1" applyFont="1" applyFill="1" applyBorder="1"/>
    <xf numFmtId="169" fontId="35" fillId="0" borderId="93" xfId="0" applyNumberFormat="1" applyFont="1" applyFill="1" applyBorder="1"/>
    <xf numFmtId="0" fontId="42" fillId="0" borderId="91" xfId="0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12" fillId="0" borderId="142" xfId="0" applyNumberFormat="1" applyFont="1" applyBorder="1" applyAlignment="1">
      <alignment horizontal="right"/>
    </xf>
    <xf numFmtId="166" fontId="12" fillId="0" borderId="142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3" fontId="5" fillId="0" borderId="142" xfId="0" applyNumberFormat="1" applyFont="1" applyBorder="1" applyAlignment="1">
      <alignment horizontal="right"/>
    </xf>
    <xf numFmtId="166" fontId="5" fillId="0" borderId="142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177" fontId="5" fillId="0" borderId="142" xfId="0" applyNumberFormat="1" applyFont="1" applyBorder="1" applyAlignment="1">
      <alignment horizontal="right"/>
    </xf>
    <xf numFmtId="4" fontId="5" fillId="0" borderId="142" xfId="0" applyNumberFormat="1" applyFont="1" applyBorder="1" applyAlignment="1">
      <alignment horizontal="right"/>
    </xf>
    <xf numFmtId="3" fontId="5" fillId="0" borderId="142" xfId="0" applyNumberFormat="1" applyFont="1" applyBorder="1"/>
    <xf numFmtId="3" fontId="11" fillId="0" borderId="102" xfId="0" applyNumberFormat="1" applyFont="1" applyBorder="1" applyAlignment="1">
      <alignment horizontal="center"/>
    </xf>
    <xf numFmtId="166" fontId="5" fillId="0" borderId="18" xfId="0" applyNumberFormat="1" applyFont="1" applyBorder="1" applyAlignment="1">
      <alignment horizontal="right"/>
    </xf>
    <xf numFmtId="166" fontId="11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3" fontId="12" fillId="0" borderId="142" xfId="0" applyNumberFormat="1" applyFont="1" applyBorder="1"/>
    <xf numFmtId="166" fontId="12" fillId="0" borderId="142" xfId="0" applyNumberFormat="1" applyFont="1" applyBorder="1"/>
    <xf numFmtId="166" fontId="12" fillId="0" borderId="103" xfId="0" applyNumberFormat="1" applyFont="1" applyBorder="1"/>
    <xf numFmtId="3" fontId="35" fillId="0" borderId="142" xfId="0" applyNumberFormat="1" applyFont="1" applyBorder="1"/>
    <xf numFmtId="166" fontId="35" fillId="0" borderId="142" xfId="0" applyNumberFormat="1" applyFont="1" applyBorder="1"/>
    <xf numFmtId="166" fontId="35" fillId="0" borderId="103" xfId="0" applyNumberFormat="1" applyFont="1" applyBorder="1"/>
    <xf numFmtId="0" fontId="5" fillId="0" borderId="142" xfId="0" applyFont="1" applyBorder="1"/>
    <xf numFmtId="9" fontId="35" fillId="0" borderId="142" xfId="0" applyNumberFormat="1" applyFont="1" applyBorder="1"/>
    <xf numFmtId="3" fontId="35" fillId="0" borderId="142" xfId="0" applyNumberFormat="1" applyFont="1" applyBorder="1" applyAlignment="1">
      <alignment horizontal="right"/>
    </xf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6" fontId="35" fillId="0" borderId="52" xfId="0" applyNumberFormat="1" applyFont="1" applyBorder="1"/>
    <xf numFmtId="166" fontId="35" fillId="0" borderId="53" xfId="0" applyNumberFormat="1" applyFont="1" applyBorder="1"/>
    <xf numFmtId="3" fontId="12" fillId="0" borderId="52" xfId="0" applyNumberFormat="1" applyFont="1" applyBorder="1" applyAlignment="1">
      <alignment horizontal="right"/>
    </xf>
    <xf numFmtId="166" fontId="12" fillId="0" borderId="52" xfId="0" applyNumberFormat="1" applyFont="1" applyBorder="1" applyAlignment="1">
      <alignment horizontal="right"/>
    </xf>
    <xf numFmtId="166" fontId="12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07" xfId="0" applyNumberFormat="1" applyFont="1" applyBorder="1" applyAlignment="1">
      <alignment horizontal="center"/>
    </xf>
    <xf numFmtId="3" fontId="35" fillId="0" borderId="117" xfId="0" applyNumberFormat="1" applyFont="1" applyBorder="1"/>
    <xf numFmtId="166" fontId="35" fillId="0" borderId="117" xfId="0" applyNumberFormat="1" applyFont="1" applyBorder="1"/>
    <xf numFmtId="166" fontId="35" fillId="0" borderId="108" xfId="0" applyNumberFormat="1" applyFont="1" applyBorder="1"/>
    <xf numFmtId="3" fontId="12" fillId="0" borderId="117" xfId="0" applyNumberFormat="1" applyFont="1" applyBorder="1" applyAlignment="1">
      <alignment horizontal="right"/>
    </xf>
    <xf numFmtId="166" fontId="12" fillId="0" borderId="117" xfId="0" applyNumberFormat="1" applyFont="1" applyBorder="1" applyAlignment="1">
      <alignment horizontal="right"/>
    </xf>
    <xf numFmtId="166" fontId="12" fillId="0" borderId="108" xfId="0" applyNumberFormat="1" applyFont="1" applyBorder="1" applyAlignment="1">
      <alignment horizontal="right"/>
    </xf>
    <xf numFmtId="3" fontId="5" fillId="0" borderId="117" xfId="0" applyNumberFormat="1" applyFont="1" applyBorder="1" applyAlignment="1">
      <alignment horizontal="right"/>
    </xf>
    <xf numFmtId="166" fontId="5" fillId="0" borderId="117" xfId="0" applyNumberFormat="1" applyFont="1" applyBorder="1" applyAlignment="1">
      <alignment horizontal="right"/>
    </xf>
    <xf numFmtId="166" fontId="11" fillId="0" borderId="108" xfId="0" applyNumberFormat="1" applyFont="1" applyBorder="1" applyAlignment="1">
      <alignment horizontal="right"/>
    </xf>
    <xf numFmtId="177" fontId="5" fillId="0" borderId="117" xfId="0" applyNumberFormat="1" applyFont="1" applyBorder="1" applyAlignment="1">
      <alignment horizontal="right"/>
    </xf>
    <xf numFmtId="4" fontId="5" fillId="0" borderId="117" xfId="0" applyNumberFormat="1" applyFont="1" applyBorder="1" applyAlignment="1">
      <alignment horizontal="right"/>
    </xf>
    <xf numFmtId="0" fontId="5" fillId="0" borderId="117" xfId="0" applyFont="1" applyBorder="1"/>
    <xf numFmtId="3" fontId="5" fillId="0" borderId="117" xfId="0" applyNumberFormat="1" applyFont="1" applyBorder="1"/>
    <xf numFmtId="9" fontId="35" fillId="0" borderId="117" xfId="0" applyNumberFormat="1" applyFont="1" applyBorder="1"/>
    <xf numFmtId="3" fontId="11" fillId="0" borderId="107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1" xfId="76" applyFont="1" applyFill="1" applyBorder="1"/>
    <xf numFmtId="0" fontId="32" fillId="0" borderId="5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7" xfId="76" applyNumberFormat="1" applyFont="1" applyFill="1" applyBorder="1" applyAlignment="1">
      <alignment horizontal="left"/>
    </xf>
    <xf numFmtId="3" fontId="32" fillId="0" borderId="21" xfId="76" applyNumberFormat="1" applyFont="1" applyFill="1" applyBorder="1"/>
    <xf numFmtId="3" fontId="32" fillId="0" borderId="29" xfId="76" applyNumberFormat="1" applyFont="1" applyFill="1" applyBorder="1"/>
    <xf numFmtId="9" fontId="32" fillId="0" borderId="5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0.98411756528444605</c:v>
                </c:pt>
                <c:pt idx="1">
                  <c:v>0.99785290066252563</c:v>
                </c:pt>
                <c:pt idx="2">
                  <c:v>0.96807544815742963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948848"/>
        <c:axId val="157295159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0.92268603691207707</c:v>
                </c:pt>
                <c:pt idx="1">
                  <c:v>0.92268603691207707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2950416"/>
        <c:axId val="1572950808"/>
      </c:scatterChart>
      <c:catAx>
        <c:axId val="157294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72951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29515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72948848"/>
        <c:crosses val="autoZero"/>
        <c:crossBetween val="between"/>
      </c:valAx>
      <c:valAx>
        <c:axId val="157295041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72950808"/>
        <c:crosses val="max"/>
        <c:crossBetween val="midCat"/>
      </c:valAx>
      <c:valAx>
        <c:axId val="15729508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7295041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1.2464782720054641</c:v>
                </c:pt>
                <c:pt idx="1">
                  <c:v>1.1683567424576431</c:v>
                </c:pt>
                <c:pt idx="2">
                  <c:v>1.1061819438843117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949240"/>
        <c:axId val="157295120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8906952"/>
        <c:axId val="1138908128"/>
      </c:scatterChart>
      <c:catAx>
        <c:axId val="1572949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72951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29512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572949240"/>
        <c:crosses val="autoZero"/>
        <c:crossBetween val="between"/>
      </c:valAx>
      <c:valAx>
        <c:axId val="11389069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38908128"/>
        <c:crosses val="max"/>
        <c:crossBetween val="midCat"/>
      </c:valAx>
      <c:valAx>
        <c:axId val="113890812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13890695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133</v>
      </c>
      <c r="B1" s="478"/>
    </row>
    <row r="2" spans="1:3" ht="14.4" customHeight="1" thickBot="1" x14ac:dyDescent="0.35">
      <c r="A2" s="383" t="s">
        <v>336</v>
      </c>
      <c r="B2" s="50"/>
    </row>
    <row r="3" spans="1:3" ht="14.4" customHeight="1" thickBot="1" x14ac:dyDescent="0.35">
      <c r="A3" s="474" t="s">
        <v>183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2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3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3" t="str">
        <f t="shared" si="0"/>
        <v>Man Tab</v>
      </c>
      <c r="B7" s="184" t="s">
        <v>338</v>
      </c>
      <c r="C7" s="51" t="s">
        <v>139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134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207</v>
      </c>
      <c r="C12" s="51" t="s">
        <v>141</v>
      </c>
    </row>
    <row r="13" spans="1:3" ht="28.8" customHeight="1" x14ac:dyDescent="0.3">
      <c r="A13" s="273" t="str">
        <f t="shared" si="2"/>
        <v>LŽ PL</v>
      </c>
      <c r="B13" s="689" t="s">
        <v>208</v>
      </c>
      <c r="C13" s="51" t="s">
        <v>187</v>
      </c>
    </row>
    <row r="14" spans="1:3" ht="14.4" customHeight="1" x14ac:dyDescent="0.3">
      <c r="A14" s="273" t="str">
        <f t="shared" si="2"/>
        <v>LŽ PL Detail</v>
      </c>
      <c r="B14" s="184" t="s">
        <v>779</v>
      </c>
      <c r="C14" s="51" t="s">
        <v>189</v>
      </c>
    </row>
    <row r="15" spans="1:3" ht="14.4" customHeight="1" x14ac:dyDescent="0.3">
      <c r="A15" s="273" t="str">
        <f t="shared" si="2"/>
        <v>LŽ Statim</v>
      </c>
      <c r="B15" s="462" t="s">
        <v>300</v>
      </c>
      <c r="C15" s="51" t="s">
        <v>310</v>
      </c>
    </row>
    <row r="16" spans="1:3" ht="14.4" customHeight="1" x14ac:dyDescent="0.3">
      <c r="A16" s="273" t="str">
        <f t="shared" si="2"/>
        <v>Léky Recepty</v>
      </c>
      <c r="B16" s="184" t="s">
        <v>178</v>
      </c>
      <c r="C16" s="51" t="s">
        <v>142</v>
      </c>
    </row>
    <row r="17" spans="1:3" ht="14.4" customHeight="1" x14ac:dyDescent="0.3">
      <c r="A17" s="273" t="str">
        <f t="shared" si="2"/>
        <v>LRp Lékaři</v>
      </c>
      <c r="B17" s="184" t="s">
        <v>192</v>
      </c>
      <c r="C17" s="51" t="s">
        <v>193</v>
      </c>
    </row>
    <row r="18" spans="1:3" ht="14.4" customHeight="1" x14ac:dyDescent="0.3">
      <c r="A18" s="273" t="str">
        <f t="shared" si="2"/>
        <v>LRp Detail</v>
      </c>
      <c r="B18" s="184" t="s">
        <v>1128</v>
      </c>
      <c r="C18" s="51" t="s">
        <v>143</v>
      </c>
    </row>
    <row r="19" spans="1:3" ht="28.8" customHeight="1" x14ac:dyDescent="0.3">
      <c r="A19" s="273" t="str">
        <f t="shared" si="2"/>
        <v>LRp PL</v>
      </c>
      <c r="B19" s="689" t="s">
        <v>1129</v>
      </c>
      <c r="C19" s="51" t="s">
        <v>188</v>
      </c>
    </row>
    <row r="20" spans="1:3" ht="14.4" customHeight="1" x14ac:dyDescent="0.3">
      <c r="A20" s="273" t="str">
        <f>HYPERLINK("#'"&amp;C20&amp;"'!A1",C20)</f>
        <v>LRp PL Detail</v>
      </c>
      <c r="B20" s="184" t="s">
        <v>1154</v>
      </c>
      <c r="C20" s="51" t="s">
        <v>190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179</v>
      </c>
      <c r="C21" s="51" t="s">
        <v>144</v>
      </c>
    </row>
    <row r="22" spans="1:3" ht="14.4" customHeight="1" x14ac:dyDescent="0.3">
      <c r="A22" s="273" t="str">
        <f t="shared" si="2"/>
        <v>MŽ Detail</v>
      </c>
      <c r="B22" s="184" t="s">
        <v>1245</v>
      </c>
      <c r="C22" s="51" t="s">
        <v>145</v>
      </c>
    </row>
    <row r="23" spans="1:3" ht="14.4" customHeight="1" thickBot="1" x14ac:dyDescent="0.35">
      <c r="A23" s="275" t="str">
        <f t="shared" si="2"/>
        <v>Osobní náklady</v>
      </c>
      <c r="B23" s="184" t="s">
        <v>131</v>
      </c>
      <c r="C23" s="51" t="s">
        <v>146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135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1251</v>
      </c>
      <c r="C26" s="51" t="s">
        <v>154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1255</v>
      </c>
      <c r="C27" s="51" t="s">
        <v>313</v>
      </c>
    </row>
    <row r="28" spans="1:3" ht="14.4" customHeight="1" x14ac:dyDescent="0.3">
      <c r="A28" s="273" t="str">
        <f t="shared" si="4"/>
        <v>ZV Vykáz.-A Detail</v>
      </c>
      <c r="B28" s="184" t="s">
        <v>1411</v>
      </c>
      <c r="C28" s="51" t="s">
        <v>155</v>
      </c>
    </row>
    <row r="29" spans="1:3" ht="14.4" customHeight="1" x14ac:dyDescent="0.3">
      <c r="A29" s="273" t="str">
        <f t="shared" si="4"/>
        <v>ZV Vykáz.-H</v>
      </c>
      <c r="B29" s="184" t="s">
        <v>158</v>
      </c>
      <c r="C29" s="51" t="s">
        <v>156</v>
      </c>
    </row>
    <row r="30" spans="1:3" ht="14.4" customHeight="1" x14ac:dyDescent="0.3">
      <c r="A30" s="273" t="str">
        <f t="shared" si="4"/>
        <v>ZV Vykáz.-H Detail</v>
      </c>
      <c r="B30" s="184" t="s">
        <v>1492</v>
      </c>
      <c r="C30" s="51" t="s">
        <v>157</v>
      </c>
    </row>
    <row r="31" spans="1:3" ht="14.4" customHeight="1" x14ac:dyDescent="0.3">
      <c r="A31" s="276" t="str">
        <f t="shared" si="4"/>
        <v>CaseMix</v>
      </c>
      <c r="B31" s="184" t="s">
        <v>136</v>
      </c>
      <c r="C31" s="51" t="s">
        <v>147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1504</v>
      </c>
      <c r="C33" s="51" t="s">
        <v>148</v>
      </c>
    </row>
    <row r="34" spans="1:3" ht="14.4" customHeight="1" x14ac:dyDescent="0.3">
      <c r="A34" s="273" t="str">
        <f t="shared" si="4"/>
        <v>ZV Vyžád.</v>
      </c>
      <c r="B34" s="184" t="s">
        <v>159</v>
      </c>
      <c r="C34" s="51" t="s">
        <v>151</v>
      </c>
    </row>
    <row r="35" spans="1:3" ht="14.4" customHeight="1" x14ac:dyDescent="0.3">
      <c r="A35" s="273" t="str">
        <f t="shared" si="4"/>
        <v>ZV Vyžád. Detail</v>
      </c>
      <c r="B35" s="184" t="s">
        <v>1597</v>
      </c>
      <c r="C35" s="51" t="s">
        <v>150</v>
      </c>
    </row>
    <row r="36" spans="1:3" ht="14.4" customHeight="1" x14ac:dyDescent="0.3">
      <c r="A36" s="273" t="str">
        <f t="shared" si="4"/>
        <v>OD TISS</v>
      </c>
      <c r="B36" s="184" t="s">
        <v>182</v>
      </c>
      <c r="C36" s="51" t="s">
        <v>149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7" customWidth="1"/>
    <col min="7" max="7" width="10" style="337" customWidth="1"/>
    <col min="8" max="8" width="6.77734375" style="340" bestFit="1" customWidth="1"/>
    <col min="9" max="9" width="6.6640625" style="337" customWidth="1"/>
    <col min="10" max="10" width="10" style="337" customWidth="1"/>
    <col min="11" max="11" width="6.77734375" style="340" bestFit="1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779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336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0</v>
      </c>
      <c r="G3" s="47">
        <f>SUBTOTAL(9,G6:G1048576)</f>
        <v>0</v>
      </c>
      <c r="H3" s="48">
        <f>IF(M3=0,0,G3/M3)</f>
        <v>0</v>
      </c>
      <c r="I3" s="47">
        <f>SUBTOTAL(9,I6:I1048576)</f>
        <v>415</v>
      </c>
      <c r="J3" s="47">
        <f>SUBTOTAL(9,J6:J1048576)</f>
        <v>837398.66106674494</v>
      </c>
      <c r="K3" s="48">
        <f>IF(M3=0,0,J3/M3)</f>
        <v>1</v>
      </c>
      <c r="L3" s="47">
        <f>SUBTOTAL(9,L6:L1048576)</f>
        <v>415</v>
      </c>
      <c r="M3" s="49">
        <f>SUBTOTAL(9,M6:M1048576)</f>
        <v>837398.66106674494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162</v>
      </c>
      <c r="G4" s="521"/>
      <c r="H4" s="522"/>
      <c r="I4" s="523" t="s">
        <v>161</v>
      </c>
      <c r="J4" s="521"/>
      <c r="K4" s="522"/>
      <c r="L4" s="524" t="s">
        <v>3</v>
      </c>
      <c r="M4" s="525"/>
    </row>
    <row r="5" spans="1:13" ht="14.4" customHeight="1" thickBot="1" x14ac:dyDescent="0.35">
      <c r="A5" s="672" t="s">
        <v>163</v>
      </c>
      <c r="B5" s="690" t="s">
        <v>164</v>
      </c>
      <c r="C5" s="690" t="s">
        <v>90</v>
      </c>
      <c r="D5" s="690" t="s">
        <v>165</v>
      </c>
      <c r="E5" s="690" t="s">
        <v>166</v>
      </c>
      <c r="F5" s="691" t="s">
        <v>28</v>
      </c>
      <c r="G5" s="691" t="s">
        <v>14</v>
      </c>
      <c r="H5" s="674" t="s">
        <v>167</v>
      </c>
      <c r="I5" s="673" t="s">
        <v>28</v>
      </c>
      <c r="J5" s="691" t="s">
        <v>14</v>
      </c>
      <c r="K5" s="674" t="s">
        <v>167</v>
      </c>
      <c r="L5" s="673" t="s">
        <v>28</v>
      </c>
      <c r="M5" s="692" t="s">
        <v>14</v>
      </c>
    </row>
    <row r="6" spans="1:13" ht="14.4" customHeight="1" x14ac:dyDescent="0.3">
      <c r="A6" s="654" t="s">
        <v>534</v>
      </c>
      <c r="B6" s="655" t="s">
        <v>766</v>
      </c>
      <c r="C6" s="655" t="s">
        <v>627</v>
      </c>
      <c r="D6" s="655" t="s">
        <v>628</v>
      </c>
      <c r="E6" s="655" t="s">
        <v>629</v>
      </c>
      <c r="F6" s="658"/>
      <c r="G6" s="658"/>
      <c r="H6" s="676">
        <v>0</v>
      </c>
      <c r="I6" s="658">
        <v>2</v>
      </c>
      <c r="J6" s="658">
        <v>213.72865654033421</v>
      </c>
      <c r="K6" s="676">
        <v>1</v>
      </c>
      <c r="L6" s="658">
        <v>2</v>
      </c>
      <c r="M6" s="659">
        <v>213.72865654033421</v>
      </c>
    </row>
    <row r="7" spans="1:13" ht="14.4" customHeight="1" x14ac:dyDescent="0.3">
      <c r="A7" s="660" t="s">
        <v>534</v>
      </c>
      <c r="B7" s="661" t="s">
        <v>767</v>
      </c>
      <c r="C7" s="661" t="s">
        <v>641</v>
      </c>
      <c r="D7" s="661" t="s">
        <v>642</v>
      </c>
      <c r="E7" s="661" t="s">
        <v>643</v>
      </c>
      <c r="F7" s="664"/>
      <c r="G7" s="664"/>
      <c r="H7" s="677">
        <v>0</v>
      </c>
      <c r="I7" s="664">
        <v>1</v>
      </c>
      <c r="J7" s="664">
        <v>82.57999999999997</v>
      </c>
      <c r="K7" s="677">
        <v>1</v>
      </c>
      <c r="L7" s="664">
        <v>1</v>
      </c>
      <c r="M7" s="665">
        <v>82.57999999999997</v>
      </c>
    </row>
    <row r="8" spans="1:13" ht="14.4" customHeight="1" x14ac:dyDescent="0.3">
      <c r="A8" s="660" t="s">
        <v>534</v>
      </c>
      <c r="B8" s="661" t="s">
        <v>767</v>
      </c>
      <c r="C8" s="661" t="s">
        <v>638</v>
      </c>
      <c r="D8" s="661" t="s">
        <v>639</v>
      </c>
      <c r="E8" s="661" t="s">
        <v>640</v>
      </c>
      <c r="F8" s="664"/>
      <c r="G8" s="664"/>
      <c r="H8" s="677">
        <v>0</v>
      </c>
      <c r="I8" s="664">
        <v>3</v>
      </c>
      <c r="J8" s="664">
        <v>145.24</v>
      </c>
      <c r="K8" s="677">
        <v>1</v>
      </c>
      <c r="L8" s="664">
        <v>3</v>
      </c>
      <c r="M8" s="665">
        <v>145.24</v>
      </c>
    </row>
    <row r="9" spans="1:13" ht="14.4" customHeight="1" x14ac:dyDescent="0.3">
      <c r="A9" s="660" t="s">
        <v>534</v>
      </c>
      <c r="B9" s="661" t="s">
        <v>767</v>
      </c>
      <c r="C9" s="661" t="s">
        <v>631</v>
      </c>
      <c r="D9" s="661" t="s">
        <v>632</v>
      </c>
      <c r="E9" s="661" t="s">
        <v>768</v>
      </c>
      <c r="F9" s="664"/>
      <c r="G9" s="664"/>
      <c r="H9" s="677">
        <v>0</v>
      </c>
      <c r="I9" s="664">
        <v>3</v>
      </c>
      <c r="J9" s="664">
        <v>180.65999999999991</v>
      </c>
      <c r="K9" s="677">
        <v>1</v>
      </c>
      <c r="L9" s="664">
        <v>3</v>
      </c>
      <c r="M9" s="665">
        <v>180.65999999999991</v>
      </c>
    </row>
    <row r="10" spans="1:13" ht="14.4" customHeight="1" x14ac:dyDescent="0.3">
      <c r="A10" s="660" t="s">
        <v>534</v>
      </c>
      <c r="B10" s="661" t="s">
        <v>767</v>
      </c>
      <c r="C10" s="661" t="s">
        <v>635</v>
      </c>
      <c r="D10" s="661" t="s">
        <v>769</v>
      </c>
      <c r="E10" s="661" t="s">
        <v>770</v>
      </c>
      <c r="F10" s="664"/>
      <c r="G10" s="664"/>
      <c r="H10" s="677">
        <v>0</v>
      </c>
      <c r="I10" s="664">
        <v>1</v>
      </c>
      <c r="J10" s="664">
        <v>64.608652870809323</v>
      </c>
      <c r="K10" s="677">
        <v>1</v>
      </c>
      <c r="L10" s="664">
        <v>1</v>
      </c>
      <c r="M10" s="665">
        <v>64.608652870809323</v>
      </c>
    </row>
    <row r="11" spans="1:13" ht="14.4" customHeight="1" x14ac:dyDescent="0.3">
      <c r="A11" s="660" t="s">
        <v>539</v>
      </c>
      <c r="B11" s="661" t="s">
        <v>771</v>
      </c>
      <c r="C11" s="661" t="s">
        <v>687</v>
      </c>
      <c r="D11" s="661" t="s">
        <v>772</v>
      </c>
      <c r="E11" s="661" t="s">
        <v>773</v>
      </c>
      <c r="F11" s="664"/>
      <c r="G11" s="664"/>
      <c r="H11" s="677">
        <v>0</v>
      </c>
      <c r="I11" s="664">
        <v>1</v>
      </c>
      <c r="J11" s="664">
        <v>133.60005890451458</v>
      </c>
      <c r="K11" s="677">
        <v>1</v>
      </c>
      <c r="L11" s="664">
        <v>1</v>
      </c>
      <c r="M11" s="665">
        <v>133.60005890451458</v>
      </c>
    </row>
    <row r="12" spans="1:13" ht="14.4" customHeight="1" x14ac:dyDescent="0.3">
      <c r="A12" s="660" t="s">
        <v>539</v>
      </c>
      <c r="B12" s="661" t="s">
        <v>774</v>
      </c>
      <c r="C12" s="661" t="s">
        <v>683</v>
      </c>
      <c r="D12" s="661" t="s">
        <v>684</v>
      </c>
      <c r="E12" s="661" t="s">
        <v>775</v>
      </c>
      <c r="F12" s="664"/>
      <c r="G12" s="664"/>
      <c r="H12" s="677">
        <v>0</v>
      </c>
      <c r="I12" s="664">
        <v>1</v>
      </c>
      <c r="J12" s="664">
        <v>50.61</v>
      </c>
      <c r="K12" s="677">
        <v>1</v>
      </c>
      <c r="L12" s="664">
        <v>1</v>
      </c>
      <c r="M12" s="665">
        <v>50.61</v>
      </c>
    </row>
    <row r="13" spans="1:13" ht="14.4" customHeight="1" x14ac:dyDescent="0.3">
      <c r="A13" s="660" t="s">
        <v>545</v>
      </c>
      <c r="B13" s="661" t="s">
        <v>776</v>
      </c>
      <c r="C13" s="661" t="s">
        <v>723</v>
      </c>
      <c r="D13" s="661" t="s">
        <v>724</v>
      </c>
      <c r="E13" s="661" t="s">
        <v>725</v>
      </c>
      <c r="F13" s="664"/>
      <c r="G13" s="664"/>
      <c r="H13" s="677">
        <v>0</v>
      </c>
      <c r="I13" s="664">
        <v>2</v>
      </c>
      <c r="J13" s="664">
        <v>727.95269163086459</v>
      </c>
      <c r="K13" s="677">
        <v>1</v>
      </c>
      <c r="L13" s="664">
        <v>2</v>
      </c>
      <c r="M13" s="665">
        <v>727.95269163086459</v>
      </c>
    </row>
    <row r="14" spans="1:13" ht="14.4" customHeight="1" x14ac:dyDescent="0.3">
      <c r="A14" s="660" t="s">
        <v>545</v>
      </c>
      <c r="B14" s="661" t="s">
        <v>777</v>
      </c>
      <c r="C14" s="661" t="s">
        <v>719</v>
      </c>
      <c r="D14" s="661" t="s">
        <v>720</v>
      </c>
      <c r="E14" s="661" t="s">
        <v>721</v>
      </c>
      <c r="F14" s="664"/>
      <c r="G14" s="664"/>
      <c r="H14" s="677">
        <v>0</v>
      </c>
      <c r="I14" s="664">
        <v>1</v>
      </c>
      <c r="J14" s="664">
        <v>58.799998394912514</v>
      </c>
      <c r="K14" s="677">
        <v>1</v>
      </c>
      <c r="L14" s="664">
        <v>1</v>
      </c>
      <c r="M14" s="665">
        <v>58.799998394912514</v>
      </c>
    </row>
    <row r="15" spans="1:13" ht="14.4" customHeight="1" thickBot="1" x14ac:dyDescent="0.35">
      <c r="A15" s="666" t="s">
        <v>545</v>
      </c>
      <c r="B15" s="667" t="s">
        <v>778</v>
      </c>
      <c r="C15" s="667" t="s">
        <v>742</v>
      </c>
      <c r="D15" s="667" t="s">
        <v>743</v>
      </c>
      <c r="E15" s="667" t="s">
        <v>733</v>
      </c>
      <c r="F15" s="670"/>
      <c r="G15" s="670"/>
      <c r="H15" s="678">
        <v>0</v>
      </c>
      <c r="I15" s="670">
        <v>400</v>
      </c>
      <c r="J15" s="670">
        <v>835740.88100840349</v>
      </c>
      <c r="K15" s="678">
        <v>1</v>
      </c>
      <c r="L15" s="670">
        <v>400</v>
      </c>
      <c r="M15" s="671">
        <v>835740.88100840349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6" customWidth="1"/>
    <col min="2" max="2" width="5.44140625" style="337" bestFit="1" customWidth="1"/>
    <col min="3" max="3" width="6.109375" style="337" bestFit="1" customWidth="1"/>
    <col min="4" max="4" width="7.44140625" style="337" bestFit="1" customWidth="1"/>
    <col min="5" max="5" width="6.21875" style="337" bestFit="1" customWidth="1"/>
    <col min="6" max="6" width="6.33203125" style="340" bestFit="1" customWidth="1"/>
    <col min="7" max="7" width="6.109375" style="340" bestFit="1" customWidth="1"/>
    <col min="8" max="8" width="7.44140625" style="340" bestFit="1" customWidth="1"/>
    <col min="9" max="9" width="6.21875" style="340" bestFit="1" customWidth="1"/>
    <col min="10" max="10" width="5.44140625" style="337" bestFit="1" customWidth="1"/>
    <col min="11" max="11" width="6.109375" style="337" bestFit="1" customWidth="1"/>
    <col min="12" max="12" width="7.44140625" style="337" bestFit="1" customWidth="1"/>
    <col min="13" max="13" width="6.21875" style="337" bestFit="1" customWidth="1"/>
    <col min="14" max="14" width="5.33203125" style="340" bestFit="1" customWidth="1"/>
    <col min="15" max="15" width="6.109375" style="340" bestFit="1" customWidth="1"/>
    <col min="16" max="16" width="7.44140625" style="340" bestFit="1" customWidth="1"/>
    <col min="17" max="17" width="6.21875" style="340" bestFit="1" customWidth="1"/>
    <col min="18" max="16384" width="8.88671875" style="254"/>
  </cols>
  <sheetData>
    <row r="1" spans="1:17" ht="18.600000000000001" customHeight="1" thickBot="1" x14ac:dyDescent="0.4">
      <c r="A1" s="516" t="s">
        <v>300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3" t="s">
        <v>336</v>
      </c>
      <c r="B2" s="344"/>
      <c r="C2" s="344"/>
      <c r="D2" s="344"/>
      <c r="E2" s="344"/>
    </row>
    <row r="3" spans="1:17" ht="14.4" customHeight="1" thickBot="1" x14ac:dyDescent="0.35">
      <c r="A3" s="455" t="s">
        <v>3</v>
      </c>
      <c r="B3" s="459">
        <f>SUM(B6:B1048576)</f>
        <v>72</v>
      </c>
      <c r="C3" s="460">
        <f>SUM(C6:C1048576)</f>
        <v>15</v>
      </c>
      <c r="D3" s="460">
        <f>SUM(D6:D1048576)</f>
        <v>0</v>
      </c>
      <c r="E3" s="461">
        <f>SUM(E6:E1048576)</f>
        <v>4</v>
      </c>
      <c r="F3" s="458">
        <f>IF(SUM($B3:$E3)=0,"",B3/SUM($B3:$E3))</f>
        <v>0.79120879120879117</v>
      </c>
      <c r="G3" s="456">
        <f t="shared" ref="G3:I3" si="0">IF(SUM($B3:$E3)=0,"",C3/SUM($B3:$E3))</f>
        <v>0.16483516483516483</v>
      </c>
      <c r="H3" s="456">
        <f t="shared" si="0"/>
        <v>0</v>
      </c>
      <c r="I3" s="457">
        <f t="shared" si="0"/>
        <v>4.3956043956043959E-2</v>
      </c>
      <c r="J3" s="460">
        <f>SUM(J6:J1048576)</f>
        <v>32</v>
      </c>
      <c r="K3" s="460">
        <f>SUM(K6:K1048576)</f>
        <v>4</v>
      </c>
      <c r="L3" s="460">
        <f>SUM(L6:L1048576)</f>
        <v>0</v>
      </c>
      <c r="M3" s="461">
        <f>SUM(M6:M1048576)</f>
        <v>4</v>
      </c>
      <c r="N3" s="458">
        <f>IF(SUM($J3:$M3)=0,"",J3/SUM($J3:$M3))</f>
        <v>0.8</v>
      </c>
      <c r="O3" s="456">
        <f t="shared" ref="O3:Q3" si="1">IF(SUM($J3:$M3)=0,"",K3/SUM($J3:$M3))</f>
        <v>0.1</v>
      </c>
      <c r="P3" s="456">
        <f t="shared" si="1"/>
        <v>0</v>
      </c>
      <c r="Q3" s="457">
        <f t="shared" si="1"/>
        <v>0.1</v>
      </c>
    </row>
    <row r="4" spans="1:17" ht="14.4" customHeight="1" thickBot="1" x14ac:dyDescent="0.35">
      <c r="A4" s="454"/>
      <c r="B4" s="529" t="s">
        <v>302</v>
      </c>
      <c r="C4" s="530"/>
      <c r="D4" s="530"/>
      <c r="E4" s="531"/>
      <c r="F4" s="526" t="s">
        <v>307</v>
      </c>
      <c r="G4" s="527"/>
      <c r="H4" s="527"/>
      <c r="I4" s="528"/>
      <c r="J4" s="529" t="s">
        <v>308</v>
      </c>
      <c r="K4" s="530"/>
      <c r="L4" s="530"/>
      <c r="M4" s="531"/>
      <c r="N4" s="526" t="s">
        <v>309</v>
      </c>
      <c r="O4" s="527"/>
      <c r="P4" s="527"/>
      <c r="Q4" s="528"/>
    </row>
    <row r="5" spans="1:17" ht="14.4" customHeight="1" thickBot="1" x14ac:dyDescent="0.35">
      <c r="A5" s="693" t="s">
        <v>301</v>
      </c>
      <c r="B5" s="694" t="s">
        <v>303</v>
      </c>
      <c r="C5" s="694" t="s">
        <v>304</v>
      </c>
      <c r="D5" s="694" t="s">
        <v>305</v>
      </c>
      <c r="E5" s="695" t="s">
        <v>306</v>
      </c>
      <c r="F5" s="696" t="s">
        <v>303</v>
      </c>
      <c r="G5" s="697" t="s">
        <v>304</v>
      </c>
      <c r="H5" s="697" t="s">
        <v>305</v>
      </c>
      <c r="I5" s="698" t="s">
        <v>306</v>
      </c>
      <c r="J5" s="694" t="s">
        <v>303</v>
      </c>
      <c r="K5" s="694" t="s">
        <v>304</v>
      </c>
      <c r="L5" s="694" t="s">
        <v>305</v>
      </c>
      <c r="M5" s="695" t="s">
        <v>306</v>
      </c>
      <c r="N5" s="696" t="s">
        <v>303</v>
      </c>
      <c r="O5" s="697" t="s">
        <v>304</v>
      </c>
      <c r="P5" s="697" t="s">
        <v>305</v>
      </c>
      <c r="Q5" s="698" t="s">
        <v>306</v>
      </c>
    </row>
    <row r="6" spans="1:17" ht="14.4" customHeight="1" x14ac:dyDescent="0.3">
      <c r="A6" s="702" t="s">
        <v>780</v>
      </c>
      <c r="B6" s="708"/>
      <c r="C6" s="658"/>
      <c r="D6" s="658"/>
      <c r="E6" s="659"/>
      <c r="F6" s="705"/>
      <c r="G6" s="676"/>
      <c r="H6" s="676"/>
      <c r="I6" s="711"/>
      <c r="J6" s="708"/>
      <c r="K6" s="658"/>
      <c r="L6" s="658"/>
      <c r="M6" s="659"/>
      <c r="N6" s="705"/>
      <c r="O6" s="676"/>
      <c r="P6" s="676"/>
      <c r="Q6" s="699"/>
    </row>
    <row r="7" spans="1:17" ht="14.4" customHeight="1" x14ac:dyDescent="0.3">
      <c r="A7" s="703" t="s">
        <v>781</v>
      </c>
      <c r="B7" s="709">
        <v>19</v>
      </c>
      <c r="C7" s="664">
        <v>14</v>
      </c>
      <c r="D7" s="664"/>
      <c r="E7" s="665"/>
      <c r="F7" s="706">
        <v>0.5757575757575758</v>
      </c>
      <c r="G7" s="677">
        <v>0.42424242424242425</v>
      </c>
      <c r="H7" s="677">
        <v>0</v>
      </c>
      <c r="I7" s="712">
        <v>0</v>
      </c>
      <c r="J7" s="709">
        <v>4</v>
      </c>
      <c r="K7" s="664">
        <v>3</v>
      </c>
      <c r="L7" s="664"/>
      <c r="M7" s="665"/>
      <c r="N7" s="706">
        <v>0.5714285714285714</v>
      </c>
      <c r="O7" s="677">
        <v>0.42857142857142855</v>
      </c>
      <c r="P7" s="677">
        <v>0</v>
      </c>
      <c r="Q7" s="700">
        <v>0</v>
      </c>
    </row>
    <row r="8" spans="1:17" ht="14.4" customHeight="1" x14ac:dyDescent="0.3">
      <c r="A8" s="703" t="s">
        <v>782</v>
      </c>
      <c r="B8" s="709">
        <v>18</v>
      </c>
      <c r="C8" s="664">
        <v>1</v>
      </c>
      <c r="D8" s="664"/>
      <c r="E8" s="665"/>
      <c r="F8" s="706">
        <v>0.94736842105263153</v>
      </c>
      <c r="G8" s="677">
        <v>5.2631578947368418E-2</v>
      </c>
      <c r="H8" s="677">
        <v>0</v>
      </c>
      <c r="I8" s="712">
        <v>0</v>
      </c>
      <c r="J8" s="709">
        <v>7</v>
      </c>
      <c r="K8" s="664">
        <v>1</v>
      </c>
      <c r="L8" s="664"/>
      <c r="M8" s="665"/>
      <c r="N8" s="706">
        <v>0.875</v>
      </c>
      <c r="O8" s="677">
        <v>0.125</v>
      </c>
      <c r="P8" s="677">
        <v>0</v>
      </c>
      <c r="Q8" s="700">
        <v>0</v>
      </c>
    </row>
    <row r="9" spans="1:17" ht="14.4" customHeight="1" x14ac:dyDescent="0.3">
      <c r="A9" s="703" t="s">
        <v>783</v>
      </c>
      <c r="B9" s="709">
        <v>1</v>
      </c>
      <c r="C9" s="664"/>
      <c r="D9" s="664"/>
      <c r="E9" s="665"/>
      <c r="F9" s="706">
        <v>1</v>
      </c>
      <c r="G9" s="677">
        <v>0</v>
      </c>
      <c r="H9" s="677">
        <v>0</v>
      </c>
      <c r="I9" s="712">
        <v>0</v>
      </c>
      <c r="J9" s="709">
        <v>1</v>
      </c>
      <c r="K9" s="664"/>
      <c r="L9" s="664"/>
      <c r="M9" s="665"/>
      <c r="N9" s="706">
        <v>1</v>
      </c>
      <c r="O9" s="677">
        <v>0</v>
      </c>
      <c r="P9" s="677">
        <v>0</v>
      </c>
      <c r="Q9" s="700">
        <v>0</v>
      </c>
    </row>
    <row r="10" spans="1:17" ht="14.4" customHeight="1" x14ac:dyDescent="0.3">
      <c r="A10" s="703" t="s">
        <v>784</v>
      </c>
      <c r="B10" s="709">
        <v>34</v>
      </c>
      <c r="C10" s="664"/>
      <c r="D10" s="664"/>
      <c r="E10" s="665"/>
      <c r="F10" s="706">
        <v>1</v>
      </c>
      <c r="G10" s="677">
        <v>0</v>
      </c>
      <c r="H10" s="677">
        <v>0</v>
      </c>
      <c r="I10" s="712">
        <v>0</v>
      </c>
      <c r="J10" s="709">
        <v>20</v>
      </c>
      <c r="K10" s="664"/>
      <c r="L10" s="664"/>
      <c r="M10" s="665"/>
      <c r="N10" s="706">
        <v>1</v>
      </c>
      <c r="O10" s="677">
        <v>0</v>
      </c>
      <c r="P10" s="677">
        <v>0</v>
      </c>
      <c r="Q10" s="700">
        <v>0</v>
      </c>
    </row>
    <row r="11" spans="1:17" ht="14.4" customHeight="1" thickBot="1" x14ac:dyDescent="0.35">
      <c r="A11" s="704" t="s">
        <v>785</v>
      </c>
      <c r="B11" s="710"/>
      <c r="C11" s="670"/>
      <c r="D11" s="670"/>
      <c r="E11" s="671">
        <v>4</v>
      </c>
      <c r="F11" s="707">
        <v>0</v>
      </c>
      <c r="G11" s="678">
        <v>0</v>
      </c>
      <c r="H11" s="678">
        <v>0</v>
      </c>
      <c r="I11" s="713">
        <v>1</v>
      </c>
      <c r="J11" s="710"/>
      <c r="K11" s="670"/>
      <c r="L11" s="670"/>
      <c r="M11" s="671">
        <v>4</v>
      </c>
      <c r="N11" s="707">
        <v>0</v>
      </c>
      <c r="O11" s="678">
        <v>0</v>
      </c>
      <c r="P11" s="678">
        <v>0</v>
      </c>
      <c r="Q11" s="701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178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3" t="s">
        <v>336</v>
      </c>
      <c r="B2" s="336"/>
      <c r="C2" s="336"/>
      <c r="D2" s="336"/>
      <c r="E2" s="336"/>
      <c r="F2" s="336"/>
      <c r="G2" s="336"/>
      <c r="H2" s="336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191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4">
        <v>22</v>
      </c>
      <c r="B5" s="645" t="s">
        <v>530</v>
      </c>
      <c r="C5" s="648">
        <v>75759.399999999994</v>
      </c>
      <c r="D5" s="648">
        <v>627</v>
      </c>
      <c r="E5" s="648">
        <v>30767.159999999993</v>
      </c>
      <c r="F5" s="714">
        <v>0.40611673270907628</v>
      </c>
      <c r="G5" s="648">
        <v>257</v>
      </c>
      <c r="H5" s="714">
        <v>0.4098883572567783</v>
      </c>
      <c r="I5" s="648">
        <v>44992.24</v>
      </c>
      <c r="J5" s="714">
        <v>0.59388326729092367</v>
      </c>
      <c r="K5" s="648">
        <v>370</v>
      </c>
      <c r="L5" s="714">
        <v>0.5901116427432217</v>
      </c>
      <c r="M5" s="648" t="s">
        <v>74</v>
      </c>
      <c r="N5" s="277"/>
    </row>
    <row r="6" spans="1:14" ht="14.4" customHeight="1" x14ac:dyDescent="0.3">
      <c r="A6" s="644">
        <v>22</v>
      </c>
      <c r="B6" s="645" t="s">
        <v>786</v>
      </c>
      <c r="C6" s="648">
        <v>75759.399999999994</v>
      </c>
      <c r="D6" s="648">
        <v>627</v>
      </c>
      <c r="E6" s="648">
        <v>30767.159999999993</v>
      </c>
      <c r="F6" s="714">
        <v>0.40611673270907628</v>
      </c>
      <c r="G6" s="648">
        <v>257</v>
      </c>
      <c r="H6" s="714">
        <v>0.4098883572567783</v>
      </c>
      <c r="I6" s="648">
        <v>44992.24</v>
      </c>
      <c r="J6" s="714">
        <v>0.59388326729092367</v>
      </c>
      <c r="K6" s="648">
        <v>370</v>
      </c>
      <c r="L6" s="714">
        <v>0.5901116427432217</v>
      </c>
      <c r="M6" s="648" t="s">
        <v>1</v>
      </c>
      <c r="N6" s="277"/>
    </row>
    <row r="7" spans="1:14" ht="14.4" customHeight="1" x14ac:dyDescent="0.3">
      <c r="A7" s="644" t="s">
        <v>529</v>
      </c>
      <c r="B7" s="645" t="s">
        <v>3</v>
      </c>
      <c r="C7" s="648">
        <v>75759.399999999994</v>
      </c>
      <c r="D7" s="648">
        <v>627</v>
      </c>
      <c r="E7" s="648">
        <v>30767.159999999993</v>
      </c>
      <c r="F7" s="714">
        <v>0.40611673270907628</v>
      </c>
      <c r="G7" s="648">
        <v>257</v>
      </c>
      <c r="H7" s="714">
        <v>0.4098883572567783</v>
      </c>
      <c r="I7" s="648">
        <v>44992.24</v>
      </c>
      <c r="J7" s="714">
        <v>0.59388326729092367</v>
      </c>
      <c r="K7" s="648">
        <v>370</v>
      </c>
      <c r="L7" s="714">
        <v>0.5901116427432217</v>
      </c>
      <c r="M7" s="648" t="s">
        <v>533</v>
      </c>
      <c r="N7" s="277"/>
    </row>
    <row r="9" spans="1:14" ht="14.4" customHeight="1" x14ac:dyDescent="0.3">
      <c r="A9" s="644">
        <v>22</v>
      </c>
      <c r="B9" s="645" t="s">
        <v>530</v>
      </c>
      <c r="C9" s="648" t="s">
        <v>531</v>
      </c>
      <c r="D9" s="648" t="s">
        <v>531</v>
      </c>
      <c r="E9" s="648" t="s">
        <v>531</v>
      </c>
      <c r="F9" s="714" t="s">
        <v>531</v>
      </c>
      <c r="G9" s="648" t="s">
        <v>531</v>
      </c>
      <c r="H9" s="714" t="s">
        <v>531</v>
      </c>
      <c r="I9" s="648" t="s">
        <v>531</v>
      </c>
      <c r="J9" s="714" t="s">
        <v>531</v>
      </c>
      <c r="K9" s="648" t="s">
        <v>531</v>
      </c>
      <c r="L9" s="714" t="s">
        <v>531</v>
      </c>
      <c r="M9" s="648" t="s">
        <v>74</v>
      </c>
      <c r="N9" s="277"/>
    </row>
    <row r="10" spans="1:14" ht="14.4" customHeight="1" x14ac:dyDescent="0.3">
      <c r="A10" s="644">
        <v>89301221</v>
      </c>
      <c r="B10" s="645" t="s">
        <v>786</v>
      </c>
      <c r="C10" s="648">
        <v>9968.5299999999988</v>
      </c>
      <c r="D10" s="648">
        <v>76</v>
      </c>
      <c r="E10" s="648">
        <v>3145.8499999999995</v>
      </c>
      <c r="F10" s="714">
        <v>0.31557812435735255</v>
      </c>
      <c r="G10" s="648">
        <v>23</v>
      </c>
      <c r="H10" s="714">
        <v>0.30263157894736842</v>
      </c>
      <c r="I10" s="648">
        <v>6822.6799999999994</v>
      </c>
      <c r="J10" s="714">
        <v>0.68442187564264745</v>
      </c>
      <c r="K10" s="648">
        <v>53</v>
      </c>
      <c r="L10" s="714">
        <v>0.69736842105263153</v>
      </c>
      <c r="M10" s="648" t="s">
        <v>1</v>
      </c>
      <c r="N10" s="277"/>
    </row>
    <row r="11" spans="1:14" ht="14.4" customHeight="1" x14ac:dyDescent="0.3">
      <c r="A11" s="644" t="s">
        <v>787</v>
      </c>
      <c r="B11" s="645" t="s">
        <v>788</v>
      </c>
      <c r="C11" s="648">
        <v>9968.5299999999988</v>
      </c>
      <c r="D11" s="648">
        <v>76</v>
      </c>
      <c r="E11" s="648">
        <v>3145.8499999999995</v>
      </c>
      <c r="F11" s="714">
        <v>0.31557812435735255</v>
      </c>
      <c r="G11" s="648">
        <v>23</v>
      </c>
      <c r="H11" s="714">
        <v>0.30263157894736842</v>
      </c>
      <c r="I11" s="648">
        <v>6822.6799999999994</v>
      </c>
      <c r="J11" s="714">
        <v>0.68442187564264745</v>
      </c>
      <c r="K11" s="648">
        <v>53</v>
      </c>
      <c r="L11" s="714">
        <v>0.69736842105263153</v>
      </c>
      <c r="M11" s="648" t="s">
        <v>537</v>
      </c>
      <c r="N11" s="277"/>
    </row>
    <row r="12" spans="1:14" ht="14.4" customHeight="1" x14ac:dyDescent="0.3">
      <c r="A12" s="644" t="s">
        <v>531</v>
      </c>
      <c r="B12" s="645" t="s">
        <v>531</v>
      </c>
      <c r="C12" s="648" t="s">
        <v>531</v>
      </c>
      <c r="D12" s="648" t="s">
        <v>531</v>
      </c>
      <c r="E12" s="648" t="s">
        <v>531</v>
      </c>
      <c r="F12" s="714" t="s">
        <v>531</v>
      </c>
      <c r="G12" s="648" t="s">
        <v>531</v>
      </c>
      <c r="H12" s="714" t="s">
        <v>531</v>
      </c>
      <c r="I12" s="648" t="s">
        <v>531</v>
      </c>
      <c r="J12" s="714" t="s">
        <v>531</v>
      </c>
      <c r="K12" s="648" t="s">
        <v>531</v>
      </c>
      <c r="L12" s="714" t="s">
        <v>531</v>
      </c>
      <c r="M12" s="648" t="s">
        <v>538</v>
      </c>
      <c r="N12" s="277"/>
    </row>
    <row r="13" spans="1:14" ht="14.4" customHeight="1" x14ac:dyDescent="0.3">
      <c r="A13" s="644">
        <v>89301222</v>
      </c>
      <c r="B13" s="645" t="s">
        <v>786</v>
      </c>
      <c r="C13" s="648">
        <v>65790.869999999981</v>
      </c>
      <c r="D13" s="648">
        <v>551</v>
      </c>
      <c r="E13" s="648">
        <v>27621.309999999987</v>
      </c>
      <c r="F13" s="714">
        <v>0.41983500142192975</v>
      </c>
      <c r="G13" s="648">
        <v>234</v>
      </c>
      <c r="H13" s="714">
        <v>0.42468239564428312</v>
      </c>
      <c r="I13" s="648">
        <v>38169.55999999999</v>
      </c>
      <c r="J13" s="714">
        <v>0.58016499857807025</v>
      </c>
      <c r="K13" s="648">
        <v>317</v>
      </c>
      <c r="L13" s="714">
        <v>0.57531760435571688</v>
      </c>
      <c r="M13" s="648" t="s">
        <v>1</v>
      </c>
      <c r="N13" s="277"/>
    </row>
    <row r="14" spans="1:14" ht="14.4" customHeight="1" x14ac:dyDescent="0.3">
      <c r="A14" s="644" t="s">
        <v>789</v>
      </c>
      <c r="B14" s="645" t="s">
        <v>790</v>
      </c>
      <c r="C14" s="648">
        <v>65790.869999999981</v>
      </c>
      <c r="D14" s="648">
        <v>551</v>
      </c>
      <c r="E14" s="648">
        <v>27621.309999999987</v>
      </c>
      <c r="F14" s="714">
        <v>0.41983500142192975</v>
      </c>
      <c r="G14" s="648">
        <v>234</v>
      </c>
      <c r="H14" s="714">
        <v>0.42468239564428312</v>
      </c>
      <c r="I14" s="648">
        <v>38169.55999999999</v>
      </c>
      <c r="J14" s="714">
        <v>0.58016499857807025</v>
      </c>
      <c r="K14" s="648">
        <v>317</v>
      </c>
      <c r="L14" s="714">
        <v>0.57531760435571688</v>
      </c>
      <c r="M14" s="648" t="s">
        <v>537</v>
      </c>
      <c r="N14" s="277"/>
    </row>
    <row r="15" spans="1:14" ht="14.4" customHeight="1" x14ac:dyDescent="0.3">
      <c r="A15" s="644" t="s">
        <v>531</v>
      </c>
      <c r="B15" s="645" t="s">
        <v>531</v>
      </c>
      <c r="C15" s="648" t="s">
        <v>531</v>
      </c>
      <c r="D15" s="648" t="s">
        <v>531</v>
      </c>
      <c r="E15" s="648" t="s">
        <v>531</v>
      </c>
      <c r="F15" s="714" t="s">
        <v>531</v>
      </c>
      <c r="G15" s="648" t="s">
        <v>531</v>
      </c>
      <c r="H15" s="714" t="s">
        <v>531</v>
      </c>
      <c r="I15" s="648" t="s">
        <v>531</v>
      </c>
      <c r="J15" s="714" t="s">
        <v>531</v>
      </c>
      <c r="K15" s="648" t="s">
        <v>531</v>
      </c>
      <c r="L15" s="714" t="s">
        <v>531</v>
      </c>
      <c r="M15" s="648" t="s">
        <v>538</v>
      </c>
      <c r="N15" s="277"/>
    </row>
    <row r="16" spans="1:14" ht="14.4" customHeight="1" x14ac:dyDescent="0.3">
      <c r="A16" s="644" t="s">
        <v>529</v>
      </c>
      <c r="B16" s="645" t="s">
        <v>532</v>
      </c>
      <c r="C16" s="648">
        <v>75759.39999999998</v>
      </c>
      <c r="D16" s="648">
        <v>627</v>
      </c>
      <c r="E16" s="648">
        <v>30767.159999999985</v>
      </c>
      <c r="F16" s="714">
        <v>0.40611673270907628</v>
      </c>
      <c r="G16" s="648">
        <v>257</v>
      </c>
      <c r="H16" s="714">
        <v>0.4098883572567783</v>
      </c>
      <c r="I16" s="648">
        <v>44992.239999999991</v>
      </c>
      <c r="J16" s="714">
        <v>0.59388326729092367</v>
      </c>
      <c r="K16" s="648">
        <v>370</v>
      </c>
      <c r="L16" s="714">
        <v>0.5901116427432217</v>
      </c>
      <c r="M16" s="648" t="s">
        <v>533</v>
      </c>
      <c r="N16" s="277"/>
    </row>
  </sheetData>
  <autoFilter ref="A4:M4"/>
  <mergeCells count="4">
    <mergeCell ref="E3:H3"/>
    <mergeCell ref="C3:D3"/>
    <mergeCell ref="I3:L3"/>
    <mergeCell ref="A1:L1"/>
  </mergeCells>
  <conditionalFormatting sqref="F4 F8 F17:F1048576">
    <cfRule type="cellIs" dxfId="53" priority="15" stopIfTrue="1" operator="lessThan">
      <formula>0.6</formula>
    </cfRule>
  </conditionalFormatting>
  <conditionalFormatting sqref="B5:B7">
    <cfRule type="expression" dxfId="52" priority="10">
      <formula>AND(LEFT(M5,6)&lt;&gt;"mezera",M5&lt;&gt;"")</formula>
    </cfRule>
  </conditionalFormatting>
  <conditionalFormatting sqref="A5:A7">
    <cfRule type="expression" dxfId="51" priority="8">
      <formula>AND(M5&lt;&gt;"",M5&lt;&gt;"mezeraKL")</formula>
    </cfRule>
  </conditionalFormatting>
  <conditionalFormatting sqref="F5:F7">
    <cfRule type="cellIs" dxfId="50" priority="7" operator="lessThan">
      <formula>0.6</formula>
    </cfRule>
  </conditionalFormatting>
  <conditionalFormatting sqref="B5:L7">
    <cfRule type="expression" dxfId="49" priority="9">
      <formula>OR($M5="KL",$M5="SumaKL")</formula>
    </cfRule>
    <cfRule type="expression" dxfId="48" priority="11">
      <formula>$M5="SumaNS"</formula>
    </cfRule>
  </conditionalFormatting>
  <conditionalFormatting sqref="A5:L7">
    <cfRule type="expression" dxfId="47" priority="12">
      <formula>$M5&lt;&gt;""</formula>
    </cfRule>
  </conditionalFormatting>
  <conditionalFormatting sqref="B9:B16">
    <cfRule type="expression" dxfId="46" priority="4">
      <formula>AND(LEFT(M9,6)&lt;&gt;"mezera",M9&lt;&gt;"")</formula>
    </cfRule>
  </conditionalFormatting>
  <conditionalFormatting sqref="A9:A16">
    <cfRule type="expression" dxfId="45" priority="2">
      <formula>AND(M9&lt;&gt;"",M9&lt;&gt;"mezeraKL")</formula>
    </cfRule>
  </conditionalFormatting>
  <conditionalFormatting sqref="F9:F16">
    <cfRule type="cellIs" dxfId="44" priority="1" operator="lessThan">
      <formula>0.6</formula>
    </cfRule>
  </conditionalFormatting>
  <conditionalFormatting sqref="B9:L16">
    <cfRule type="expression" dxfId="43" priority="3">
      <formula>OR($M9="KL",$M9="SumaKL")</formula>
    </cfRule>
    <cfRule type="expression" dxfId="42" priority="5">
      <formula>$M9="SumaNS"</formula>
    </cfRule>
  </conditionalFormatting>
  <conditionalFormatting sqref="A9:L16">
    <cfRule type="expression" dxfId="41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7" bestFit="1" customWidth="1"/>
    <col min="3" max="3" width="11.109375" style="254" hidden="1" customWidth="1"/>
    <col min="4" max="4" width="7.33203125" style="337" bestFit="1" customWidth="1"/>
    <col min="5" max="5" width="7.33203125" style="254" hidden="1" customWidth="1"/>
    <col min="6" max="6" width="11.109375" style="337" bestFit="1" customWidth="1"/>
    <col min="7" max="7" width="5.33203125" style="340" customWidth="1"/>
    <col min="8" max="8" width="7.33203125" style="337" bestFit="1" customWidth="1"/>
    <col min="9" max="9" width="5.33203125" style="340" customWidth="1"/>
    <col min="10" max="10" width="11.109375" style="337" customWidth="1"/>
    <col min="11" max="11" width="5.33203125" style="340" customWidth="1"/>
    <col min="12" max="12" width="7.33203125" style="337" customWidth="1"/>
    <col min="13" max="13" width="5.33203125" style="340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192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3" t="s">
        <v>336</v>
      </c>
      <c r="B2" s="344"/>
      <c r="C2" s="336"/>
      <c r="D2" s="344"/>
      <c r="E2" s="336"/>
      <c r="F2" s="344"/>
      <c r="G2" s="345"/>
      <c r="H2" s="344"/>
      <c r="I2" s="345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191</v>
      </c>
      <c r="K3" s="532"/>
      <c r="L3" s="532"/>
      <c r="M3" s="534"/>
    </row>
    <row r="4" spans="1:13" ht="14.4" customHeight="1" thickBot="1" x14ac:dyDescent="0.35">
      <c r="A4" s="693" t="s">
        <v>168</v>
      </c>
      <c r="B4" s="694" t="s">
        <v>19</v>
      </c>
      <c r="C4" s="718"/>
      <c r="D4" s="694" t="s">
        <v>20</v>
      </c>
      <c r="E4" s="718"/>
      <c r="F4" s="694" t="s">
        <v>19</v>
      </c>
      <c r="G4" s="697" t="s">
        <v>2</v>
      </c>
      <c r="H4" s="694" t="s">
        <v>20</v>
      </c>
      <c r="I4" s="697" t="s">
        <v>2</v>
      </c>
      <c r="J4" s="694" t="s">
        <v>19</v>
      </c>
      <c r="K4" s="697" t="s">
        <v>2</v>
      </c>
      <c r="L4" s="694" t="s">
        <v>20</v>
      </c>
      <c r="M4" s="698" t="s">
        <v>2</v>
      </c>
    </row>
    <row r="5" spans="1:13" ht="14.4" customHeight="1" x14ac:dyDescent="0.3">
      <c r="A5" s="715" t="s">
        <v>791</v>
      </c>
      <c r="B5" s="708">
        <v>14630.589999999997</v>
      </c>
      <c r="C5" s="655">
        <v>1</v>
      </c>
      <c r="D5" s="719">
        <v>134</v>
      </c>
      <c r="E5" s="722" t="s">
        <v>791</v>
      </c>
      <c r="F5" s="708">
        <v>5605.54</v>
      </c>
      <c r="G5" s="676">
        <v>0.38313834233616018</v>
      </c>
      <c r="H5" s="658">
        <v>52</v>
      </c>
      <c r="I5" s="699">
        <v>0.38805970149253732</v>
      </c>
      <c r="J5" s="725">
        <v>9025.0499999999956</v>
      </c>
      <c r="K5" s="676">
        <v>0.61686165766383982</v>
      </c>
      <c r="L5" s="658">
        <v>82</v>
      </c>
      <c r="M5" s="699">
        <v>0.61194029850746268</v>
      </c>
    </row>
    <row r="6" spans="1:13" ht="14.4" customHeight="1" x14ac:dyDescent="0.3">
      <c r="A6" s="716" t="s">
        <v>792</v>
      </c>
      <c r="B6" s="709">
        <v>12837.749999999998</v>
      </c>
      <c r="C6" s="661">
        <v>1</v>
      </c>
      <c r="D6" s="720">
        <v>114</v>
      </c>
      <c r="E6" s="723" t="s">
        <v>792</v>
      </c>
      <c r="F6" s="709">
        <v>6989.2599999999984</v>
      </c>
      <c r="G6" s="677">
        <v>0.54443029347042893</v>
      </c>
      <c r="H6" s="664">
        <v>61</v>
      </c>
      <c r="I6" s="700">
        <v>0.53508771929824561</v>
      </c>
      <c r="J6" s="726">
        <v>5848.49</v>
      </c>
      <c r="K6" s="677">
        <v>0.45556970652957102</v>
      </c>
      <c r="L6" s="664">
        <v>53</v>
      </c>
      <c r="M6" s="700">
        <v>0.46491228070175439</v>
      </c>
    </row>
    <row r="7" spans="1:13" ht="14.4" customHeight="1" x14ac:dyDescent="0.3">
      <c r="A7" s="716" t="s">
        <v>793</v>
      </c>
      <c r="B7" s="709">
        <v>146.12</v>
      </c>
      <c r="C7" s="661">
        <v>1</v>
      </c>
      <c r="D7" s="720">
        <v>3</v>
      </c>
      <c r="E7" s="723" t="s">
        <v>793</v>
      </c>
      <c r="F7" s="709">
        <v>146.12</v>
      </c>
      <c r="G7" s="677">
        <v>1</v>
      </c>
      <c r="H7" s="664">
        <v>2</v>
      </c>
      <c r="I7" s="700">
        <v>0.66666666666666663</v>
      </c>
      <c r="J7" s="726">
        <v>0</v>
      </c>
      <c r="K7" s="677">
        <v>0</v>
      </c>
      <c r="L7" s="664">
        <v>1</v>
      </c>
      <c r="M7" s="700">
        <v>0.33333333333333331</v>
      </c>
    </row>
    <row r="8" spans="1:13" ht="14.4" customHeight="1" x14ac:dyDescent="0.3">
      <c r="A8" s="716" t="s">
        <v>794</v>
      </c>
      <c r="B8" s="709">
        <v>16145.669999999995</v>
      </c>
      <c r="C8" s="661">
        <v>1</v>
      </c>
      <c r="D8" s="720">
        <v>115</v>
      </c>
      <c r="E8" s="723" t="s">
        <v>794</v>
      </c>
      <c r="F8" s="709">
        <v>5807.7</v>
      </c>
      <c r="G8" s="677">
        <v>0.35970634851325473</v>
      </c>
      <c r="H8" s="664">
        <v>43</v>
      </c>
      <c r="I8" s="700">
        <v>0.37391304347826088</v>
      </c>
      <c r="J8" s="726">
        <v>10337.969999999994</v>
      </c>
      <c r="K8" s="677">
        <v>0.64029365148674522</v>
      </c>
      <c r="L8" s="664">
        <v>72</v>
      </c>
      <c r="M8" s="700">
        <v>0.62608695652173918</v>
      </c>
    </row>
    <row r="9" spans="1:13" ht="14.4" customHeight="1" x14ac:dyDescent="0.3">
      <c r="A9" s="716" t="s">
        <v>795</v>
      </c>
      <c r="B9" s="709">
        <v>431.92</v>
      </c>
      <c r="C9" s="661">
        <v>1</v>
      </c>
      <c r="D9" s="720">
        <v>1</v>
      </c>
      <c r="E9" s="723" t="s">
        <v>795</v>
      </c>
      <c r="F9" s="709">
        <v>431.92</v>
      </c>
      <c r="G9" s="677">
        <v>1</v>
      </c>
      <c r="H9" s="664">
        <v>1</v>
      </c>
      <c r="I9" s="700">
        <v>1</v>
      </c>
      <c r="J9" s="726"/>
      <c r="K9" s="677">
        <v>0</v>
      </c>
      <c r="L9" s="664"/>
      <c r="M9" s="700">
        <v>0</v>
      </c>
    </row>
    <row r="10" spans="1:13" ht="14.4" customHeight="1" x14ac:dyDescent="0.3">
      <c r="A10" s="716" t="s">
        <v>796</v>
      </c>
      <c r="B10" s="709">
        <v>331.96</v>
      </c>
      <c r="C10" s="661">
        <v>1</v>
      </c>
      <c r="D10" s="720">
        <v>4</v>
      </c>
      <c r="E10" s="723" t="s">
        <v>796</v>
      </c>
      <c r="F10" s="709">
        <v>145.22999999999999</v>
      </c>
      <c r="G10" s="677">
        <v>0.43749246897216532</v>
      </c>
      <c r="H10" s="664">
        <v>3</v>
      </c>
      <c r="I10" s="700">
        <v>0.75</v>
      </c>
      <c r="J10" s="726">
        <v>186.73</v>
      </c>
      <c r="K10" s="677">
        <v>0.56250753102783468</v>
      </c>
      <c r="L10" s="664">
        <v>1</v>
      </c>
      <c r="M10" s="700">
        <v>0.25</v>
      </c>
    </row>
    <row r="11" spans="1:13" ht="14.4" customHeight="1" x14ac:dyDescent="0.3">
      <c r="A11" s="716" t="s">
        <v>797</v>
      </c>
      <c r="B11" s="709">
        <v>16349.169999999998</v>
      </c>
      <c r="C11" s="661">
        <v>1</v>
      </c>
      <c r="D11" s="720">
        <v>148</v>
      </c>
      <c r="E11" s="723" t="s">
        <v>797</v>
      </c>
      <c r="F11" s="709">
        <v>4859.8200000000006</v>
      </c>
      <c r="G11" s="677">
        <v>0.29725178709377914</v>
      </c>
      <c r="H11" s="664">
        <v>50</v>
      </c>
      <c r="I11" s="700">
        <v>0.33783783783783783</v>
      </c>
      <c r="J11" s="726">
        <v>11489.349999999999</v>
      </c>
      <c r="K11" s="677">
        <v>0.70274821290622091</v>
      </c>
      <c r="L11" s="664">
        <v>98</v>
      </c>
      <c r="M11" s="700">
        <v>0.66216216216216217</v>
      </c>
    </row>
    <row r="12" spans="1:13" ht="14.4" customHeight="1" x14ac:dyDescent="0.3">
      <c r="A12" s="716" t="s">
        <v>798</v>
      </c>
      <c r="B12" s="709">
        <v>1720.85</v>
      </c>
      <c r="C12" s="661">
        <v>1</v>
      </c>
      <c r="D12" s="720">
        <v>6</v>
      </c>
      <c r="E12" s="723" t="s">
        <v>798</v>
      </c>
      <c r="F12" s="709">
        <v>1720.85</v>
      </c>
      <c r="G12" s="677">
        <v>1</v>
      </c>
      <c r="H12" s="664">
        <v>6</v>
      </c>
      <c r="I12" s="700">
        <v>1</v>
      </c>
      <c r="J12" s="726"/>
      <c r="K12" s="677">
        <v>0</v>
      </c>
      <c r="L12" s="664"/>
      <c r="M12" s="700">
        <v>0</v>
      </c>
    </row>
    <row r="13" spans="1:13" ht="14.4" customHeight="1" x14ac:dyDescent="0.3">
      <c r="A13" s="716" t="s">
        <v>799</v>
      </c>
      <c r="B13" s="709">
        <v>4663.08</v>
      </c>
      <c r="C13" s="661">
        <v>1</v>
      </c>
      <c r="D13" s="720">
        <v>30</v>
      </c>
      <c r="E13" s="723" t="s">
        <v>799</v>
      </c>
      <c r="F13" s="709">
        <v>2387.69</v>
      </c>
      <c r="G13" s="677">
        <v>0.51204139753124545</v>
      </c>
      <c r="H13" s="664">
        <v>14</v>
      </c>
      <c r="I13" s="700">
        <v>0.46666666666666667</v>
      </c>
      <c r="J13" s="726">
        <v>2275.39</v>
      </c>
      <c r="K13" s="677">
        <v>0.48795860246875455</v>
      </c>
      <c r="L13" s="664">
        <v>16</v>
      </c>
      <c r="M13" s="700">
        <v>0.53333333333333333</v>
      </c>
    </row>
    <row r="14" spans="1:13" ht="14.4" customHeight="1" thickBot="1" x14ac:dyDescent="0.35">
      <c r="A14" s="717" t="s">
        <v>800</v>
      </c>
      <c r="B14" s="710">
        <v>8502.2899999999991</v>
      </c>
      <c r="C14" s="667">
        <v>1</v>
      </c>
      <c r="D14" s="721">
        <v>72</v>
      </c>
      <c r="E14" s="724" t="s">
        <v>800</v>
      </c>
      <c r="F14" s="710">
        <v>2673.0299999999993</v>
      </c>
      <c r="G14" s="678">
        <v>0.3143894174393016</v>
      </c>
      <c r="H14" s="670">
        <v>25</v>
      </c>
      <c r="I14" s="701">
        <v>0.34722222222222221</v>
      </c>
      <c r="J14" s="727">
        <v>5829.2599999999993</v>
      </c>
      <c r="K14" s="678">
        <v>0.6856105825606984</v>
      </c>
      <c r="L14" s="670">
        <v>47</v>
      </c>
      <c r="M14" s="701">
        <v>0.65277777777777779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1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8" customWidth="1"/>
    <col min="5" max="5" width="13.5546875" style="338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9" customWidth="1"/>
    <col min="13" max="13" width="11.109375" style="339" customWidth="1"/>
    <col min="14" max="14" width="7.77734375" style="254" customWidth="1"/>
    <col min="15" max="15" width="7.77734375" style="349" customWidth="1"/>
    <col min="16" max="16" width="11.109375" style="339" customWidth="1"/>
    <col min="17" max="17" width="5.44140625" style="340" bestFit="1" customWidth="1"/>
    <col min="18" max="18" width="7.77734375" style="254" customWidth="1"/>
    <col min="19" max="19" width="5.44140625" style="340" bestFit="1" customWidth="1"/>
    <col min="20" max="20" width="7.77734375" style="349" customWidth="1"/>
    <col min="21" max="21" width="5.44140625" style="340" bestFit="1" customWidth="1"/>
    <col min="22" max="16384" width="8.88671875" style="254"/>
  </cols>
  <sheetData>
    <row r="1" spans="1:21" ht="18.600000000000001" customHeight="1" thickBot="1" x14ac:dyDescent="0.4">
      <c r="A1" s="507" t="s">
        <v>1128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3" t="s">
        <v>336</v>
      </c>
      <c r="B2" s="346"/>
      <c r="C2" s="336"/>
      <c r="D2" s="336"/>
      <c r="E2" s="347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160</v>
      </c>
      <c r="L3" s="542"/>
      <c r="M3" s="70">
        <f>SUBTOTAL(9,M7:M1048576)</f>
        <v>75759.400000000009</v>
      </c>
      <c r="N3" s="70">
        <f>SUBTOTAL(9,N7:N1048576)</f>
        <v>841</v>
      </c>
      <c r="O3" s="70">
        <f>SUBTOTAL(9,O7:O1048576)</f>
        <v>627</v>
      </c>
      <c r="P3" s="70">
        <f>SUBTOTAL(9,P7:P1048576)</f>
        <v>30767.160000000011</v>
      </c>
      <c r="Q3" s="71">
        <f>IF(M3=0,0,P3/M3)</f>
        <v>0.40611673270907644</v>
      </c>
      <c r="R3" s="70">
        <f>SUBTOTAL(9,R7:R1048576)</f>
        <v>346</v>
      </c>
      <c r="S3" s="71">
        <f>IF(N3=0,0,R3/N3)</f>
        <v>0.41141498216409039</v>
      </c>
      <c r="T3" s="70">
        <f>SUBTOTAL(9,T7:T1048576)</f>
        <v>257</v>
      </c>
      <c r="U3" s="72">
        <f>IF(O3=0,0,T3/O3)</f>
        <v>0.4098883572567783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8" customFormat="1" ht="14.4" customHeight="1" thickBot="1" x14ac:dyDescent="0.35">
      <c r="A6" s="728" t="s">
        <v>23</v>
      </c>
      <c r="B6" s="729" t="s">
        <v>5</v>
      </c>
      <c r="C6" s="728" t="s">
        <v>24</v>
      </c>
      <c r="D6" s="729" t="s">
        <v>6</v>
      </c>
      <c r="E6" s="729" t="s">
        <v>194</v>
      </c>
      <c r="F6" s="729" t="s">
        <v>25</v>
      </c>
      <c r="G6" s="729" t="s">
        <v>26</v>
      </c>
      <c r="H6" s="729" t="s">
        <v>8</v>
      </c>
      <c r="I6" s="729" t="s">
        <v>10</v>
      </c>
      <c r="J6" s="729" t="s">
        <v>11</v>
      </c>
      <c r="K6" s="729" t="s">
        <v>12</v>
      </c>
      <c r="L6" s="729" t="s">
        <v>27</v>
      </c>
      <c r="M6" s="730" t="s">
        <v>14</v>
      </c>
      <c r="N6" s="731" t="s">
        <v>28</v>
      </c>
      <c r="O6" s="731" t="s">
        <v>28</v>
      </c>
      <c r="P6" s="731" t="s">
        <v>14</v>
      </c>
      <c r="Q6" s="731" t="s">
        <v>2</v>
      </c>
      <c r="R6" s="731" t="s">
        <v>28</v>
      </c>
      <c r="S6" s="731" t="s">
        <v>2</v>
      </c>
      <c r="T6" s="731" t="s">
        <v>28</v>
      </c>
      <c r="U6" s="732" t="s">
        <v>2</v>
      </c>
    </row>
    <row r="7" spans="1:21" ht="14.4" customHeight="1" x14ac:dyDescent="0.3">
      <c r="A7" s="733">
        <v>22</v>
      </c>
      <c r="B7" s="734" t="s">
        <v>530</v>
      </c>
      <c r="C7" s="734">
        <v>89301221</v>
      </c>
      <c r="D7" s="735" t="s">
        <v>1126</v>
      </c>
      <c r="E7" s="736" t="s">
        <v>792</v>
      </c>
      <c r="F7" s="734" t="s">
        <v>786</v>
      </c>
      <c r="G7" s="734" t="s">
        <v>801</v>
      </c>
      <c r="H7" s="734" t="s">
        <v>625</v>
      </c>
      <c r="I7" s="734" t="s">
        <v>802</v>
      </c>
      <c r="J7" s="734" t="s">
        <v>642</v>
      </c>
      <c r="K7" s="734" t="s">
        <v>643</v>
      </c>
      <c r="L7" s="737">
        <v>103.74</v>
      </c>
      <c r="M7" s="737">
        <v>103.74</v>
      </c>
      <c r="N7" s="734">
        <v>1</v>
      </c>
      <c r="O7" s="738">
        <v>1</v>
      </c>
      <c r="P7" s="737"/>
      <c r="Q7" s="739">
        <v>0</v>
      </c>
      <c r="R7" s="734"/>
      <c r="S7" s="739">
        <v>0</v>
      </c>
      <c r="T7" s="738"/>
      <c r="U7" s="235">
        <v>0</v>
      </c>
    </row>
    <row r="8" spans="1:21" ht="14.4" customHeight="1" x14ac:dyDescent="0.3">
      <c r="A8" s="660">
        <v>22</v>
      </c>
      <c r="B8" s="661" t="s">
        <v>530</v>
      </c>
      <c r="C8" s="661">
        <v>89301221</v>
      </c>
      <c r="D8" s="740" t="s">
        <v>1126</v>
      </c>
      <c r="E8" s="741" t="s">
        <v>792</v>
      </c>
      <c r="F8" s="661" t="s">
        <v>786</v>
      </c>
      <c r="G8" s="661" t="s">
        <v>801</v>
      </c>
      <c r="H8" s="661" t="s">
        <v>625</v>
      </c>
      <c r="I8" s="661" t="s">
        <v>803</v>
      </c>
      <c r="J8" s="661" t="s">
        <v>804</v>
      </c>
      <c r="K8" s="661" t="s">
        <v>805</v>
      </c>
      <c r="L8" s="662">
        <v>124.49</v>
      </c>
      <c r="M8" s="662">
        <v>497.96</v>
      </c>
      <c r="N8" s="661">
        <v>4</v>
      </c>
      <c r="O8" s="742">
        <v>2.5</v>
      </c>
      <c r="P8" s="662">
        <v>248.98</v>
      </c>
      <c r="Q8" s="677">
        <v>0.5</v>
      </c>
      <c r="R8" s="661">
        <v>2</v>
      </c>
      <c r="S8" s="677">
        <v>0.5</v>
      </c>
      <c r="T8" s="742">
        <v>1</v>
      </c>
      <c r="U8" s="700">
        <v>0.4</v>
      </c>
    </row>
    <row r="9" spans="1:21" ht="14.4" customHeight="1" x14ac:dyDescent="0.3">
      <c r="A9" s="660">
        <v>22</v>
      </c>
      <c r="B9" s="661" t="s">
        <v>530</v>
      </c>
      <c r="C9" s="661">
        <v>89301221</v>
      </c>
      <c r="D9" s="740" t="s">
        <v>1126</v>
      </c>
      <c r="E9" s="741" t="s">
        <v>792</v>
      </c>
      <c r="F9" s="661" t="s">
        <v>786</v>
      </c>
      <c r="G9" s="661" t="s">
        <v>801</v>
      </c>
      <c r="H9" s="661" t="s">
        <v>625</v>
      </c>
      <c r="I9" s="661" t="s">
        <v>631</v>
      </c>
      <c r="J9" s="661" t="s">
        <v>632</v>
      </c>
      <c r="K9" s="661" t="s">
        <v>768</v>
      </c>
      <c r="L9" s="662">
        <v>82.99</v>
      </c>
      <c r="M9" s="662">
        <v>248.96999999999997</v>
      </c>
      <c r="N9" s="661">
        <v>3</v>
      </c>
      <c r="O9" s="742">
        <v>2</v>
      </c>
      <c r="P9" s="662">
        <v>165.98</v>
      </c>
      <c r="Q9" s="677">
        <v>0.66666666666666674</v>
      </c>
      <c r="R9" s="661">
        <v>2</v>
      </c>
      <c r="S9" s="677">
        <v>0.66666666666666663</v>
      </c>
      <c r="T9" s="742">
        <v>1.5</v>
      </c>
      <c r="U9" s="700">
        <v>0.75</v>
      </c>
    </row>
    <row r="10" spans="1:21" ht="14.4" customHeight="1" x14ac:dyDescent="0.3">
      <c r="A10" s="660">
        <v>22</v>
      </c>
      <c r="B10" s="661" t="s">
        <v>530</v>
      </c>
      <c r="C10" s="661">
        <v>89301221</v>
      </c>
      <c r="D10" s="740" t="s">
        <v>1126</v>
      </c>
      <c r="E10" s="741" t="s">
        <v>792</v>
      </c>
      <c r="F10" s="661" t="s">
        <v>786</v>
      </c>
      <c r="G10" s="661" t="s">
        <v>806</v>
      </c>
      <c r="H10" s="661" t="s">
        <v>531</v>
      </c>
      <c r="I10" s="661" t="s">
        <v>807</v>
      </c>
      <c r="J10" s="661" t="s">
        <v>808</v>
      </c>
      <c r="K10" s="661" t="s">
        <v>809</v>
      </c>
      <c r="L10" s="662">
        <v>301.2</v>
      </c>
      <c r="M10" s="662">
        <v>301.2</v>
      </c>
      <c r="N10" s="661">
        <v>1</v>
      </c>
      <c r="O10" s="742">
        <v>0.5</v>
      </c>
      <c r="P10" s="662">
        <v>301.2</v>
      </c>
      <c r="Q10" s="677">
        <v>1</v>
      </c>
      <c r="R10" s="661">
        <v>1</v>
      </c>
      <c r="S10" s="677">
        <v>1</v>
      </c>
      <c r="T10" s="742">
        <v>0.5</v>
      </c>
      <c r="U10" s="700">
        <v>1</v>
      </c>
    </row>
    <row r="11" spans="1:21" ht="14.4" customHeight="1" x14ac:dyDescent="0.3">
      <c r="A11" s="660">
        <v>22</v>
      </c>
      <c r="B11" s="661" t="s">
        <v>530</v>
      </c>
      <c r="C11" s="661">
        <v>89301221</v>
      </c>
      <c r="D11" s="740" t="s">
        <v>1126</v>
      </c>
      <c r="E11" s="741" t="s">
        <v>792</v>
      </c>
      <c r="F11" s="661" t="s">
        <v>786</v>
      </c>
      <c r="G11" s="661" t="s">
        <v>810</v>
      </c>
      <c r="H11" s="661" t="s">
        <v>531</v>
      </c>
      <c r="I11" s="661" t="s">
        <v>600</v>
      </c>
      <c r="J11" s="661" t="s">
        <v>811</v>
      </c>
      <c r="K11" s="661" t="s">
        <v>812</v>
      </c>
      <c r="L11" s="662">
        <v>99.11</v>
      </c>
      <c r="M11" s="662">
        <v>198.22</v>
      </c>
      <c r="N11" s="661">
        <v>2</v>
      </c>
      <c r="O11" s="742">
        <v>0.5</v>
      </c>
      <c r="P11" s="662">
        <v>198.22</v>
      </c>
      <c r="Q11" s="677">
        <v>1</v>
      </c>
      <c r="R11" s="661">
        <v>2</v>
      </c>
      <c r="S11" s="677">
        <v>1</v>
      </c>
      <c r="T11" s="742">
        <v>0.5</v>
      </c>
      <c r="U11" s="700">
        <v>1</v>
      </c>
    </row>
    <row r="12" spans="1:21" ht="14.4" customHeight="1" x14ac:dyDescent="0.3">
      <c r="A12" s="660">
        <v>22</v>
      </c>
      <c r="B12" s="661" t="s">
        <v>530</v>
      </c>
      <c r="C12" s="661">
        <v>89301221</v>
      </c>
      <c r="D12" s="740" t="s">
        <v>1126</v>
      </c>
      <c r="E12" s="741" t="s">
        <v>792</v>
      </c>
      <c r="F12" s="661" t="s">
        <v>786</v>
      </c>
      <c r="G12" s="661" t="s">
        <v>813</v>
      </c>
      <c r="H12" s="661" t="s">
        <v>531</v>
      </c>
      <c r="I12" s="661" t="s">
        <v>814</v>
      </c>
      <c r="J12" s="661" t="s">
        <v>815</v>
      </c>
      <c r="K12" s="661" t="s">
        <v>816</v>
      </c>
      <c r="L12" s="662">
        <v>0</v>
      </c>
      <c r="M12" s="662">
        <v>0</v>
      </c>
      <c r="N12" s="661">
        <v>1</v>
      </c>
      <c r="O12" s="742">
        <v>0.5</v>
      </c>
      <c r="P12" s="662">
        <v>0</v>
      </c>
      <c r="Q12" s="677"/>
      <c r="R12" s="661">
        <v>1</v>
      </c>
      <c r="S12" s="677">
        <v>1</v>
      </c>
      <c r="T12" s="742">
        <v>0.5</v>
      </c>
      <c r="U12" s="700">
        <v>1</v>
      </c>
    </row>
    <row r="13" spans="1:21" ht="14.4" customHeight="1" x14ac:dyDescent="0.3">
      <c r="A13" s="660">
        <v>22</v>
      </c>
      <c r="B13" s="661" t="s">
        <v>530</v>
      </c>
      <c r="C13" s="661">
        <v>89301221</v>
      </c>
      <c r="D13" s="740" t="s">
        <v>1126</v>
      </c>
      <c r="E13" s="741" t="s">
        <v>792</v>
      </c>
      <c r="F13" s="661" t="s">
        <v>786</v>
      </c>
      <c r="G13" s="661" t="s">
        <v>813</v>
      </c>
      <c r="H13" s="661" t="s">
        <v>531</v>
      </c>
      <c r="I13" s="661" t="s">
        <v>611</v>
      </c>
      <c r="J13" s="661" t="s">
        <v>612</v>
      </c>
      <c r="K13" s="661" t="s">
        <v>817</v>
      </c>
      <c r="L13" s="662">
        <v>0</v>
      </c>
      <c r="M13" s="662">
        <v>0</v>
      </c>
      <c r="N13" s="661">
        <v>3</v>
      </c>
      <c r="O13" s="742">
        <v>1</v>
      </c>
      <c r="P13" s="662"/>
      <c r="Q13" s="677"/>
      <c r="R13" s="661"/>
      <c r="S13" s="677">
        <v>0</v>
      </c>
      <c r="T13" s="742"/>
      <c r="U13" s="700">
        <v>0</v>
      </c>
    </row>
    <row r="14" spans="1:21" ht="14.4" customHeight="1" x14ac:dyDescent="0.3">
      <c r="A14" s="660">
        <v>22</v>
      </c>
      <c r="B14" s="661" t="s">
        <v>530</v>
      </c>
      <c r="C14" s="661">
        <v>89301221</v>
      </c>
      <c r="D14" s="740" t="s">
        <v>1126</v>
      </c>
      <c r="E14" s="741" t="s">
        <v>797</v>
      </c>
      <c r="F14" s="661" t="s">
        <v>786</v>
      </c>
      <c r="G14" s="661" t="s">
        <v>818</v>
      </c>
      <c r="H14" s="661" t="s">
        <v>531</v>
      </c>
      <c r="I14" s="661" t="s">
        <v>819</v>
      </c>
      <c r="J14" s="661" t="s">
        <v>820</v>
      </c>
      <c r="K14" s="661" t="s">
        <v>821</v>
      </c>
      <c r="L14" s="662">
        <v>0</v>
      </c>
      <c r="M14" s="662">
        <v>0</v>
      </c>
      <c r="N14" s="661">
        <v>1</v>
      </c>
      <c r="O14" s="742">
        <v>0.5</v>
      </c>
      <c r="P14" s="662"/>
      <c r="Q14" s="677"/>
      <c r="R14" s="661"/>
      <c r="S14" s="677">
        <v>0</v>
      </c>
      <c r="T14" s="742"/>
      <c r="U14" s="700">
        <v>0</v>
      </c>
    </row>
    <row r="15" spans="1:21" ht="14.4" customHeight="1" x14ac:dyDescent="0.3">
      <c r="A15" s="660">
        <v>22</v>
      </c>
      <c r="B15" s="661" t="s">
        <v>530</v>
      </c>
      <c r="C15" s="661">
        <v>89301221</v>
      </c>
      <c r="D15" s="740" t="s">
        <v>1126</v>
      </c>
      <c r="E15" s="741" t="s">
        <v>797</v>
      </c>
      <c r="F15" s="661" t="s">
        <v>786</v>
      </c>
      <c r="G15" s="661" t="s">
        <v>822</v>
      </c>
      <c r="H15" s="661" t="s">
        <v>531</v>
      </c>
      <c r="I15" s="661" t="s">
        <v>823</v>
      </c>
      <c r="J15" s="661" t="s">
        <v>824</v>
      </c>
      <c r="K15" s="661"/>
      <c r="L15" s="662">
        <v>0</v>
      </c>
      <c r="M15" s="662">
        <v>0</v>
      </c>
      <c r="N15" s="661">
        <v>1</v>
      </c>
      <c r="O15" s="742">
        <v>0.5</v>
      </c>
      <c r="P15" s="662">
        <v>0</v>
      </c>
      <c r="Q15" s="677"/>
      <c r="R15" s="661">
        <v>1</v>
      </c>
      <c r="S15" s="677">
        <v>1</v>
      </c>
      <c r="T15" s="742">
        <v>0.5</v>
      </c>
      <c r="U15" s="700">
        <v>1</v>
      </c>
    </row>
    <row r="16" spans="1:21" ht="14.4" customHeight="1" x14ac:dyDescent="0.3">
      <c r="A16" s="660">
        <v>22</v>
      </c>
      <c r="B16" s="661" t="s">
        <v>530</v>
      </c>
      <c r="C16" s="661">
        <v>89301221</v>
      </c>
      <c r="D16" s="740" t="s">
        <v>1126</v>
      </c>
      <c r="E16" s="741" t="s">
        <v>797</v>
      </c>
      <c r="F16" s="661" t="s">
        <v>786</v>
      </c>
      <c r="G16" s="661" t="s">
        <v>801</v>
      </c>
      <c r="H16" s="661" t="s">
        <v>531</v>
      </c>
      <c r="I16" s="661" t="s">
        <v>825</v>
      </c>
      <c r="J16" s="661" t="s">
        <v>826</v>
      </c>
      <c r="K16" s="661" t="s">
        <v>827</v>
      </c>
      <c r="L16" s="662">
        <v>0</v>
      </c>
      <c r="M16" s="662">
        <v>0</v>
      </c>
      <c r="N16" s="661">
        <v>1</v>
      </c>
      <c r="O16" s="742">
        <v>0.5</v>
      </c>
      <c r="P16" s="662"/>
      <c r="Q16" s="677"/>
      <c r="R16" s="661"/>
      <c r="S16" s="677">
        <v>0</v>
      </c>
      <c r="T16" s="742"/>
      <c r="U16" s="700">
        <v>0</v>
      </c>
    </row>
    <row r="17" spans="1:21" ht="14.4" customHeight="1" x14ac:dyDescent="0.3">
      <c r="A17" s="660">
        <v>22</v>
      </c>
      <c r="B17" s="661" t="s">
        <v>530</v>
      </c>
      <c r="C17" s="661">
        <v>89301221</v>
      </c>
      <c r="D17" s="740" t="s">
        <v>1126</v>
      </c>
      <c r="E17" s="741" t="s">
        <v>797</v>
      </c>
      <c r="F17" s="661" t="s">
        <v>786</v>
      </c>
      <c r="G17" s="661" t="s">
        <v>801</v>
      </c>
      <c r="H17" s="661" t="s">
        <v>625</v>
      </c>
      <c r="I17" s="661" t="s">
        <v>828</v>
      </c>
      <c r="J17" s="661" t="s">
        <v>829</v>
      </c>
      <c r="K17" s="661" t="s">
        <v>830</v>
      </c>
      <c r="L17" s="662">
        <v>0</v>
      </c>
      <c r="M17" s="662">
        <v>0</v>
      </c>
      <c r="N17" s="661">
        <v>2</v>
      </c>
      <c r="O17" s="742">
        <v>2</v>
      </c>
      <c r="P17" s="662">
        <v>0</v>
      </c>
      <c r="Q17" s="677"/>
      <c r="R17" s="661">
        <v>1</v>
      </c>
      <c r="S17" s="677">
        <v>0.5</v>
      </c>
      <c r="T17" s="742">
        <v>1</v>
      </c>
      <c r="U17" s="700">
        <v>0.5</v>
      </c>
    </row>
    <row r="18" spans="1:21" ht="14.4" customHeight="1" x14ac:dyDescent="0.3">
      <c r="A18" s="660">
        <v>22</v>
      </c>
      <c r="B18" s="661" t="s">
        <v>530</v>
      </c>
      <c r="C18" s="661">
        <v>89301221</v>
      </c>
      <c r="D18" s="740" t="s">
        <v>1126</v>
      </c>
      <c r="E18" s="741" t="s">
        <v>797</v>
      </c>
      <c r="F18" s="661" t="s">
        <v>786</v>
      </c>
      <c r="G18" s="661" t="s">
        <v>801</v>
      </c>
      <c r="H18" s="661" t="s">
        <v>625</v>
      </c>
      <c r="I18" s="661" t="s">
        <v>641</v>
      </c>
      <c r="J18" s="661" t="s">
        <v>642</v>
      </c>
      <c r="K18" s="661" t="s">
        <v>643</v>
      </c>
      <c r="L18" s="662">
        <v>103.74</v>
      </c>
      <c r="M18" s="662">
        <v>103.74</v>
      </c>
      <c r="N18" s="661">
        <v>1</v>
      </c>
      <c r="O18" s="742">
        <v>1</v>
      </c>
      <c r="P18" s="662"/>
      <c r="Q18" s="677">
        <v>0</v>
      </c>
      <c r="R18" s="661"/>
      <c r="S18" s="677">
        <v>0</v>
      </c>
      <c r="T18" s="742"/>
      <c r="U18" s="700">
        <v>0</v>
      </c>
    </row>
    <row r="19" spans="1:21" ht="14.4" customHeight="1" x14ac:dyDescent="0.3">
      <c r="A19" s="660">
        <v>22</v>
      </c>
      <c r="B19" s="661" t="s">
        <v>530</v>
      </c>
      <c r="C19" s="661">
        <v>89301221</v>
      </c>
      <c r="D19" s="740" t="s">
        <v>1126</v>
      </c>
      <c r="E19" s="741" t="s">
        <v>797</v>
      </c>
      <c r="F19" s="661" t="s">
        <v>786</v>
      </c>
      <c r="G19" s="661" t="s">
        <v>801</v>
      </c>
      <c r="H19" s="661" t="s">
        <v>625</v>
      </c>
      <c r="I19" s="661" t="s">
        <v>831</v>
      </c>
      <c r="J19" s="661" t="s">
        <v>632</v>
      </c>
      <c r="K19" s="661" t="s">
        <v>832</v>
      </c>
      <c r="L19" s="662">
        <v>82.99</v>
      </c>
      <c r="M19" s="662">
        <v>82.99</v>
      </c>
      <c r="N19" s="661">
        <v>1</v>
      </c>
      <c r="O19" s="742">
        <v>0.5</v>
      </c>
      <c r="P19" s="662"/>
      <c r="Q19" s="677">
        <v>0</v>
      </c>
      <c r="R19" s="661"/>
      <c r="S19" s="677">
        <v>0</v>
      </c>
      <c r="T19" s="742"/>
      <c r="U19" s="700">
        <v>0</v>
      </c>
    </row>
    <row r="20" spans="1:21" ht="14.4" customHeight="1" x14ac:dyDescent="0.3">
      <c r="A20" s="660">
        <v>22</v>
      </c>
      <c r="B20" s="661" t="s">
        <v>530</v>
      </c>
      <c r="C20" s="661">
        <v>89301221</v>
      </c>
      <c r="D20" s="740" t="s">
        <v>1126</v>
      </c>
      <c r="E20" s="741" t="s">
        <v>797</v>
      </c>
      <c r="F20" s="661" t="s">
        <v>786</v>
      </c>
      <c r="G20" s="661" t="s">
        <v>801</v>
      </c>
      <c r="H20" s="661" t="s">
        <v>625</v>
      </c>
      <c r="I20" s="661" t="s">
        <v>833</v>
      </c>
      <c r="J20" s="661" t="s">
        <v>834</v>
      </c>
      <c r="K20" s="661" t="s">
        <v>835</v>
      </c>
      <c r="L20" s="662">
        <v>62.24</v>
      </c>
      <c r="M20" s="662">
        <v>124.48</v>
      </c>
      <c r="N20" s="661">
        <v>2</v>
      </c>
      <c r="O20" s="742">
        <v>1.5</v>
      </c>
      <c r="P20" s="662"/>
      <c r="Q20" s="677">
        <v>0</v>
      </c>
      <c r="R20" s="661"/>
      <c r="S20" s="677">
        <v>0</v>
      </c>
      <c r="T20" s="742"/>
      <c r="U20" s="700">
        <v>0</v>
      </c>
    </row>
    <row r="21" spans="1:21" ht="14.4" customHeight="1" x14ac:dyDescent="0.3">
      <c r="A21" s="660">
        <v>22</v>
      </c>
      <c r="B21" s="661" t="s">
        <v>530</v>
      </c>
      <c r="C21" s="661">
        <v>89301221</v>
      </c>
      <c r="D21" s="740" t="s">
        <v>1126</v>
      </c>
      <c r="E21" s="741" t="s">
        <v>797</v>
      </c>
      <c r="F21" s="661" t="s">
        <v>786</v>
      </c>
      <c r="G21" s="661" t="s">
        <v>801</v>
      </c>
      <c r="H21" s="661" t="s">
        <v>625</v>
      </c>
      <c r="I21" s="661" t="s">
        <v>802</v>
      </c>
      <c r="J21" s="661" t="s">
        <v>642</v>
      </c>
      <c r="K21" s="661" t="s">
        <v>643</v>
      </c>
      <c r="L21" s="662">
        <v>103.74</v>
      </c>
      <c r="M21" s="662">
        <v>1037.3999999999999</v>
      </c>
      <c r="N21" s="661">
        <v>10</v>
      </c>
      <c r="O21" s="742">
        <v>9.5</v>
      </c>
      <c r="P21" s="662">
        <v>414.96</v>
      </c>
      <c r="Q21" s="677">
        <v>0.4</v>
      </c>
      <c r="R21" s="661">
        <v>4</v>
      </c>
      <c r="S21" s="677">
        <v>0.4</v>
      </c>
      <c r="T21" s="742">
        <v>3.5</v>
      </c>
      <c r="U21" s="700">
        <v>0.36842105263157893</v>
      </c>
    </row>
    <row r="22" spans="1:21" ht="14.4" customHeight="1" x14ac:dyDescent="0.3">
      <c r="A22" s="660">
        <v>22</v>
      </c>
      <c r="B22" s="661" t="s">
        <v>530</v>
      </c>
      <c r="C22" s="661">
        <v>89301221</v>
      </c>
      <c r="D22" s="740" t="s">
        <v>1126</v>
      </c>
      <c r="E22" s="741" t="s">
        <v>797</v>
      </c>
      <c r="F22" s="661" t="s">
        <v>786</v>
      </c>
      <c r="G22" s="661" t="s">
        <v>801</v>
      </c>
      <c r="H22" s="661" t="s">
        <v>625</v>
      </c>
      <c r="I22" s="661" t="s">
        <v>803</v>
      </c>
      <c r="J22" s="661" t="s">
        <v>804</v>
      </c>
      <c r="K22" s="661" t="s">
        <v>805</v>
      </c>
      <c r="L22" s="662">
        <v>124.49</v>
      </c>
      <c r="M22" s="662">
        <v>871.43</v>
      </c>
      <c r="N22" s="661">
        <v>7</v>
      </c>
      <c r="O22" s="742">
        <v>6</v>
      </c>
      <c r="P22" s="662">
        <v>124.49</v>
      </c>
      <c r="Q22" s="677">
        <v>0.14285714285714285</v>
      </c>
      <c r="R22" s="661">
        <v>1</v>
      </c>
      <c r="S22" s="677">
        <v>0.14285714285714285</v>
      </c>
      <c r="T22" s="742">
        <v>1</v>
      </c>
      <c r="U22" s="700">
        <v>0.16666666666666666</v>
      </c>
    </row>
    <row r="23" spans="1:21" ht="14.4" customHeight="1" x14ac:dyDescent="0.3">
      <c r="A23" s="660">
        <v>22</v>
      </c>
      <c r="B23" s="661" t="s">
        <v>530</v>
      </c>
      <c r="C23" s="661">
        <v>89301221</v>
      </c>
      <c r="D23" s="740" t="s">
        <v>1126</v>
      </c>
      <c r="E23" s="741" t="s">
        <v>797</v>
      </c>
      <c r="F23" s="661" t="s">
        <v>786</v>
      </c>
      <c r="G23" s="661" t="s">
        <v>801</v>
      </c>
      <c r="H23" s="661" t="s">
        <v>625</v>
      </c>
      <c r="I23" s="661" t="s">
        <v>631</v>
      </c>
      <c r="J23" s="661" t="s">
        <v>632</v>
      </c>
      <c r="K23" s="661" t="s">
        <v>768</v>
      </c>
      <c r="L23" s="662">
        <v>82.99</v>
      </c>
      <c r="M23" s="662">
        <v>746.91</v>
      </c>
      <c r="N23" s="661">
        <v>9</v>
      </c>
      <c r="O23" s="742">
        <v>6</v>
      </c>
      <c r="P23" s="662"/>
      <c r="Q23" s="677">
        <v>0</v>
      </c>
      <c r="R23" s="661"/>
      <c r="S23" s="677">
        <v>0</v>
      </c>
      <c r="T23" s="742"/>
      <c r="U23" s="700">
        <v>0</v>
      </c>
    </row>
    <row r="24" spans="1:21" ht="14.4" customHeight="1" x14ac:dyDescent="0.3">
      <c r="A24" s="660">
        <v>22</v>
      </c>
      <c r="B24" s="661" t="s">
        <v>530</v>
      </c>
      <c r="C24" s="661">
        <v>89301221</v>
      </c>
      <c r="D24" s="740" t="s">
        <v>1126</v>
      </c>
      <c r="E24" s="741" t="s">
        <v>797</v>
      </c>
      <c r="F24" s="661" t="s">
        <v>786</v>
      </c>
      <c r="G24" s="661" t="s">
        <v>801</v>
      </c>
      <c r="H24" s="661" t="s">
        <v>625</v>
      </c>
      <c r="I24" s="661" t="s">
        <v>635</v>
      </c>
      <c r="J24" s="661" t="s">
        <v>769</v>
      </c>
      <c r="K24" s="661" t="s">
        <v>770</v>
      </c>
      <c r="L24" s="662">
        <v>48.37</v>
      </c>
      <c r="M24" s="662">
        <v>48.37</v>
      </c>
      <c r="N24" s="661">
        <v>1</v>
      </c>
      <c r="O24" s="742">
        <v>0.5</v>
      </c>
      <c r="P24" s="662"/>
      <c r="Q24" s="677">
        <v>0</v>
      </c>
      <c r="R24" s="661"/>
      <c r="S24" s="677">
        <v>0</v>
      </c>
      <c r="T24" s="742"/>
      <c r="U24" s="700">
        <v>0</v>
      </c>
    </row>
    <row r="25" spans="1:21" ht="14.4" customHeight="1" x14ac:dyDescent="0.3">
      <c r="A25" s="660">
        <v>22</v>
      </c>
      <c r="B25" s="661" t="s">
        <v>530</v>
      </c>
      <c r="C25" s="661">
        <v>89301221</v>
      </c>
      <c r="D25" s="740" t="s">
        <v>1126</v>
      </c>
      <c r="E25" s="741" t="s">
        <v>797</v>
      </c>
      <c r="F25" s="661" t="s">
        <v>786</v>
      </c>
      <c r="G25" s="661" t="s">
        <v>806</v>
      </c>
      <c r="H25" s="661" t="s">
        <v>531</v>
      </c>
      <c r="I25" s="661" t="s">
        <v>836</v>
      </c>
      <c r="J25" s="661" t="s">
        <v>837</v>
      </c>
      <c r="K25" s="661" t="s">
        <v>838</v>
      </c>
      <c r="L25" s="662">
        <v>93.71</v>
      </c>
      <c r="M25" s="662">
        <v>187.42</v>
      </c>
      <c r="N25" s="661">
        <v>2</v>
      </c>
      <c r="O25" s="742">
        <v>1</v>
      </c>
      <c r="P25" s="662"/>
      <c r="Q25" s="677">
        <v>0</v>
      </c>
      <c r="R25" s="661"/>
      <c r="S25" s="677">
        <v>0</v>
      </c>
      <c r="T25" s="742"/>
      <c r="U25" s="700">
        <v>0</v>
      </c>
    </row>
    <row r="26" spans="1:21" ht="14.4" customHeight="1" x14ac:dyDescent="0.3">
      <c r="A26" s="660">
        <v>22</v>
      </c>
      <c r="B26" s="661" t="s">
        <v>530</v>
      </c>
      <c r="C26" s="661">
        <v>89301221</v>
      </c>
      <c r="D26" s="740" t="s">
        <v>1126</v>
      </c>
      <c r="E26" s="741" t="s">
        <v>797</v>
      </c>
      <c r="F26" s="661" t="s">
        <v>786</v>
      </c>
      <c r="G26" s="661" t="s">
        <v>806</v>
      </c>
      <c r="H26" s="661" t="s">
        <v>531</v>
      </c>
      <c r="I26" s="661" t="s">
        <v>839</v>
      </c>
      <c r="J26" s="661" t="s">
        <v>837</v>
      </c>
      <c r="K26" s="661" t="s">
        <v>809</v>
      </c>
      <c r="L26" s="662">
        <v>301.2</v>
      </c>
      <c r="M26" s="662">
        <v>301.2</v>
      </c>
      <c r="N26" s="661">
        <v>1</v>
      </c>
      <c r="O26" s="742">
        <v>0.5</v>
      </c>
      <c r="P26" s="662"/>
      <c r="Q26" s="677">
        <v>0</v>
      </c>
      <c r="R26" s="661"/>
      <c r="S26" s="677">
        <v>0</v>
      </c>
      <c r="T26" s="742"/>
      <c r="U26" s="700">
        <v>0</v>
      </c>
    </row>
    <row r="27" spans="1:21" ht="14.4" customHeight="1" x14ac:dyDescent="0.3">
      <c r="A27" s="660">
        <v>22</v>
      </c>
      <c r="B27" s="661" t="s">
        <v>530</v>
      </c>
      <c r="C27" s="661">
        <v>89301221</v>
      </c>
      <c r="D27" s="740" t="s">
        <v>1126</v>
      </c>
      <c r="E27" s="741" t="s">
        <v>797</v>
      </c>
      <c r="F27" s="661" t="s">
        <v>786</v>
      </c>
      <c r="G27" s="661" t="s">
        <v>810</v>
      </c>
      <c r="H27" s="661" t="s">
        <v>531</v>
      </c>
      <c r="I27" s="661" t="s">
        <v>600</v>
      </c>
      <c r="J27" s="661" t="s">
        <v>811</v>
      </c>
      <c r="K27" s="661" t="s">
        <v>812</v>
      </c>
      <c r="L27" s="662">
        <v>99.11</v>
      </c>
      <c r="M27" s="662">
        <v>297.33</v>
      </c>
      <c r="N27" s="661">
        <v>3</v>
      </c>
      <c r="O27" s="742">
        <v>1</v>
      </c>
      <c r="P27" s="662"/>
      <c r="Q27" s="677">
        <v>0</v>
      </c>
      <c r="R27" s="661"/>
      <c r="S27" s="677">
        <v>0</v>
      </c>
      <c r="T27" s="742"/>
      <c r="U27" s="700">
        <v>0</v>
      </c>
    </row>
    <row r="28" spans="1:21" ht="14.4" customHeight="1" x14ac:dyDescent="0.3">
      <c r="A28" s="660">
        <v>22</v>
      </c>
      <c r="B28" s="661" t="s">
        <v>530</v>
      </c>
      <c r="C28" s="661">
        <v>89301221</v>
      </c>
      <c r="D28" s="740" t="s">
        <v>1126</v>
      </c>
      <c r="E28" s="741" t="s">
        <v>800</v>
      </c>
      <c r="F28" s="661" t="s">
        <v>786</v>
      </c>
      <c r="G28" s="661" t="s">
        <v>818</v>
      </c>
      <c r="H28" s="661" t="s">
        <v>531</v>
      </c>
      <c r="I28" s="661" t="s">
        <v>819</v>
      </c>
      <c r="J28" s="661" t="s">
        <v>820</v>
      </c>
      <c r="K28" s="661" t="s">
        <v>821</v>
      </c>
      <c r="L28" s="662">
        <v>0</v>
      </c>
      <c r="M28" s="662">
        <v>0</v>
      </c>
      <c r="N28" s="661">
        <v>1</v>
      </c>
      <c r="O28" s="742">
        <v>0.5</v>
      </c>
      <c r="P28" s="662">
        <v>0</v>
      </c>
      <c r="Q28" s="677"/>
      <c r="R28" s="661">
        <v>1</v>
      </c>
      <c r="S28" s="677">
        <v>1</v>
      </c>
      <c r="T28" s="742">
        <v>0.5</v>
      </c>
      <c r="U28" s="700">
        <v>1</v>
      </c>
    </row>
    <row r="29" spans="1:21" ht="14.4" customHeight="1" x14ac:dyDescent="0.3">
      <c r="A29" s="660">
        <v>22</v>
      </c>
      <c r="B29" s="661" t="s">
        <v>530</v>
      </c>
      <c r="C29" s="661">
        <v>89301221</v>
      </c>
      <c r="D29" s="740" t="s">
        <v>1126</v>
      </c>
      <c r="E29" s="741" t="s">
        <v>800</v>
      </c>
      <c r="F29" s="661" t="s">
        <v>786</v>
      </c>
      <c r="G29" s="661" t="s">
        <v>801</v>
      </c>
      <c r="H29" s="661" t="s">
        <v>531</v>
      </c>
      <c r="I29" s="661" t="s">
        <v>840</v>
      </c>
      <c r="J29" s="661" t="s">
        <v>826</v>
      </c>
      <c r="K29" s="661" t="s">
        <v>841</v>
      </c>
      <c r="L29" s="662">
        <v>166</v>
      </c>
      <c r="M29" s="662">
        <v>166</v>
      </c>
      <c r="N29" s="661">
        <v>1</v>
      </c>
      <c r="O29" s="742">
        <v>0.5</v>
      </c>
      <c r="P29" s="662">
        <v>166</v>
      </c>
      <c r="Q29" s="677">
        <v>1</v>
      </c>
      <c r="R29" s="661">
        <v>1</v>
      </c>
      <c r="S29" s="677">
        <v>1</v>
      </c>
      <c r="T29" s="742">
        <v>0.5</v>
      </c>
      <c r="U29" s="700">
        <v>1</v>
      </c>
    </row>
    <row r="30" spans="1:21" ht="14.4" customHeight="1" x14ac:dyDescent="0.3">
      <c r="A30" s="660">
        <v>22</v>
      </c>
      <c r="B30" s="661" t="s">
        <v>530</v>
      </c>
      <c r="C30" s="661">
        <v>89301221</v>
      </c>
      <c r="D30" s="740" t="s">
        <v>1126</v>
      </c>
      <c r="E30" s="741" t="s">
        <v>800</v>
      </c>
      <c r="F30" s="661" t="s">
        <v>786</v>
      </c>
      <c r="G30" s="661" t="s">
        <v>801</v>
      </c>
      <c r="H30" s="661" t="s">
        <v>625</v>
      </c>
      <c r="I30" s="661" t="s">
        <v>828</v>
      </c>
      <c r="J30" s="661" t="s">
        <v>829</v>
      </c>
      <c r="K30" s="661" t="s">
        <v>830</v>
      </c>
      <c r="L30" s="662">
        <v>0</v>
      </c>
      <c r="M30" s="662">
        <v>0</v>
      </c>
      <c r="N30" s="661">
        <v>1</v>
      </c>
      <c r="O30" s="742">
        <v>1</v>
      </c>
      <c r="P30" s="662"/>
      <c r="Q30" s="677"/>
      <c r="R30" s="661"/>
      <c r="S30" s="677">
        <v>0</v>
      </c>
      <c r="T30" s="742"/>
      <c r="U30" s="700">
        <v>0</v>
      </c>
    </row>
    <row r="31" spans="1:21" ht="14.4" customHeight="1" x14ac:dyDescent="0.3">
      <c r="A31" s="660">
        <v>22</v>
      </c>
      <c r="B31" s="661" t="s">
        <v>530</v>
      </c>
      <c r="C31" s="661">
        <v>89301221</v>
      </c>
      <c r="D31" s="740" t="s">
        <v>1126</v>
      </c>
      <c r="E31" s="741" t="s">
        <v>800</v>
      </c>
      <c r="F31" s="661" t="s">
        <v>786</v>
      </c>
      <c r="G31" s="661" t="s">
        <v>801</v>
      </c>
      <c r="H31" s="661" t="s">
        <v>625</v>
      </c>
      <c r="I31" s="661" t="s">
        <v>842</v>
      </c>
      <c r="J31" s="661" t="s">
        <v>829</v>
      </c>
      <c r="K31" s="661" t="s">
        <v>843</v>
      </c>
      <c r="L31" s="662">
        <v>113.7</v>
      </c>
      <c r="M31" s="662">
        <v>113.7</v>
      </c>
      <c r="N31" s="661">
        <v>1</v>
      </c>
      <c r="O31" s="742">
        <v>1</v>
      </c>
      <c r="P31" s="662">
        <v>113.7</v>
      </c>
      <c r="Q31" s="677">
        <v>1</v>
      </c>
      <c r="R31" s="661">
        <v>1</v>
      </c>
      <c r="S31" s="677">
        <v>1</v>
      </c>
      <c r="T31" s="742">
        <v>1</v>
      </c>
      <c r="U31" s="700">
        <v>1</v>
      </c>
    </row>
    <row r="32" spans="1:21" ht="14.4" customHeight="1" x14ac:dyDescent="0.3">
      <c r="A32" s="660">
        <v>22</v>
      </c>
      <c r="B32" s="661" t="s">
        <v>530</v>
      </c>
      <c r="C32" s="661">
        <v>89301221</v>
      </c>
      <c r="D32" s="740" t="s">
        <v>1126</v>
      </c>
      <c r="E32" s="741" t="s">
        <v>800</v>
      </c>
      <c r="F32" s="661" t="s">
        <v>786</v>
      </c>
      <c r="G32" s="661" t="s">
        <v>801</v>
      </c>
      <c r="H32" s="661" t="s">
        <v>625</v>
      </c>
      <c r="I32" s="661" t="s">
        <v>641</v>
      </c>
      <c r="J32" s="661" t="s">
        <v>642</v>
      </c>
      <c r="K32" s="661" t="s">
        <v>643</v>
      </c>
      <c r="L32" s="662">
        <v>103.74</v>
      </c>
      <c r="M32" s="662">
        <v>103.74</v>
      </c>
      <c r="N32" s="661">
        <v>1</v>
      </c>
      <c r="O32" s="742">
        <v>0.5</v>
      </c>
      <c r="P32" s="662"/>
      <c r="Q32" s="677">
        <v>0</v>
      </c>
      <c r="R32" s="661"/>
      <c r="S32" s="677">
        <v>0</v>
      </c>
      <c r="T32" s="742"/>
      <c r="U32" s="700">
        <v>0</v>
      </c>
    </row>
    <row r="33" spans="1:21" ht="14.4" customHeight="1" x14ac:dyDescent="0.3">
      <c r="A33" s="660">
        <v>22</v>
      </c>
      <c r="B33" s="661" t="s">
        <v>530</v>
      </c>
      <c r="C33" s="661">
        <v>89301221</v>
      </c>
      <c r="D33" s="740" t="s">
        <v>1126</v>
      </c>
      <c r="E33" s="741" t="s">
        <v>800</v>
      </c>
      <c r="F33" s="661" t="s">
        <v>786</v>
      </c>
      <c r="G33" s="661" t="s">
        <v>801</v>
      </c>
      <c r="H33" s="661" t="s">
        <v>625</v>
      </c>
      <c r="I33" s="661" t="s">
        <v>831</v>
      </c>
      <c r="J33" s="661" t="s">
        <v>632</v>
      </c>
      <c r="K33" s="661" t="s">
        <v>832</v>
      </c>
      <c r="L33" s="662">
        <v>82.99</v>
      </c>
      <c r="M33" s="662">
        <v>82.99</v>
      </c>
      <c r="N33" s="661">
        <v>1</v>
      </c>
      <c r="O33" s="742">
        <v>1</v>
      </c>
      <c r="P33" s="662">
        <v>82.99</v>
      </c>
      <c r="Q33" s="677">
        <v>1</v>
      </c>
      <c r="R33" s="661">
        <v>1</v>
      </c>
      <c r="S33" s="677">
        <v>1</v>
      </c>
      <c r="T33" s="742">
        <v>1</v>
      </c>
      <c r="U33" s="700">
        <v>1</v>
      </c>
    </row>
    <row r="34" spans="1:21" ht="14.4" customHeight="1" x14ac:dyDescent="0.3">
      <c r="A34" s="660">
        <v>22</v>
      </c>
      <c r="B34" s="661" t="s">
        <v>530</v>
      </c>
      <c r="C34" s="661">
        <v>89301221</v>
      </c>
      <c r="D34" s="740" t="s">
        <v>1126</v>
      </c>
      <c r="E34" s="741" t="s">
        <v>800</v>
      </c>
      <c r="F34" s="661" t="s">
        <v>786</v>
      </c>
      <c r="G34" s="661" t="s">
        <v>801</v>
      </c>
      <c r="H34" s="661" t="s">
        <v>625</v>
      </c>
      <c r="I34" s="661" t="s">
        <v>802</v>
      </c>
      <c r="J34" s="661" t="s">
        <v>642</v>
      </c>
      <c r="K34" s="661" t="s">
        <v>643</v>
      </c>
      <c r="L34" s="662">
        <v>103.74</v>
      </c>
      <c r="M34" s="662">
        <v>311.21999999999997</v>
      </c>
      <c r="N34" s="661">
        <v>3</v>
      </c>
      <c r="O34" s="742">
        <v>3</v>
      </c>
      <c r="P34" s="662">
        <v>103.74</v>
      </c>
      <c r="Q34" s="677">
        <v>0.33333333333333337</v>
      </c>
      <c r="R34" s="661">
        <v>1</v>
      </c>
      <c r="S34" s="677">
        <v>0.33333333333333331</v>
      </c>
      <c r="T34" s="742">
        <v>1</v>
      </c>
      <c r="U34" s="700">
        <v>0.33333333333333331</v>
      </c>
    </row>
    <row r="35" spans="1:21" ht="14.4" customHeight="1" x14ac:dyDescent="0.3">
      <c r="A35" s="660">
        <v>22</v>
      </c>
      <c r="B35" s="661" t="s">
        <v>530</v>
      </c>
      <c r="C35" s="661">
        <v>89301221</v>
      </c>
      <c r="D35" s="740" t="s">
        <v>1126</v>
      </c>
      <c r="E35" s="741" t="s">
        <v>800</v>
      </c>
      <c r="F35" s="661" t="s">
        <v>786</v>
      </c>
      <c r="G35" s="661" t="s">
        <v>801</v>
      </c>
      <c r="H35" s="661" t="s">
        <v>531</v>
      </c>
      <c r="I35" s="661" t="s">
        <v>844</v>
      </c>
      <c r="J35" s="661" t="s">
        <v>845</v>
      </c>
      <c r="K35" s="661" t="s">
        <v>846</v>
      </c>
      <c r="L35" s="662">
        <v>103.74</v>
      </c>
      <c r="M35" s="662">
        <v>311.21999999999997</v>
      </c>
      <c r="N35" s="661">
        <v>3</v>
      </c>
      <c r="O35" s="742">
        <v>3</v>
      </c>
      <c r="P35" s="662">
        <v>103.74</v>
      </c>
      <c r="Q35" s="677">
        <v>0.33333333333333337</v>
      </c>
      <c r="R35" s="661">
        <v>1</v>
      </c>
      <c r="S35" s="677">
        <v>0.33333333333333331</v>
      </c>
      <c r="T35" s="742">
        <v>1</v>
      </c>
      <c r="U35" s="700">
        <v>0.33333333333333331</v>
      </c>
    </row>
    <row r="36" spans="1:21" ht="14.4" customHeight="1" x14ac:dyDescent="0.3">
      <c r="A36" s="660">
        <v>22</v>
      </c>
      <c r="B36" s="661" t="s">
        <v>530</v>
      </c>
      <c r="C36" s="661">
        <v>89301221</v>
      </c>
      <c r="D36" s="740" t="s">
        <v>1126</v>
      </c>
      <c r="E36" s="741" t="s">
        <v>800</v>
      </c>
      <c r="F36" s="661" t="s">
        <v>786</v>
      </c>
      <c r="G36" s="661" t="s">
        <v>801</v>
      </c>
      <c r="H36" s="661" t="s">
        <v>625</v>
      </c>
      <c r="I36" s="661" t="s">
        <v>803</v>
      </c>
      <c r="J36" s="661" t="s">
        <v>804</v>
      </c>
      <c r="K36" s="661" t="s">
        <v>805</v>
      </c>
      <c r="L36" s="662">
        <v>124.49</v>
      </c>
      <c r="M36" s="662">
        <v>1493.8799999999999</v>
      </c>
      <c r="N36" s="661">
        <v>12</v>
      </c>
      <c r="O36" s="742">
        <v>10.5</v>
      </c>
      <c r="P36" s="662">
        <v>497.96</v>
      </c>
      <c r="Q36" s="677">
        <v>0.33333333333333337</v>
      </c>
      <c r="R36" s="661">
        <v>4</v>
      </c>
      <c r="S36" s="677">
        <v>0.33333333333333331</v>
      </c>
      <c r="T36" s="742">
        <v>3</v>
      </c>
      <c r="U36" s="700">
        <v>0.2857142857142857</v>
      </c>
    </row>
    <row r="37" spans="1:21" ht="14.4" customHeight="1" x14ac:dyDescent="0.3">
      <c r="A37" s="660">
        <v>22</v>
      </c>
      <c r="B37" s="661" t="s">
        <v>530</v>
      </c>
      <c r="C37" s="661">
        <v>89301221</v>
      </c>
      <c r="D37" s="740" t="s">
        <v>1126</v>
      </c>
      <c r="E37" s="741" t="s">
        <v>800</v>
      </c>
      <c r="F37" s="661" t="s">
        <v>786</v>
      </c>
      <c r="G37" s="661" t="s">
        <v>801</v>
      </c>
      <c r="H37" s="661" t="s">
        <v>625</v>
      </c>
      <c r="I37" s="661" t="s">
        <v>631</v>
      </c>
      <c r="J37" s="661" t="s">
        <v>632</v>
      </c>
      <c r="K37" s="661" t="s">
        <v>768</v>
      </c>
      <c r="L37" s="662">
        <v>82.99</v>
      </c>
      <c r="M37" s="662">
        <v>663.92</v>
      </c>
      <c r="N37" s="661">
        <v>8</v>
      </c>
      <c r="O37" s="742">
        <v>6</v>
      </c>
      <c r="P37" s="662">
        <v>248.96999999999997</v>
      </c>
      <c r="Q37" s="677">
        <v>0.375</v>
      </c>
      <c r="R37" s="661">
        <v>3</v>
      </c>
      <c r="S37" s="677">
        <v>0.375</v>
      </c>
      <c r="T37" s="742">
        <v>3</v>
      </c>
      <c r="U37" s="700">
        <v>0.5</v>
      </c>
    </row>
    <row r="38" spans="1:21" ht="14.4" customHeight="1" x14ac:dyDescent="0.3">
      <c r="A38" s="660">
        <v>22</v>
      </c>
      <c r="B38" s="661" t="s">
        <v>530</v>
      </c>
      <c r="C38" s="661">
        <v>89301221</v>
      </c>
      <c r="D38" s="740" t="s">
        <v>1126</v>
      </c>
      <c r="E38" s="741" t="s">
        <v>800</v>
      </c>
      <c r="F38" s="661" t="s">
        <v>786</v>
      </c>
      <c r="G38" s="661" t="s">
        <v>801</v>
      </c>
      <c r="H38" s="661" t="s">
        <v>625</v>
      </c>
      <c r="I38" s="661" t="s">
        <v>847</v>
      </c>
      <c r="J38" s="661" t="s">
        <v>769</v>
      </c>
      <c r="K38" s="661" t="s">
        <v>848</v>
      </c>
      <c r="L38" s="662">
        <v>0</v>
      </c>
      <c r="M38" s="662">
        <v>0</v>
      </c>
      <c r="N38" s="661">
        <v>1</v>
      </c>
      <c r="O38" s="742">
        <v>0.5</v>
      </c>
      <c r="P38" s="662">
        <v>0</v>
      </c>
      <c r="Q38" s="677"/>
      <c r="R38" s="661">
        <v>1</v>
      </c>
      <c r="S38" s="677">
        <v>1</v>
      </c>
      <c r="T38" s="742">
        <v>0.5</v>
      </c>
      <c r="U38" s="700">
        <v>1</v>
      </c>
    </row>
    <row r="39" spans="1:21" ht="14.4" customHeight="1" x14ac:dyDescent="0.3">
      <c r="A39" s="660">
        <v>22</v>
      </c>
      <c r="B39" s="661" t="s">
        <v>530</v>
      </c>
      <c r="C39" s="661">
        <v>89301221</v>
      </c>
      <c r="D39" s="740" t="s">
        <v>1126</v>
      </c>
      <c r="E39" s="741" t="s">
        <v>800</v>
      </c>
      <c r="F39" s="661" t="s">
        <v>786</v>
      </c>
      <c r="G39" s="661" t="s">
        <v>801</v>
      </c>
      <c r="H39" s="661" t="s">
        <v>625</v>
      </c>
      <c r="I39" s="661" t="s">
        <v>849</v>
      </c>
      <c r="J39" s="661" t="s">
        <v>850</v>
      </c>
      <c r="K39" s="661" t="s">
        <v>805</v>
      </c>
      <c r="L39" s="662">
        <v>124.49</v>
      </c>
      <c r="M39" s="662">
        <v>373.46999999999997</v>
      </c>
      <c r="N39" s="661">
        <v>3</v>
      </c>
      <c r="O39" s="742">
        <v>2</v>
      </c>
      <c r="P39" s="662"/>
      <c r="Q39" s="677">
        <v>0</v>
      </c>
      <c r="R39" s="661"/>
      <c r="S39" s="677">
        <v>0</v>
      </c>
      <c r="T39" s="742"/>
      <c r="U39" s="700">
        <v>0</v>
      </c>
    </row>
    <row r="40" spans="1:21" ht="14.4" customHeight="1" x14ac:dyDescent="0.3">
      <c r="A40" s="660">
        <v>22</v>
      </c>
      <c r="B40" s="661" t="s">
        <v>530</v>
      </c>
      <c r="C40" s="661">
        <v>89301221</v>
      </c>
      <c r="D40" s="740" t="s">
        <v>1126</v>
      </c>
      <c r="E40" s="741" t="s">
        <v>800</v>
      </c>
      <c r="F40" s="661" t="s">
        <v>786</v>
      </c>
      <c r="G40" s="661" t="s">
        <v>801</v>
      </c>
      <c r="H40" s="661" t="s">
        <v>531</v>
      </c>
      <c r="I40" s="661" t="s">
        <v>851</v>
      </c>
      <c r="J40" s="661" t="s">
        <v>852</v>
      </c>
      <c r="K40" s="661" t="s">
        <v>853</v>
      </c>
      <c r="L40" s="662">
        <v>82.99</v>
      </c>
      <c r="M40" s="662">
        <v>414.95</v>
      </c>
      <c r="N40" s="661">
        <v>5</v>
      </c>
      <c r="O40" s="742">
        <v>2.5</v>
      </c>
      <c r="P40" s="662">
        <v>82.99</v>
      </c>
      <c r="Q40" s="677">
        <v>0.19999999999999998</v>
      </c>
      <c r="R40" s="661">
        <v>1</v>
      </c>
      <c r="S40" s="677">
        <v>0.2</v>
      </c>
      <c r="T40" s="742">
        <v>0.5</v>
      </c>
      <c r="U40" s="700">
        <v>0.2</v>
      </c>
    </row>
    <row r="41" spans="1:21" ht="14.4" customHeight="1" x14ac:dyDescent="0.3">
      <c r="A41" s="660">
        <v>22</v>
      </c>
      <c r="B41" s="661" t="s">
        <v>530</v>
      </c>
      <c r="C41" s="661">
        <v>89301221</v>
      </c>
      <c r="D41" s="740" t="s">
        <v>1126</v>
      </c>
      <c r="E41" s="741" t="s">
        <v>800</v>
      </c>
      <c r="F41" s="661" t="s">
        <v>786</v>
      </c>
      <c r="G41" s="661" t="s">
        <v>801</v>
      </c>
      <c r="H41" s="661" t="s">
        <v>531</v>
      </c>
      <c r="I41" s="661" t="s">
        <v>854</v>
      </c>
      <c r="J41" s="661" t="s">
        <v>804</v>
      </c>
      <c r="K41" s="661" t="s">
        <v>855</v>
      </c>
      <c r="L41" s="662">
        <v>0</v>
      </c>
      <c r="M41" s="662">
        <v>0</v>
      </c>
      <c r="N41" s="661">
        <v>1</v>
      </c>
      <c r="O41" s="742">
        <v>1</v>
      </c>
      <c r="P41" s="662"/>
      <c r="Q41" s="677"/>
      <c r="R41" s="661"/>
      <c r="S41" s="677">
        <v>0</v>
      </c>
      <c r="T41" s="742"/>
      <c r="U41" s="700">
        <v>0</v>
      </c>
    </row>
    <row r="42" spans="1:21" ht="14.4" customHeight="1" x14ac:dyDescent="0.3">
      <c r="A42" s="660">
        <v>22</v>
      </c>
      <c r="B42" s="661" t="s">
        <v>530</v>
      </c>
      <c r="C42" s="661">
        <v>89301221</v>
      </c>
      <c r="D42" s="740" t="s">
        <v>1126</v>
      </c>
      <c r="E42" s="741" t="s">
        <v>800</v>
      </c>
      <c r="F42" s="661" t="s">
        <v>786</v>
      </c>
      <c r="G42" s="661" t="s">
        <v>806</v>
      </c>
      <c r="H42" s="661" t="s">
        <v>531</v>
      </c>
      <c r="I42" s="661" t="s">
        <v>836</v>
      </c>
      <c r="J42" s="661" t="s">
        <v>837</v>
      </c>
      <c r="K42" s="661" t="s">
        <v>838</v>
      </c>
      <c r="L42" s="662">
        <v>93.71</v>
      </c>
      <c r="M42" s="662">
        <v>187.42</v>
      </c>
      <c r="N42" s="661">
        <v>2</v>
      </c>
      <c r="O42" s="742">
        <v>1</v>
      </c>
      <c r="P42" s="662">
        <v>93.71</v>
      </c>
      <c r="Q42" s="677">
        <v>0.5</v>
      </c>
      <c r="R42" s="661">
        <v>1</v>
      </c>
      <c r="S42" s="677">
        <v>0.5</v>
      </c>
      <c r="T42" s="742">
        <v>0.5</v>
      </c>
      <c r="U42" s="700">
        <v>0.5</v>
      </c>
    </row>
    <row r="43" spans="1:21" ht="14.4" customHeight="1" x14ac:dyDescent="0.3">
      <c r="A43" s="660">
        <v>22</v>
      </c>
      <c r="B43" s="661" t="s">
        <v>530</v>
      </c>
      <c r="C43" s="661">
        <v>89301221</v>
      </c>
      <c r="D43" s="740" t="s">
        <v>1126</v>
      </c>
      <c r="E43" s="741" t="s">
        <v>800</v>
      </c>
      <c r="F43" s="661" t="s">
        <v>786</v>
      </c>
      <c r="G43" s="661" t="s">
        <v>810</v>
      </c>
      <c r="H43" s="661" t="s">
        <v>531</v>
      </c>
      <c r="I43" s="661" t="s">
        <v>600</v>
      </c>
      <c r="J43" s="661" t="s">
        <v>811</v>
      </c>
      <c r="K43" s="661" t="s">
        <v>812</v>
      </c>
      <c r="L43" s="662">
        <v>99.11</v>
      </c>
      <c r="M43" s="662">
        <v>594.66</v>
      </c>
      <c r="N43" s="661">
        <v>6</v>
      </c>
      <c r="O43" s="742">
        <v>2</v>
      </c>
      <c r="P43" s="662">
        <v>198.22</v>
      </c>
      <c r="Q43" s="677">
        <v>0.33333333333333337</v>
      </c>
      <c r="R43" s="661">
        <v>2</v>
      </c>
      <c r="S43" s="677">
        <v>0.33333333333333331</v>
      </c>
      <c r="T43" s="742">
        <v>0.5</v>
      </c>
      <c r="U43" s="700">
        <v>0.25</v>
      </c>
    </row>
    <row r="44" spans="1:21" ht="14.4" customHeight="1" x14ac:dyDescent="0.3">
      <c r="A44" s="660">
        <v>22</v>
      </c>
      <c r="B44" s="661" t="s">
        <v>530</v>
      </c>
      <c r="C44" s="661">
        <v>89301221</v>
      </c>
      <c r="D44" s="740" t="s">
        <v>1126</v>
      </c>
      <c r="E44" s="741" t="s">
        <v>800</v>
      </c>
      <c r="F44" s="661" t="s">
        <v>786</v>
      </c>
      <c r="G44" s="661" t="s">
        <v>856</v>
      </c>
      <c r="H44" s="661" t="s">
        <v>531</v>
      </c>
      <c r="I44" s="661" t="s">
        <v>857</v>
      </c>
      <c r="J44" s="661" t="s">
        <v>858</v>
      </c>
      <c r="K44" s="661" t="s">
        <v>859</v>
      </c>
      <c r="L44" s="662">
        <v>0</v>
      </c>
      <c r="M44" s="662">
        <v>0</v>
      </c>
      <c r="N44" s="661">
        <v>2</v>
      </c>
      <c r="O44" s="742">
        <v>1</v>
      </c>
      <c r="P44" s="662"/>
      <c r="Q44" s="677"/>
      <c r="R44" s="661"/>
      <c r="S44" s="677">
        <v>0</v>
      </c>
      <c r="T44" s="742"/>
      <c r="U44" s="700">
        <v>0</v>
      </c>
    </row>
    <row r="45" spans="1:21" ht="14.4" customHeight="1" x14ac:dyDescent="0.3">
      <c r="A45" s="660">
        <v>22</v>
      </c>
      <c r="B45" s="661" t="s">
        <v>530</v>
      </c>
      <c r="C45" s="661">
        <v>89301222</v>
      </c>
      <c r="D45" s="740" t="s">
        <v>1127</v>
      </c>
      <c r="E45" s="741" t="s">
        <v>791</v>
      </c>
      <c r="F45" s="661" t="s">
        <v>786</v>
      </c>
      <c r="G45" s="661" t="s">
        <v>860</v>
      </c>
      <c r="H45" s="661" t="s">
        <v>531</v>
      </c>
      <c r="I45" s="661" t="s">
        <v>861</v>
      </c>
      <c r="J45" s="661" t="s">
        <v>862</v>
      </c>
      <c r="K45" s="661" t="s">
        <v>863</v>
      </c>
      <c r="L45" s="662">
        <v>254.83</v>
      </c>
      <c r="M45" s="662">
        <v>254.83</v>
      </c>
      <c r="N45" s="661">
        <v>1</v>
      </c>
      <c r="O45" s="742">
        <v>0.5</v>
      </c>
      <c r="P45" s="662">
        <v>254.83</v>
      </c>
      <c r="Q45" s="677">
        <v>1</v>
      </c>
      <c r="R45" s="661">
        <v>1</v>
      </c>
      <c r="S45" s="677">
        <v>1</v>
      </c>
      <c r="T45" s="742">
        <v>0.5</v>
      </c>
      <c r="U45" s="700">
        <v>1</v>
      </c>
    </row>
    <row r="46" spans="1:21" ht="14.4" customHeight="1" x14ac:dyDescent="0.3">
      <c r="A46" s="660">
        <v>22</v>
      </c>
      <c r="B46" s="661" t="s">
        <v>530</v>
      </c>
      <c r="C46" s="661">
        <v>89301222</v>
      </c>
      <c r="D46" s="740" t="s">
        <v>1127</v>
      </c>
      <c r="E46" s="741" t="s">
        <v>791</v>
      </c>
      <c r="F46" s="661" t="s">
        <v>786</v>
      </c>
      <c r="G46" s="661" t="s">
        <v>864</v>
      </c>
      <c r="H46" s="661" t="s">
        <v>625</v>
      </c>
      <c r="I46" s="661" t="s">
        <v>865</v>
      </c>
      <c r="J46" s="661" t="s">
        <v>866</v>
      </c>
      <c r="K46" s="661" t="s">
        <v>867</v>
      </c>
      <c r="L46" s="662">
        <v>154.36000000000001</v>
      </c>
      <c r="M46" s="662">
        <v>154.36000000000001</v>
      </c>
      <c r="N46" s="661">
        <v>1</v>
      </c>
      <c r="O46" s="742">
        <v>1</v>
      </c>
      <c r="P46" s="662"/>
      <c r="Q46" s="677">
        <v>0</v>
      </c>
      <c r="R46" s="661"/>
      <c r="S46" s="677">
        <v>0</v>
      </c>
      <c r="T46" s="742"/>
      <c r="U46" s="700">
        <v>0</v>
      </c>
    </row>
    <row r="47" spans="1:21" ht="14.4" customHeight="1" x14ac:dyDescent="0.3">
      <c r="A47" s="660">
        <v>22</v>
      </c>
      <c r="B47" s="661" t="s">
        <v>530</v>
      </c>
      <c r="C47" s="661">
        <v>89301222</v>
      </c>
      <c r="D47" s="740" t="s">
        <v>1127</v>
      </c>
      <c r="E47" s="741" t="s">
        <v>791</v>
      </c>
      <c r="F47" s="661" t="s">
        <v>786</v>
      </c>
      <c r="G47" s="661" t="s">
        <v>868</v>
      </c>
      <c r="H47" s="661" t="s">
        <v>531</v>
      </c>
      <c r="I47" s="661" t="s">
        <v>869</v>
      </c>
      <c r="J47" s="661" t="s">
        <v>870</v>
      </c>
      <c r="K47" s="661" t="s">
        <v>871</v>
      </c>
      <c r="L47" s="662">
        <v>189.43</v>
      </c>
      <c r="M47" s="662">
        <v>189.43</v>
      </c>
      <c r="N47" s="661">
        <v>1</v>
      </c>
      <c r="O47" s="742">
        <v>1</v>
      </c>
      <c r="P47" s="662">
        <v>189.43</v>
      </c>
      <c r="Q47" s="677">
        <v>1</v>
      </c>
      <c r="R47" s="661">
        <v>1</v>
      </c>
      <c r="S47" s="677">
        <v>1</v>
      </c>
      <c r="T47" s="742">
        <v>1</v>
      </c>
      <c r="U47" s="700">
        <v>1</v>
      </c>
    </row>
    <row r="48" spans="1:21" ht="14.4" customHeight="1" x14ac:dyDescent="0.3">
      <c r="A48" s="660">
        <v>22</v>
      </c>
      <c r="B48" s="661" t="s">
        <v>530</v>
      </c>
      <c r="C48" s="661">
        <v>89301222</v>
      </c>
      <c r="D48" s="740" t="s">
        <v>1127</v>
      </c>
      <c r="E48" s="741" t="s">
        <v>791</v>
      </c>
      <c r="F48" s="661" t="s">
        <v>786</v>
      </c>
      <c r="G48" s="661" t="s">
        <v>872</v>
      </c>
      <c r="H48" s="661" t="s">
        <v>625</v>
      </c>
      <c r="I48" s="661" t="s">
        <v>873</v>
      </c>
      <c r="J48" s="661" t="s">
        <v>874</v>
      </c>
      <c r="K48" s="661" t="s">
        <v>875</v>
      </c>
      <c r="L48" s="662">
        <v>264</v>
      </c>
      <c r="M48" s="662">
        <v>264</v>
      </c>
      <c r="N48" s="661">
        <v>1</v>
      </c>
      <c r="O48" s="742">
        <v>1</v>
      </c>
      <c r="P48" s="662"/>
      <c r="Q48" s="677">
        <v>0</v>
      </c>
      <c r="R48" s="661"/>
      <c r="S48" s="677">
        <v>0</v>
      </c>
      <c r="T48" s="742"/>
      <c r="U48" s="700">
        <v>0</v>
      </c>
    </row>
    <row r="49" spans="1:21" ht="14.4" customHeight="1" x14ac:dyDescent="0.3">
      <c r="A49" s="660">
        <v>22</v>
      </c>
      <c r="B49" s="661" t="s">
        <v>530</v>
      </c>
      <c r="C49" s="661">
        <v>89301222</v>
      </c>
      <c r="D49" s="740" t="s">
        <v>1127</v>
      </c>
      <c r="E49" s="741" t="s">
        <v>791</v>
      </c>
      <c r="F49" s="661" t="s">
        <v>786</v>
      </c>
      <c r="G49" s="661" t="s">
        <v>876</v>
      </c>
      <c r="H49" s="661" t="s">
        <v>531</v>
      </c>
      <c r="I49" s="661" t="s">
        <v>877</v>
      </c>
      <c r="J49" s="661" t="s">
        <v>878</v>
      </c>
      <c r="K49" s="661" t="s">
        <v>879</v>
      </c>
      <c r="L49" s="662">
        <v>189.43</v>
      </c>
      <c r="M49" s="662">
        <v>378.86</v>
      </c>
      <c r="N49" s="661">
        <v>2</v>
      </c>
      <c r="O49" s="742">
        <v>1.5</v>
      </c>
      <c r="P49" s="662"/>
      <c r="Q49" s="677">
        <v>0</v>
      </c>
      <c r="R49" s="661"/>
      <c r="S49" s="677">
        <v>0</v>
      </c>
      <c r="T49" s="742"/>
      <c r="U49" s="700">
        <v>0</v>
      </c>
    </row>
    <row r="50" spans="1:21" ht="14.4" customHeight="1" x14ac:dyDescent="0.3">
      <c r="A50" s="660">
        <v>22</v>
      </c>
      <c r="B50" s="661" t="s">
        <v>530</v>
      </c>
      <c r="C50" s="661">
        <v>89301222</v>
      </c>
      <c r="D50" s="740" t="s">
        <v>1127</v>
      </c>
      <c r="E50" s="741" t="s">
        <v>791</v>
      </c>
      <c r="F50" s="661" t="s">
        <v>786</v>
      </c>
      <c r="G50" s="661" t="s">
        <v>880</v>
      </c>
      <c r="H50" s="661" t="s">
        <v>531</v>
      </c>
      <c r="I50" s="661" t="s">
        <v>881</v>
      </c>
      <c r="J50" s="661" t="s">
        <v>882</v>
      </c>
      <c r="K50" s="661" t="s">
        <v>883</v>
      </c>
      <c r="L50" s="662">
        <v>123.3</v>
      </c>
      <c r="M50" s="662">
        <v>123.3</v>
      </c>
      <c r="N50" s="661">
        <v>1</v>
      </c>
      <c r="O50" s="742">
        <v>1</v>
      </c>
      <c r="P50" s="662"/>
      <c r="Q50" s="677">
        <v>0</v>
      </c>
      <c r="R50" s="661"/>
      <c r="S50" s="677">
        <v>0</v>
      </c>
      <c r="T50" s="742"/>
      <c r="U50" s="700">
        <v>0</v>
      </c>
    </row>
    <row r="51" spans="1:21" ht="14.4" customHeight="1" x14ac:dyDescent="0.3">
      <c r="A51" s="660">
        <v>22</v>
      </c>
      <c r="B51" s="661" t="s">
        <v>530</v>
      </c>
      <c r="C51" s="661">
        <v>89301222</v>
      </c>
      <c r="D51" s="740" t="s">
        <v>1127</v>
      </c>
      <c r="E51" s="741" t="s">
        <v>791</v>
      </c>
      <c r="F51" s="661" t="s">
        <v>786</v>
      </c>
      <c r="G51" s="661" t="s">
        <v>884</v>
      </c>
      <c r="H51" s="661" t="s">
        <v>531</v>
      </c>
      <c r="I51" s="661" t="s">
        <v>885</v>
      </c>
      <c r="J51" s="661" t="s">
        <v>886</v>
      </c>
      <c r="K51" s="661" t="s">
        <v>887</v>
      </c>
      <c r="L51" s="662">
        <v>37.68</v>
      </c>
      <c r="M51" s="662">
        <v>37.68</v>
      </c>
      <c r="N51" s="661">
        <v>1</v>
      </c>
      <c r="O51" s="742">
        <v>0.5</v>
      </c>
      <c r="P51" s="662"/>
      <c r="Q51" s="677">
        <v>0</v>
      </c>
      <c r="R51" s="661"/>
      <c r="S51" s="677">
        <v>0</v>
      </c>
      <c r="T51" s="742"/>
      <c r="U51" s="700">
        <v>0</v>
      </c>
    </row>
    <row r="52" spans="1:21" ht="14.4" customHeight="1" x14ac:dyDescent="0.3">
      <c r="A52" s="660">
        <v>22</v>
      </c>
      <c r="B52" s="661" t="s">
        <v>530</v>
      </c>
      <c r="C52" s="661">
        <v>89301222</v>
      </c>
      <c r="D52" s="740" t="s">
        <v>1127</v>
      </c>
      <c r="E52" s="741" t="s">
        <v>791</v>
      </c>
      <c r="F52" s="661" t="s">
        <v>786</v>
      </c>
      <c r="G52" s="661" t="s">
        <v>888</v>
      </c>
      <c r="H52" s="661" t="s">
        <v>531</v>
      </c>
      <c r="I52" s="661" t="s">
        <v>889</v>
      </c>
      <c r="J52" s="661" t="s">
        <v>890</v>
      </c>
      <c r="K52" s="661" t="s">
        <v>891</v>
      </c>
      <c r="L52" s="662">
        <v>163.87</v>
      </c>
      <c r="M52" s="662">
        <v>163.87</v>
      </c>
      <c r="N52" s="661">
        <v>1</v>
      </c>
      <c r="O52" s="742">
        <v>0.5</v>
      </c>
      <c r="P52" s="662">
        <v>163.87</v>
      </c>
      <c r="Q52" s="677">
        <v>1</v>
      </c>
      <c r="R52" s="661">
        <v>1</v>
      </c>
      <c r="S52" s="677">
        <v>1</v>
      </c>
      <c r="T52" s="742">
        <v>0.5</v>
      </c>
      <c r="U52" s="700">
        <v>1</v>
      </c>
    </row>
    <row r="53" spans="1:21" ht="14.4" customHeight="1" x14ac:dyDescent="0.3">
      <c r="A53" s="660">
        <v>22</v>
      </c>
      <c r="B53" s="661" t="s">
        <v>530</v>
      </c>
      <c r="C53" s="661">
        <v>89301222</v>
      </c>
      <c r="D53" s="740" t="s">
        <v>1127</v>
      </c>
      <c r="E53" s="741" t="s">
        <v>791</v>
      </c>
      <c r="F53" s="661" t="s">
        <v>786</v>
      </c>
      <c r="G53" s="661" t="s">
        <v>822</v>
      </c>
      <c r="H53" s="661" t="s">
        <v>531</v>
      </c>
      <c r="I53" s="661" t="s">
        <v>823</v>
      </c>
      <c r="J53" s="661" t="s">
        <v>824</v>
      </c>
      <c r="K53" s="661"/>
      <c r="L53" s="662">
        <v>0</v>
      </c>
      <c r="M53" s="662">
        <v>0</v>
      </c>
      <c r="N53" s="661">
        <v>4</v>
      </c>
      <c r="O53" s="742">
        <v>4</v>
      </c>
      <c r="P53" s="662">
        <v>0</v>
      </c>
      <c r="Q53" s="677"/>
      <c r="R53" s="661">
        <v>3</v>
      </c>
      <c r="S53" s="677">
        <v>0.75</v>
      </c>
      <c r="T53" s="742">
        <v>3</v>
      </c>
      <c r="U53" s="700">
        <v>0.75</v>
      </c>
    </row>
    <row r="54" spans="1:21" ht="14.4" customHeight="1" x14ac:dyDescent="0.3">
      <c r="A54" s="660">
        <v>22</v>
      </c>
      <c r="B54" s="661" t="s">
        <v>530</v>
      </c>
      <c r="C54" s="661">
        <v>89301222</v>
      </c>
      <c r="D54" s="740" t="s">
        <v>1127</v>
      </c>
      <c r="E54" s="741" t="s">
        <v>791</v>
      </c>
      <c r="F54" s="661" t="s">
        <v>786</v>
      </c>
      <c r="G54" s="661" t="s">
        <v>892</v>
      </c>
      <c r="H54" s="661" t="s">
        <v>531</v>
      </c>
      <c r="I54" s="661" t="s">
        <v>893</v>
      </c>
      <c r="J54" s="661" t="s">
        <v>894</v>
      </c>
      <c r="K54" s="661" t="s">
        <v>895</v>
      </c>
      <c r="L54" s="662">
        <v>0</v>
      </c>
      <c r="M54" s="662">
        <v>0</v>
      </c>
      <c r="N54" s="661">
        <v>1</v>
      </c>
      <c r="O54" s="742">
        <v>1</v>
      </c>
      <c r="P54" s="662">
        <v>0</v>
      </c>
      <c r="Q54" s="677"/>
      <c r="R54" s="661">
        <v>1</v>
      </c>
      <c r="S54" s="677">
        <v>1</v>
      </c>
      <c r="T54" s="742">
        <v>1</v>
      </c>
      <c r="U54" s="700">
        <v>1</v>
      </c>
    </row>
    <row r="55" spans="1:21" ht="14.4" customHeight="1" x14ac:dyDescent="0.3">
      <c r="A55" s="660">
        <v>22</v>
      </c>
      <c r="B55" s="661" t="s">
        <v>530</v>
      </c>
      <c r="C55" s="661">
        <v>89301222</v>
      </c>
      <c r="D55" s="740" t="s">
        <v>1127</v>
      </c>
      <c r="E55" s="741" t="s">
        <v>791</v>
      </c>
      <c r="F55" s="661" t="s">
        <v>786</v>
      </c>
      <c r="G55" s="661" t="s">
        <v>896</v>
      </c>
      <c r="H55" s="661" t="s">
        <v>531</v>
      </c>
      <c r="I55" s="661" t="s">
        <v>897</v>
      </c>
      <c r="J55" s="661" t="s">
        <v>898</v>
      </c>
      <c r="K55" s="661" t="s">
        <v>899</v>
      </c>
      <c r="L55" s="662">
        <v>111.72</v>
      </c>
      <c r="M55" s="662">
        <v>111.72</v>
      </c>
      <c r="N55" s="661">
        <v>1</v>
      </c>
      <c r="O55" s="742">
        <v>1</v>
      </c>
      <c r="P55" s="662"/>
      <c r="Q55" s="677">
        <v>0</v>
      </c>
      <c r="R55" s="661"/>
      <c r="S55" s="677">
        <v>0</v>
      </c>
      <c r="T55" s="742"/>
      <c r="U55" s="700">
        <v>0</v>
      </c>
    </row>
    <row r="56" spans="1:21" ht="14.4" customHeight="1" x14ac:dyDescent="0.3">
      <c r="A56" s="660">
        <v>22</v>
      </c>
      <c r="B56" s="661" t="s">
        <v>530</v>
      </c>
      <c r="C56" s="661">
        <v>89301222</v>
      </c>
      <c r="D56" s="740" t="s">
        <v>1127</v>
      </c>
      <c r="E56" s="741" t="s">
        <v>791</v>
      </c>
      <c r="F56" s="661" t="s">
        <v>786</v>
      </c>
      <c r="G56" s="661" t="s">
        <v>900</v>
      </c>
      <c r="H56" s="661" t="s">
        <v>625</v>
      </c>
      <c r="I56" s="661" t="s">
        <v>901</v>
      </c>
      <c r="J56" s="661" t="s">
        <v>902</v>
      </c>
      <c r="K56" s="661" t="s">
        <v>903</v>
      </c>
      <c r="L56" s="662">
        <v>186.87</v>
      </c>
      <c r="M56" s="662">
        <v>186.87</v>
      </c>
      <c r="N56" s="661">
        <v>1</v>
      </c>
      <c r="O56" s="742">
        <v>1</v>
      </c>
      <c r="P56" s="662">
        <v>186.87</v>
      </c>
      <c r="Q56" s="677">
        <v>1</v>
      </c>
      <c r="R56" s="661">
        <v>1</v>
      </c>
      <c r="S56" s="677">
        <v>1</v>
      </c>
      <c r="T56" s="742">
        <v>1</v>
      </c>
      <c r="U56" s="700">
        <v>1</v>
      </c>
    </row>
    <row r="57" spans="1:21" ht="14.4" customHeight="1" x14ac:dyDescent="0.3">
      <c r="A57" s="660">
        <v>22</v>
      </c>
      <c r="B57" s="661" t="s">
        <v>530</v>
      </c>
      <c r="C57" s="661">
        <v>89301222</v>
      </c>
      <c r="D57" s="740" t="s">
        <v>1127</v>
      </c>
      <c r="E57" s="741" t="s">
        <v>791</v>
      </c>
      <c r="F57" s="661" t="s">
        <v>786</v>
      </c>
      <c r="G57" s="661" t="s">
        <v>904</v>
      </c>
      <c r="H57" s="661" t="s">
        <v>531</v>
      </c>
      <c r="I57" s="661" t="s">
        <v>905</v>
      </c>
      <c r="J57" s="661" t="s">
        <v>906</v>
      </c>
      <c r="K57" s="661" t="s">
        <v>907</v>
      </c>
      <c r="L57" s="662">
        <v>0</v>
      </c>
      <c r="M57" s="662">
        <v>0</v>
      </c>
      <c r="N57" s="661">
        <v>1</v>
      </c>
      <c r="O57" s="742">
        <v>0.5</v>
      </c>
      <c r="P57" s="662"/>
      <c r="Q57" s="677"/>
      <c r="R57" s="661"/>
      <c r="S57" s="677">
        <v>0</v>
      </c>
      <c r="T57" s="742"/>
      <c r="U57" s="700">
        <v>0</v>
      </c>
    </row>
    <row r="58" spans="1:21" ht="14.4" customHeight="1" x14ac:dyDescent="0.3">
      <c r="A58" s="660">
        <v>22</v>
      </c>
      <c r="B58" s="661" t="s">
        <v>530</v>
      </c>
      <c r="C58" s="661">
        <v>89301222</v>
      </c>
      <c r="D58" s="740" t="s">
        <v>1127</v>
      </c>
      <c r="E58" s="741" t="s">
        <v>791</v>
      </c>
      <c r="F58" s="661" t="s">
        <v>786</v>
      </c>
      <c r="G58" s="661" t="s">
        <v>801</v>
      </c>
      <c r="H58" s="661" t="s">
        <v>625</v>
      </c>
      <c r="I58" s="661" t="s">
        <v>908</v>
      </c>
      <c r="J58" s="661" t="s">
        <v>909</v>
      </c>
      <c r="K58" s="661" t="s">
        <v>910</v>
      </c>
      <c r="L58" s="662">
        <v>0</v>
      </c>
      <c r="M58" s="662">
        <v>0</v>
      </c>
      <c r="N58" s="661">
        <v>1</v>
      </c>
      <c r="O58" s="742">
        <v>0.5</v>
      </c>
      <c r="P58" s="662">
        <v>0</v>
      </c>
      <c r="Q58" s="677"/>
      <c r="R58" s="661">
        <v>1</v>
      </c>
      <c r="S58" s="677">
        <v>1</v>
      </c>
      <c r="T58" s="742">
        <v>0.5</v>
      </c>
      <c r="U58" s="700">
        <v>1</v>
      </c>
    </row>
    <row r="59" spans="1:21" ht="14.4" customHeight="1" x14ac:dyDescent="0.3">
      <c r="A59" s="660">
        <v>22</v>
      </c>
      <c r="B59" s="661" t="s">
        <v>530</v>
      </c>
      <c r="C59" s="661">
        <v>89301222</v>
      </c>
      <c r="D59" s="740" t="s">
        <v>1127</v>
      </c>
      <c r="E59" s="741" t="s">
        <v>791</v>
      </c>
      <c r="F59" s="661" t="s">
        <v>786</v>
      </c>
      <c r="G59" s="661" t="s">
        <v>801</v>
      </c>
      <c r="H59" s="661" t="s">
        <v>625</v>
      </c>
      <c r="I59" s="661" t="s">
        <v>911</v>
      </c>
      <c r="J59" s="661" t="s">
        <v>912</v>
      </c>
      <c r="K59" s="661" t="s">
        <v>913</v>
      </c>
      <c r="L59" s="662">
        <v>0</v>
      </c>
      <c r="M59" s="662">
        <v>0</v>
      </c>
      <c r="N59" s="661">
        <v>2</v>
      </c>
      <c r="O59" s="742">
        <v>1.5</v>
      </c>
      <c r="P59" s="662">
        <v>0</v>
      </c>
      <c r="Q59" s="677"/>
      <c r="R59" s="661">
        <v>1</v>
      </c>
      <c r="S59" s="677">
        <v>0.5</v>
      </c>
      <c r="T59" s="742">
        <v>0.5</v>
      </c>
      <c r="U59" s="700">
        <v>0.33333333333333331</v>
      </c>
    </row>
    <row r="60" spans="1:21" ht="14.4" customHeight="1" x14ac:dyDescent="0.3">
      <c r="A60" s="660">
        <v>22</v>
      </c>
      <c r="B60" s="661" t="s">
        <v>530</v>
      </c>
      <c r="C60" s="661">
        <v>89301222</v>
      </c>
      <c r="D60" s="740" t="s">
        <v>1127</v>
      </c>
      <c r="E60" s="741" t="s">
        <v>791</v>
      </c>
      <c r="F60" s="661" t="s">
        <v>786</v>
      </c>
      <c r="G60" s="661" t="s">
        <v>801</v>
      </c>
      <c r="H60" s="661" t="s">
        <v>531</v>
      </c>
      <c r="I60" s="661" t="s">
        <v>825</v>
      </c>
      <c r="J60" s="661" t="s">
        <v>826</v>
      </c>
      <c r="K60" s="661" t="s">
        <v>827</v>
      </c>
      <c r="L60" s="662">
        <v>0</v>
      </c>
      <c r="M60" s="662">
        <v>0</v>
      </c>
      <c r="N60" s="661">
        <v>1</v>
      </c>
      <c r="O60" s="742">
        <v>1</v>
      </c>
      <c r="P60" s="662"/>
      <c r="Q60" s="677"/>
      <c r="R60" s="661"/>
      <c r="S60" s="677">
        <v>0</v>
      </c>
      <c r="T60" s="742"/>
      <c r="U60" s="700">
        <v>0</v>
      </c>
    </row>
    <row r="61" spans="1:21" ht="14.4" customHeight="1" x14ac:dyDescent="0.3">
      <c r="A61" s="660">
        <v>22</v>
      </c>
      <c r="B61" s="661" t="s">
        <v>530</v>
      </c>
      <c r="C61" s="661">
        <v>89301222</v>
      </c>
      <c r="D61" s="740" t="s">
        <v>1127</v>
      </c>
      <c r="E61" s="741" t="s">
        <v>791</v>
      </c>
      <c r="F61" s="661" t="s">
        <v>786</v>
      </c>
      <c r="G61" s="661" t="s">
        <v>801</v>
      </c>
      <c r="H61" s="661" t="s">
        <v>625</v>
      </c>
      <c r="I61" s="661" t="s">
        <v>828</v>
      </c>
      <c r="J61" s="661" t="s">
        <v>829</v>
      </c>
      <c r="K61" s="661" t="s">
        <v>830</v>
      </c>
      <c r="L61" s="662">
        <v>0</v>
      </c>
      <c r="M61" s="662">
        <v>0</v>
      </c>
      <c r="N61" s="661">
        <v>5</v>
      </c>
      <c r="O61" s="742">
        <v>5</v>
      </c>
      <c r="P61" s="662">
        <v>0</v>
      </c>
      <c r="Q61" s="677"/>
      <c r="R61" s="661">
        <v>2</v>
      </c>
      <c r="S61" s="677">
        <v>0.4</v>
      </c>
      <c r="T61" s="742">
        <v>2</v>
      </c>
      <c r="U61" s="700">
        <v>0.4</v>
      </c>
    </row>
    <row r="62" spans="1:21" ht="14.4" customHeight="1" x14ac:dyDescent="0.3">
      <c r="A62" s="660">
        <v>22</v>
      </c>
      <c r="B62" s="661" t="s">
        <v>530</v>
      </c>
      <c r="C62" s="661">
        <v>89301222</v>
      </c>
      <c r="D62" s="740" t="s">
        <v>1127</v>
      </c>
      <c r="E62" s="741" t="s">
        <v>791</v>
      </c>
      <c r="F62" s="661" t="s">
        <v>786</v>
      </c>
      <c r="G62" s="661" t="s">
        <v>801</v>
      </c>
      <c r="H62" s="661" t="s">
        <v>531</v>
      </c>
      <c r="I62" s="661" t="s">
        <v>914</v>
      </c>
      <c r="J62" s="661" t="s">
        <v>915</v>
      </c>
      <c r="K62" s="661" t="s">
        <v>853</v>
      </c>
      <c r="L62" s="662">
        <v>82.99</v>
      </c>
      <c r="M62" s="662">
        <v>497.94</v>
      </c>
      <c r="N62" s="661">
        <v>6</v>
      </c>
      <c r="O62" s="742">
        <v>4</v>
      </c>
      <c r="P62" s="662">
        <v>82.99</v>
      </c>
      <c r="Q62" s="677">
        <v>0.16666666666666666</v>
      </c>
      <c r="R62" s="661">
        <v>1</v>
      </c>
      <c r="S62" s="677">
        <v>0.16666666666666666</v>
      </c>
      <c r="T62" s="742">
        <v>1</v>
      </c>
      <c r="U62" s="700">
        <v>0.25</v>
      </c>
    </row>
    <row r="63" spans="1:21" ht="14.4" customHeight="1" x14ac:dyDescent="0.3">
      <c r="A63" s="660">
        <v>22</v>
      </c>
      <c r="B63" s="661" t="s">
        <v>530</v>
      </c>
      <c r="C63" s="661">
        <v>89301222</v>
      </c>
      <c r="D63" s="740" t="s">
        <v>1127</v>
      </c>
      <c r="E63" s="741" t="s">
        <v>791</v>
      </c>
      <c r="F63" s="661" t="s">
        <v>786</v>
      </c>
      <c r="G63" s="661" t="s">
        <v>801</v>
      </c>
      <c r="H63" s="661" t="s">
        <v>625</v>
      </c>
      <c r="I63" s="661" t="s">
        <v>641</v>
      </c>
      <c r="J63" s="661" t="s">
        <v>642</v>
      </c>
      <c r="K63" s="661" t="s">
        <v>643</v>
      </c>
      <c r="L63" s="662">
        <v>103.74</v>
      </c>
      <c r="M63" s="662">
        <v>207.48</v>
      </c>
      <c r="N63" s="661">
        <v>2</v>
      </c>
      <c r="O63" s="742">
        <v>1.5</v>
      </c>
      <c r="P63" s="662">
        <v>207.48</v>
      </c>
      <c r="Q63" s="677">
        <v>1</v>
      </c>
      <c r="R63" s="661">
        <v>2</v>
      </c>
      <c r="S63" s="677">
        <v>1</v>
      </c>
      <c r="T63" s="742">
        <v>1.5</v>
      </c>
      <c r="U63" s="700">
        <v>1</v>
      </c>
    </row>
    <row r="64" spans="1:21" ht="14.4" customHeight="1" x14ac:dyDescent="0.3">
      <c r="A64" s="660">
        <v>22</v>
      </c>
      <c r="B64" s="661" t="s">
        <v>530</v>
      </c>
      <c r="C64" s="661">
        <v>89301222</v>
      </c>
      <c r="D64" s="740" t="s">
        <v>1127</v>
      </c>
      <c r="E64" s="741" t="s">
        <v>791</v>
      </c>
      <c r="F64" s="661" t="s">
        <v>786</v>
      </c>
      <c r="G64" s="661" t="s">
        <v>801</v>
      </c>
      <c r="H64" s="661" t="s">
        <v>625</v>
      </c>
      <c r="I64" s="661" t="s">
        <v>802</v>
      </c>
      <c r="J64" s="661" t="s">
        <v>642</v>
      </c>
      <c r="K64" s="661" t="s">
        <v>643</v>
      </c>
      <c r="L64" s="662">
        <v>103.74</v>
      </c>
      <c r="M64" s="662">
        <v>726.18</v>
      </c>
      <c r="N64" s="661">
        <v>7</v>
      </c>
      <c r="O64" s="742">
        <v>7</v>
      </c>
      <c r="P64" s="662">
        <v>414.96</v>
      </c>
      <c r="Q64" s="677">
        <v>0.5714285714285714</v>
      </c>
      <c r="R64" s="661">
        <v>4</v>
      </c>
      <c r="S64" s="677">
        <v>0.5714285714285714</v>
      </c>
      <c r="T64" s="742">
        <v>4</v>
      </c>
      <c r="U64" s="700">
        <v>0.5714285714285714</v>
      </c>
    </row>
    <row r="65" spans="1:21" ht="14.4" customHeight="1" x14ac:dyDescent="0.3">
      <c r="A65" s="660">
        <v>22</v>
      </c>
      <c r="B65" s="661" t="s">
        <v>530</v>
      </c>
      <c r="C65" s="661">
        <v>89301222</v>
      </c>
      <c r="D65" s="740" t="s">
        <v>1127</v>
      </c>
      <c r="E65" s="741" t="s">
        <v>791</v>
      </c>
      <c r="F65" s="661" t="s">
        <v>786</v>
      </c>
      <c r="G65" s="661" t="s">
        <v>801</v>
      </c>
      <c r="H65" s="661" t="s">
        <v>531</v>
      </c>
      <c r="I65" s="661" t="s">
        <v>844</v>
      </c>
      <c r="J65" s="661" t="s">
        <v>845</v>
      </c>
      <c r="K65" s="661" t="s">
        <v>846</v>
      </c>
      <c r="L65" s="662">
        <v>103.74</v>
      </c>
      <c r="M65" s="662">
        <v>207.48</v>
      </c>
      <c r="N65" s="661">
        <v>2</v>
      </c>
      <c r="O65" s="742">
        <v>1.5</v>
      </c>
      <c r="P65" s="662"/>
      <c r="Q65" s="677">
        <v>0</v>
      </c>
      <c r="R65" s="661"/>
      <c r="S65" s="677">
        <v>0</v>
      </c>
      <c r="T65" s="742"/>
      <c r="U65" s="700">
        <v>0</v>
      </c>
    </row>
    <row r="66" spans="1:21" ht="14.4" customHeight="1" x14ac:dyDescent="0.3">
      <c r="A66" s="660">
        <v>22</v>
      </c>
      <c r="B66" s="661" t="s">
        <v>530</v>
      </c>
      <c r="C66" s="661">
        <v>89301222</v>
      </c>
      <c r="D66" s="740" t="s">
        <v>1127</v>
      </c>
      <c r="E66" s="741" t="s">
        <v>791</v>
      </c>
      <c r="F66" s="661" t="s">
        <v>786</v>
      </c>
      <c r="G66" s="661" t="s">
        <v>801</v>
      </c>
      <c r="H66" s="661" t="s">
        <v>625</v>
      </c>
      <c r="I66" s="661" t="s">
        <v>803</v>
      </c>
      <c r="J66" s="661" t="s">
        <v>804</v>
      </c>
      <c r="K66" s="661" t="s">
        <v>805</v>
      </c>
      <c r="L66" s="662">
        <v>124.49</v>
      </c>
      <c r="M66" s="662">
        <v>5353.0699999999979</v>
      </c>
      <c r="N66" s="661">
        <v>43</v>
      </c>
      <c r="O66" s="742">
        <v>34</v>
      </c>
      <c r="P66" s="662">
        <v>1991.84</v>
      </c>
      <c r="Q66" s="677">
        <v>0.37209302325581406</v>
      </c>
      <c r="R66" s="661">
        <v>16</v>
      </c>
      <c r="S66" s="677">
        <v>0.37209302325581395</v>
      </c>
      <c r="T66" s="742">
        <v>12.5</v>
      </c>
      <c r="U66" s="700">
        <v>0.36764705882352944</v>
      </c>
    </row>
    <row r="67" spans="1:21" ht="14.4" customHeight="1" x14ac:dyDescent="0.3">
      <c r="A67" s="660">
        <v>22</v>
      </c>
      <c r="B67" s="661" t="s">
        <v>530</v>
      </c>
      <c r="C67" s="661">
        <v>89301222</v>
      </c>
      <c r="D67" s="740" t="s">
        <v>1127</v>
      </c>
      <c r="E67" s="741" t="s">
        <v>791</v>
      </c>
      <c r="F67" s="661" t="s">
        <v>786</v>
      </c>
      <c r="G67" s="661" t="s">
        <v>801</v>
      </c>
      <c r="H67" s="661" t="s">
        <v>625</v>
      </c>
      <c r="I67" s="661" t="s">
        <v>916</v>
      </c>
      <c r="J67" s="661" t="s">
        <v>639</v>
      </c>
      <c r="K67" s="661" t="s">
        <v>917</v>
      </c>
      <c r="L67" s="662">
        <v>48.37</v>
      </c>
      <c r="M67" s="662">
        <v>48.37</v>
      </c>
      <c r="N67" s="661">
        <v>1</v>
      </c>
      <c r="O67" s="742">
        <v>1</v>
      </c>
      <c r="P67" s="662"/>
      <c r="Q67" s="677">
        <v>0</v>
      </c>
      <c r="R67" s="661"/>
      <c r="S67" s="677">
        <v>0</v>
      </c>
      <c r="T67" s="742"/>
      <c r="U67" s="700">
        <v>0</v>
      </c>
    </row>
    <row r="68" spans="1:21" ht="14.4" customHeight="1" x14ac:dyDescent="0.3">
      <c r="A68" s="660">
        <v>22</v>
      </c>
      <c r="B68" s="661" t="s">
        <v>530</v>
      </c>
      <c r="C68" s="661">
        <v>89301222</v>
      </c>
      <c r="D68" s="740" t="s">
        <v>1127</v>
      </c>
      <c r="E68" s="741" t="s">
        <v>791</v>
      </c>
      <c r="F68" s="661" t="s">
        <v>786</v>
      </c>
      <c r="G68" s="661" t="s">
        <v>801</v>
      </c>
      <c r="H68" s="661" t="s">
        <v>625</v>
      </c>
      <c r="I68" s="661" t="s">
        <v>631</v>
      </c>
      <c r="J68" s="661" t="s">
        <v>632</v>
      </c>
      <c r="K68" s="661" t="s">
        <v>768</v>
      </c>
      <c r="L68" s="662">
        <v>82.99</v>
      </c>
      <c r="M68" s="662">
        <v>3153.6199999999994</v>
      </c>
      <c r="N68" s="661">
        <v>38</v>
      </c>
      <c r="O68" s="742">
        <v>31.5</v>
      </c>
      <c r="P68" s="662">
        <v>912.89</v>
      </c>
      <c r="Q68" s="677">
        <v>0.28947368421052638</v>
      </c>
      <c r="R68" s="661">
        <v>11</v>
      </c>
      <c r="S68" s="677">
        <v>0.28947368421052633</v>
      </c>
      <c r="T68" s="742">
        <v>8.5</v>
      </c>
      <c r="U68" s="700">
        <v>0.26984126984126983</v>
      </c>
    </row>
    <row r="69" spans="1:21" ht="14.4" customHeight="1" x14ac:dyDescent="0.3">
      <c r="A69" s="660">
        <v>22</v>
      </c>
      <c r="B69" s="661" t="s">
        <v>530</v>
      </c>
      <c r="C69" s="661">
        <v>89301222</v>
      </c>
      <c r="D69" s="740" t="s">
        <v>1127</v>
      </c>
      <c r="E69" s="741" t="s">
        <v>791</v>
      </c>
      <c r="F69" s="661" t="s">
        <v>786</v>
      </c>
      <c r="G69" s="661" t="s">
        <v>801</v>
      </c>
      <c r="H69" s="661" t="s">
        <v>625</v>
      </c>
      <c r="I69" s="661" t="s">
        <v>849</v>
      </c>
      <c r="J69" s="661" t="s">
        <v>850</v>
      </c>
      <c r="K69" s="661" t="s">
        <v>805</v>
      </c>
      <c r="L69" s="662">
        <v>124.49</v>
      </c>
      <c r="M69" s="662">
        <v>497.96</v>
      </c>
      <c r="N69" s="661">
        <v>4</v>
      </c>
      <c r="O69" s="742">
        <v>2.5</v>
      </c>
      <c r="P69" s="662">
        <v>248.98</v>
      </c>
      <c r="Q69" s="677">
        <v>0.5</v>
      </c>
      <c r="R69" s="661">
        <v>2</v>
      </c>
      <c r="S69" s="677">
        <v>0.5</v>
      </c>
      <c r="T69" s="742">
        <v>1.5</v>
      </c>
      <c r="U69" s="700">
        <v>0.6</v>
      </c>
    </row>
    <row r="70" spans="1:21" ht="14.4" customHeight="1" x14ac:dyDescent="0.3">
      <c r="A70" s="660">
        <v>22</v>
      </c>
      <c r="B70" s="661" t="s">
        <v>530</v>
      </c>
      <c r="C70" s="661">
        <v>89301222</v>
      </c>
      <c r="D70" s="740" t="s">
        <v>1127</v>
      </c>
      <c r="E70" s="741" t="s">
        <v>791</v>
      </c>
      <c r="F70" s="661" t="s">
        <v>786</v>
      </c>
      <c r="G70" s="661" t="s">
        <v>801</v>
      </c>
      <c r="H70" s="661" t="s">
        <v>531</v>
      </c>
      <c r="I70" s="661" t="s">
        <v>851</v>
      </c>
      <c r="J70" s="661" t="s">
        <v>852</v>
      </c>
      <c r="K70" s="661" t="s">
        <v>853</v>
      </c>
      <c r="L70" s="662">
        <v>82.99</v>
      </c>
      <c r="M70" s="662">
        <v>1078.8699999999999</v>
      </c>
      <c r="N70" s="661">
        <v>13</v>
      </c>
      <c r="O70" s="742">
        <v>8</v>
      </c>
      <c r="P70" s="662">
        <v>580.92999999999995</v>
      </c>
      <c r="Q70" s="677">
        <v>0.53846153846153844</v>
      </c>
      <c r="R70" s="661">
        <v>7</v>
      </c>
      <c r="S70" s="677">
        <v>0.53846153846153844</v>
      </c>
      <c r="T70" s="742">
        <v>4.5</v>
      </c>
      <c r="U70" s="700">
        <v>0.5625</v>
      </c>
    </row>
    <row r="71" spans="1:21" ht="14.4" customHeight="1" x14ac:dyDescent="0.3">
      <c r="A71" s="660">
        <v>22</v>
      </c>
      <c r="B71" s="661" t="s">
        <v>530</v>
      </c>
      <c r="C71" s="661">
        <v>89301222</v>
      </c>
      <c r="D71" s="740" t="s">
        <v>1127</v>
      </c>
      <c r="E71" s="741" t="s">
        <v>791</v>
      </c>
      <c r="F71" s="661" t="s">
        <v>786</v>
      </c>
      <c r="G71" s="661" t="s">
        <v>801</v>
      </c>
      <c r="H71" s="661" t="s">
        <v>531</v>
      </c>
      <c r="I71" s="661" t="s">
        <v>854</v>
      </c>
      <c r="J71" s="661" t="s">
        <v>804</v>
      </c>
      <c r="K71" s="661" t="s">
        <v>855</v>
      </c>
      <c r="L71" s="662">
        <v>0</v>
      </c>
      <c r="M71" s="662">
        <v>0</v>
      </c>
      <c r="N71" s="661">
        <v>1</v>
      </c>
      <c r="O71" s="742">
        <v>0.5</v>
      </c>
      <c r="P71" s="662"/>
      <c r="Q71" s="677"/>
      <c r="R71" s="661"/>
      <c r="S71" s="677">
        <v>0</v>
      </c>
      <c r="T71" s="742"/>
      <c r="U71" s="700">
        <v>0</v>
      </c>
    </row>
    <row r="72" spans="1:21" ht="14.4" customHeight="1" x14ac:dyDescent="0.3">
      <c r="A72" s="660">
        <v>22</v>
      </c>
      <c r="B72" s="661" t="s">
        <v>530</v>
      </c>
      <c r="C72" s="661">
        <v>89301222</v>
      </c>
      <c r="D72" s="740" t="s">
        <v>1127</v>
      </c>
      <c r="E72" s="741" t="s">
        <v>791</v>
      </c>
      <c r="F72" s="661" t="s">
        <v>786</v>
      </c>
      <c r="G72" s="661" t="s">
        <v>801</v>
      </c>
      <c r="H72" s="661" t="s">
        <v>625</v>
      </c>
      <c r="I72" s="661" t="s">
        <v>918</v>
      </c>
      <c r="J72" s="661" t="s">
        <v>850</v>
      </c>
      <c r="K72" s="661" t="s">
        <v>855</v>
      </c>
      <c r="L72" s="662">
        <v>0</v>
      </c>
      <c r="M72" s="662">
        <v>0</v>
      </c>
      <c r="N72" s="661">
        <v>4</v>
      </c>
      <c r="O72" s="742">
        <v>4</v>
      </c>
      <c r="P72" s="662">
        <v>0</v>
      </c>
      <c r="Q72" s="677"/>
      <c r="R72" s="661">
        <v>2</v>
      </c>
      <c r="S72" s="677">
        <v>0.5</v>
      </c>
      <c r="T72" s="742">
        <v>2</v>
      </c>
      <c r="U72" s="700">
        <v>0.5</v>
      </c>
    </row>
    <row r="73" spans="1:21" ht="14.4" customHeight="1" x14ac:dyDescent="0.3">
      <c r="A73" s="660">
        <v>22</v>
      </c>
      <c r="B73" s="661" t="s">
        <v>530</v>
      </c>
      <c r="C73" s="661">
        <v>89301222</v>
      </c>
      <c r="D73" s="740" t="s">
        <v>1127</v>
      </c>
      <c r="E73" s="741" t="s">
        <v>791</v>
      </c>
      <c r="F73" s="661" t="s">
        <v>786</v>
      </c>
      <c r="G73" s="661" t="s">
        <v>919</v>
      </c>
      <c r="H73" s="661" t="s">
        <v>625</v>
      </c>
      <c r="I73" s="661" t="s">
        <v>920</v>
      </c>
      <c r="J73" s="661" t="s">
        <v>921</v>
      </c>
      <c r="K73" s="661" t="s">
        <v>922</v>
      </c>
      <c r="L73" s="662">
        <v>0</v>
      </c>
      <c r="M73" s="662">
        <v>0</v>
      </c>
      <c r="N73" s="661">
        <v>1</v>
      </c>
      <c r="O73" s="742">
        <v>1</v>
      </c>
      <c r="P73" s="662"/>
      <c r="Q73" s="677"/>
      <c r="R73" s="661"/>
      <c r="S73" s="677">
        <v>0</v>
      </c>
      <c r="T73" s="742"/>
      <c r="U73" s="700">
        <v>0</v>
      </c>
    </row>
    <row r="74" spans="1:21" ht="14.4" customHeight="1" x14ac:dyDescent="0.3">
      <c r="A74" s="660">
        <v>22</v>
      </c>
      <c r="B74" s="661" t="s">
        <v>530</v>
      </c>
      <c r="C74" s="661">
        <v>89301222</v>
      </c>
      <c r="D74" s="740" t="s">
        <v>1127</v>
      </c>
      <c r="E74" s="741" t="s">
        <v>791</v>
      </c>
      <c r="F74" s="661" t="s">
        <v>786</v>
      </c>
      <c r="G74" s="661" t="s">
        <v>923</v>
      </c>
      <c r="H74" s="661" t="s">
        <v>531</v>
      </c>
      <c r="I74" s="661" t="s">
        <v>924</v>
      </c>
      <c r="J74" s="661" t="s">
        <v>925</v>
      </c>
      <c r="K74" s="661" t="s">
        <v>926</v>
      </c>
      <c r="L74" s="662">
        <v>115.13</v>
      </c>
      <c r="M74" s="662">
        <v>115.13</v>
      </c>
      <c r="N74" s="661">
        <v>1</v>
      </c>
      <c r="O74" s="742">
        <v>1</v>
      </c>
      <c r="P74" s="662">
        <v>115.13</v>
      </c>
      <c r="Q74" s="677">
        <v>1</v>
      </c>
      <c r="R74" s="661">
        <v>1</v>
      </c>
      <c r="S74" s="677">
        <v>1</v>
      </c>
      <c r="T74" s="742">
        <v>1</v>
      </c>
      <c r="U74" s="700">
        <v>1</v>
      </c>
    </row>
    <row r="75" spans="1:21" ht="14.4" customHeight="1" x14ac:dyDescent="0.3">
      <c r="A75" s="660">
        <v>22</v>
      </c>
      <c r="B75" s="661" t="s">
        <v>530</v>
      </c>
      <c r="C75" s="661">
        <v>89301222</v>
      </c>
      <c r="D75" s="740" t="s">
        <v>1127</v>
      </c>
      <c r="E75" s="741" t="s">
        <v>791</v>
      </c>
      <c r="F75" s="661" t="s">
        <v>786</v>
      </c>
      <c r="G75" s="661" t="s">
        <v>927</v>
      </c>
      <c r="H75" s="661" t="s">
        <v>531</v>
      </c>
      <c r="I75" s="661" t="s">
        <v>928</v>
      </c>
      <c r="J75" s="661" t="s">
        <v>929</v>
      </c>
      <c r="K75" s="661" t="s">
        <v>930</v>
      </c>
      <c r="L75" s="662">
        <v>146.84</v>
      </c>
      <c r="M75" s="662">
        <v>146.84</v>
      </c>
      <c r="N75" s="661">
        <v>1</v>
      </c>
      <c r="O75" s="742">
        <v>1</v>
      </c>
      <c r="P75" s="662">
        <v>146.84</v>
      </c>
      <c r="Q75" s="677">
        <v>1</v>
      </c>
      <c r="R75" s="661">
        <v>1</v>
      </c>
      <c r="S75" s="677">
        <v>1</v>
      </c>
      <c r="T75" s="742">
        <v>1</v>
      </c>
      <c r="U75" s="700">
        <v>1</v>
      </c>
    </row>
    <row r="76" spans="1:21" ht="14.4" customHeight="1" x14ac:dyDescent="0.3">
      <c r="A76" s="660">
        <v>22</v>
      </c>
      <c r="B76" s="661" t="s">
        <v>530</v>
      </c>
      <c r="C76" s="661">
        <v>89301222</v>
      </c>
      <c r="D76" s="740" t="s">
        <v>1127</v>
      </c>
      <c r="E76" s="741" t="s">
        <v>791</v>
      </c>
      <c r="F76" s="661" t="s">
        <v>786</v>
      </c>
      <c r="G76" s="661" t="s">
        <v>931</v>
      </c>
      <c r="H76" s="661" t="s">
        <v>531</v>
      </c>
      <c r="I76" s="661" t="s">
        <v>932</v>
      </c>
      <c r="J76" s="661" t="s">
        <v>933</v>
      </c>
      <c r="K76" s="661" t="s">
        <v>934</v>
      </c>
      <c r="L76" s="662">
        <v>83.74</v>
      </c>
      <c r="M76" s="662">
        <v>334.96</v>
      </c>
      <c r="N76" s="661">
        <v>4</v>
      </c>
      <c r="O76" s="742">
        <v>1</v>
      </c>
      <c r="P76" s="662"/>
      <c r="Q76" s="677">
        <v>0</v>
      </c>
      <c r="R76" s="661"/>
      <c r="S76" s="677">
        <v>0</v>
      </c>
      <c r="T76" s="742"/>
      <c r="U76" s="700">
        <v>0</v>
      </c>
    </row>
    <row r="77" spans="1:21" ht="14.4" customHeight="1" x14ac:dyDescent="0.3">
      <c r="A77" s="660">
        <v>22</v>
      </c>
      <c r="B77" s="661" t="s">
        <v>530</v>
      </c>
      <c r="C77" s="661">
        <v>89301222</v>
      </c>
      <c r="D77" s="740" t="s">
        <v>1127</v>
      </c>
      <c r="E77" s="741" t="s">
        <v>791</v>
      </c>
      <c r="F77" s="661" t="s">
        <v>786</v>
      </c>
      <c r="G77" s="661" t="s">
        <v>935</v>
      </c>
      <c r="H77" s="661" t="s">
        <v>531</v>
      </c>
      <c r="I77" s="661" t="s">
        <v>936</v>
      </c>
      <c r="J77" s="661" t="s">
        <v>937</v>
      </c>
      <c r="K77" s="661" t="s">
        <v>938</v>
      </c>
      <c r="L77" s="662">
        <v>289.27</v>
      </c>
      <c r="M77" s="662">
        <v>289.27</v>
      </c>
      <c r="N77" s="661">
        <v>1</v>
      </c>
      <c r="O77" s="742">
        <v>0.5</v>
      </c>
      <c r="P77" s="662"/>
      <c r="Q77" s="677">
        <v>0</v>
      </c>
      <c r="R77" s="661"/>
      <c r="S77" s="677">
        <v>0</v>
      </c>
      <c r="T77" s="742"/>
      <c r="U77" s="700">
        <v>0</v>
      </c>
    </row>
    <row r="78" spans="1:21" ht="14.4" customHeight="1" x14ac:dyDescent="0.3">
      <c r="A78" s="660">
        <v>22</v>
      </c>
      <c r="B78" s="661" t="s">
        <v>530</v>
      </c>
      <c r="C78" s="661">
        <v>89301222</v>
      </c>
      <c r="D78" s="740" t="s">
        <v>1127</v>
      </c>
      <c r="E78" s="741" t="s">
        <v>791</v>
      </c>
      <c r="F78" s="661" t="s">
        <v>786</v>
      </c>
      <c r="G78" s="661" t="s">
        <v>935</v>
      </c>
      <c r="H78" s="661" t="s">
        <v>531</v>
      </c>
      <c r="I78" s="661" t="s">
        <v>939</v>
      </c>
      <c r="J78" s="661" t="s">
        <v>937</v>
      </c>
      <c r="K78" s="661" t="s">
        <v>940</v>
      </c>
      <c r="L78" s="662">
        <v>0</v>
      </c>
      <c r="M78" s="662">
        <v>0</v>
      </c>
      <c r="N78" s="661">
        <v>1</v>
      </c>
      <c r="O78" s="742">
        <v>0.5</v>
      </c>
      <c r="P78" s="662"/>
      <c r="Q78" s="677"/>
      <c r="R78" s="661"/>
      <c r="S78" s="677">
        <v>0</v>
      </c>
      <c r="T78" s="742"/>
      <c r="U78" s="700">
        <v>0</v>
      </c>
    </row>
    <row r="79" spans="1:21" ht="14.4" customHeight="1" x14ac:dyDescent="0.3">
      <c r="A79" s="660">
        <v>22</v>
      </c>
      <c r="B79" s="661" t="s">
        <v>530</v>
      </c>
      <c r="C79" s="661">
        <v>89301222</v>
      </c>
      <c r="D79" s="740" t="s">
        <v>1127</v>
      </c>
      <c r="E79" s="741" t="s">
        <v>791</v>
      </c>
      <c r="F79" s="661" t="s">
        <v>786</v>
      </c>
      <c r="G79" s="661" t="s">
        <v>941</v>
      </c>
      <c r="H79" s="661" t="s">
        <v>531</v>
      </c>
      <c r="I79" s="661" t="s">
        <v>942</v>
      </c>
      <c r="J79" s="661" t="s">
        <v>943</v>
      </c>
      <c r="K79" s="661" t="s">
        <v>944</v>
      </c>
      <c r="L79" s="662">
        <v>108.5</v>
      </c>
      <c r="M79" s="662">
        <v>108.5</v>
      </c>
      <c r="N79" s="661">
        <v>1</v>
      </c>
      <c r="O79" s="742">
        <v>0.5</v>
      </c>
      <c r="P79" s="662">
        <v>108.5</v>
      </c>
      <c r="Q79" s="677">
        <v>1</v>
      </c>
      <c r="R79" s="661">
        <v>1</v>
      </c>
      <c r="S79" s="677">
        <v>1</v>
      </c>
      <c r="T79" s="742">
        <v>0.5</v>
      </c>
      <c r="U79" s="700">
        <v>1</v>
      </c>
    </row>
    <row r="80" spans="1:21" ht="14.4" customHeight="1" x14ac:dyDescent="0.3">
      <c r="A80" s="660">
        <v>22</v>
      </c>
      <c r="B80" s="661" t="s">
        <v>530</v>
      </c>
      <c r="C80" s="661">
        <v>89301222</v>
      </c>
      <c r="D80" s="740" t="s">
        <v>1127</v>
      </c>
      <c r="E80" s="741" t="s">
        <v>791</v>
      </c>
      <c r="F80" s="661" t="s">
        <v>786</v>
      </c>
      <c r="G80" s="661" t="s">
        <v>813</v>
      </c>
      <c r="H80" s="661" t="s">
        <v>531</v>
      </c>
      <c r="I80" s="661" t="s">
        <v>945</v>
      </c>
      <c r="J80" s="661" t="s">
        <v>946</v>
      </c>
      <c r="K80" s="661" t="s">
        <v>947</v>
      </c>
      <c r="L80" s="662">
        <v>0</v>
      </c>
      <c r="M80" s="662">
        <v>0</v>
      </c>
      <c r="N80" s="661">
        <v>1</v>
      </c>
      <c r="O80" s="742">
        <v>1</v>
      </c>
      <c r="P80" s="662">
        <v>0</v>
      </c>
      <c r="Q80" s="677"/>
      <c r="R80" s="661">
        <v>1</v>
      </c>
      <c r="S80" s="677">
        <v>1</v>
      </c>
      <c r="T80" s="742">
        <v>1</v>
      </c>
      <c r="U80" s="700">
        <v>1</v>
      </c>
    </row>
    <row r="81" spans="1:21" ht="14.4" customHeight="1" x14ac:dyDescent="0.3">
      <c r="A81" s="660">
        <v>22</v>
      </c>
      <c r="B81" s="661" t="s">
        <v>530</v>
      </c>
      <c r="C81" s="661">
        <v>89301222</v>
      </c>
      <c r="D81" s="740" t="s">
        <v>1127</v>
      </c>
      <c r="E81" s="741" t="s">
        <v>791</v>
      </c>
      <c r="F81" s="661" t="s">
        <v>786</v>
      </c>
      <c r="G81" s="661" t="s">
        <v>948</v>
      </c>
      <c r="H81" s="661" t="s">
        <v>531</v>
      </c>
      <c r="I81" s="661" t="s">
        <v>949</v>
      </c>
      <c r="J81" s="661" t="s">
        <v>950</v>
      </c>
      <c r="K81" s="661" t="s">
        <v>951</v>
      </c>
      <c r="L81" s="662">
        <v>0</v>
      </c>
      <c r="M81" s="662">
        <v>0</v>
      </c>
      <c r="N81" s="661">
        <v>9</v>
      </c>
      <c r="O81" s="742">
        <v>8.5</v>
      </c>
      <c r="P81" s="662">
        <v>0</v>
      </c>
      <c r="Q81" s="677"/>
      <c r="R81" s="661">
        <v>2</v>
      </c>
      <c r="S81" s="677">
        <v>0.22222222222222221</v>
      </c>
      <c r="T81" s="742">
        <v>2</v>
      </c>
      <c r="U81" s="700">
        <v>0.23529411764705882</v>
      </c>
    </row>
    <row r="82" spans="1:21" ht="14.4" customHeight="1" x14ac:dyDescent="0.3">
      <c r="A82" s="660">
        <v>22</v>
      </c>
      <c r="B82" s="661" t="s">
        <v>530</v>
      </c>
      <c r="C82" s="661">
        <v>89301222</v>
      </c>
      <c r="D82" s="740" t="s">
        <v>1127</v>
      </c>
      <c r="E82" s="741" t="s">
        <v>791</v>
      </c>
      <c r="F82" s="661" t="s">
        <v>786</v>
      </c>
      <c r="G82" s="661" t="s">
        <v>948</v>
      </c>
      <c r="H82" s="661" t="s">
        <v>531</v>
      </c>
      <c r="I82" s="661" t="s">
        <v>952</v>
      </c>
      <c r="J82" s="661" t="s">
        <v>953</v>
      </c>
      <c r="K82" s="661" t="s">
        <v>951</v>
      </c>
      <c r="L82" s="662">
        <v>0</v>
      </c>
      <c r="M82" s="662">
        <v>0</v>
      </c>
      <c r="N82" s="661">
        <v>1</v>
      </c>
      <c r="O82" s="742">
        <v>1</v>
      </c>
      <c r="P82" s="662">
        <v>0</v>
      </c>
      <c r="Q82" s="677"/>
      <c r="R82" s="661">
        <v>1</v>
      </c>
      <c r="S82" s="677">
        <v>1</v>
      </c>
      <c r="T82" s="742">
        <v>1</v>
      </c>
      <c r="U82" s="700">
        <v>1</v>
      </c>
    </row>
    <row r="83" spans="1:21" ht="14.4" customHeight="1" x14ac:dyDescent="0.3">
      <c r="A83" s="660">
        <v>22</v>
      </c>
      <c r="B83" s="661" t="s">
        <v>530</v>
      </c>
      <c r="C83" s="661">
        <v>89301222</v>
      </c>
      <c r="D83" s="740" t="s">
        <v>1127</v>
      </c>
      <c r="E83" s="741" t="s">
        <v>792</v>
      </c>
      <c r="F83" s="661" t="s">
        <v>786</v>
      </c>
      <c r="G83" s="661" t="s">
        <v>860</v>
      </c>
      <c r="H83" s="661" t="s">
        <v>531</v>
      </c>
      <c r="I83" s="661" t="s">
        <v>954</v>
      </c>
      <c r="J83" s="661" t="s">
        <v>862</v>
      </c>
      <c r="K83" s="661" t="s">
        <v>955</v>
      </c>
      <c r="L83" s="662">
        <v>0</v>
      </c>
      <c r="M83" s="662">
        <v>0</v>
      </c>
      <c r="N83" s="661">
        <v>2</v>
      </c>
      <c r="O83" s="742">
        <v>1</v>
      </c>
      <c r="P83" s="662">
        <v>0</v>
      </c>
      <c r="Q83" s="677"/>
      <c r="R83" s="661">
        <v>2</v>
      </c>
      <c r="S83" s="677">
        <v>1</v>
      </c>
      <c r="T83" s="742">
        <v>1</v>
      </c>
      <c r="U83" s="700">
        <v>1</v>
      </c>
    </row>
    <row r="84" spans="1:21" ht="14.4" customHeight="1" x14ac:dyDescent="0.3">
      <c r="A84" s="660">
        <v>22</v>
      </c>
      <c r="B84" s="661" t="s">
        <v>530</v>
      </c>
      <c r="C84" s="661">
        <v>89301222</v>
      </c>
      <c r="D84" s="740" t="s">
        <v>1127</v>
      </c>
      <c r="E84" s="741" t="s">
        <v>792</v>
      </c>
      <c r="F84" s="661" t="s">
        <v>786</v>
      </c>
      <c r="G84" s="661" t="s">
        <v>956</v>
      </c>
      <c r="H84" s="661" t="s">
        <v>625</v>
      </c>
      <c r="I84" s="661" t="s">
        <v>957</v>
      </c>
      <c r="J84" s="661" t="s">
        <v>958</v>
      </c>
      <c r="K84" s="661" t="s">
        <v>959</v>
      </c>
      <c r="L84" s="662">
        <v>119.7</v>
      </c>
      <c r="M84" s="662">
        <v>239.4</v>
      </c>
      <c r="N84" s="661">
        <v>2</v>
      </c>
      <c r="O84" s="742">
        <v>0.5</v>
      </c>
      <c r="P84" s="662"/>
      <c r="Q84" s="677">
        <v>0</v>
      </c>
      <c r="R84" s="661"/>
      <c r="S84" s="677">
        <v>0</v>
      </c>
      <c r="T84" s="742"/>
      <c r="U84" s="700">
        <v>0</v>
      </c>
    </row>
    <row r="85" spans="1:21" ht="14.4" customHeight="1" x14ac:dyDescent="0.3">
      <c r="A85" s="660">
        <v>22</v>
      </c>
      <c r="B85" s="661" t="s">
        <v>530</v>
      </c>
      <c r="C85" s="661">
        <v>89301222</v>
      </c>
      <c r="D85" s="740" t="s">
        <v>1127</v>
      </c>
      <c r="E85" s="741" t="s">
        <v>792</v>
      </c>
      <c r="F85" s="661" t="s">
        <v>786</v>
      </c>
      <c r="G85" s="661" t="s">
        <v>960</v>
      </c>
      <c r="H85" s="661" t="s">
        <v>531</v>
      </c>
      <c r="I85" s="661" t="s">
        <v>961</v>
      </c>
      <c r="J85" s="661" t="s">
        <v>962</v>
      </c>
      <c r="K85" s="661" t="s">
        <v>963</v>
      </c>
      <c r="L85" s="662">
        <v>64.12</v>
      </c>
      <c r="M85" s="662">
        <v>64.12</v>
      </c>
      <c r="N85" s="661">
        <v>1</v>
      </c>
      <c r="O85" s="742">
        <v>0.5</v>
      </c>
      <c r="P85" s="662"/>
      <c r="Q85" s="677">
        <v>0</v>
      </c>
      <c r="R85" s="661"/>
      <c r="S85" s="677">
        <v>0</v>
      </c>
      <c r="T85" s="742"/>
      <c r="U85" s="700">
        <v>0</v>
      </c>
    </row>
    <row r="86" spans="1:21" ht="14.4" customHeight="1" x14ac:dyDescent="0.3">
      <c r="A86" s="660">
        <v>22</v>
      </c>
      <c r="B86" s="661" t="s">
        <v>530</v>
      </c>
      <c r="C86" s="661">
        <v>89301222</v>
      </c>
      <c r="D86" s="740" t="s">
        <v>1127</v>
      </c>
      <c r="E86" s="741" t="s">
        <v>792</v>
      </c>
      <c r="F86" s="661" t="s">
        <v>786</v>
      </c>
      <c r="G86" s="661" t="s">
        <v>964</v>
      </c>
      <c r="H86" s="661" t="s">
        <v>531</v>
      </c>
      <c r="I86" s="661" t="s">
        <v>965</v>
      </c>
      <c r="J86" s="661" t="s">
        <v>966</v>
      </c>
      <c r="K86" s="661" t="s">
        <v>967</v>
      </c>
      <c r="L86" s="662">
        <v>72.5</v>
      </c>
      <c r="M86" s="662">
        <v>72.5</v>
      </c>
      <c r="N86" s="661">
        <v>1</v>
      </c>
      <c r="O86" s="742">
        <v>0.5</v>
      </c>
      <c r="P86" s="662"/>
      <c r="Q86" s="677">
        <v>0</v>
      </c>
      <c r="R86" s="661"/>
      <c r="S86" s="677">
        <v>0</v>
      </c>
      <c r="T86" s="742"/>
      <c r="U86" s="700">
        <v>0</v>
      </c>
    </row>
    <row r="87" spans="1:21" ht="14.4" customHeight="1" x14ac:dyDescent="0.3">
      <c r="A87" s="660">
        <v>22</v>
      </c>
      <c r="B87" s="661" t="s">
        <v>530</v>
      </c>
      <c r="C87" s="661">
        <v>89301222</v>
      </c>
      <c r="D87" s="740" t="s">
        <v>1127</v>
      </c>
      <c r="E87" s="741" t="s">
        <v>792</v>
      </c>
      <c r="F87" s="661" t="s">
        <v>786</v>
      </c>
      <c r="G87" s="661" t="s">
        <v>968</v>
      </c>
      <c r="H87" s="661" t="s">
        <v>531</v>
      </c>
      <c r="I87" s="661" t="s">
        <v>969</v>
      </c>
      <c r="J87" s="661" t="s">
        <v>970</v>
      </c>
      <c r="K87" s="661" t="s">
        <v>971</v>
      </c>
      <c r="L87" s="662">
        <v>156.77000000000001</v>
      </c>
      <c r="M87" s="662">
        <v>783.85000000000014</v>
      </c>
      <c r="N87" s="661">
        <v>5</v>
      </c>
      <c r="O87" s="742">
        <v>1</v>
      </c>
      <c r="P87" s="662"/>
      <c r="Q87" s="677">
        <v>0</v>
      </c>
      <c r="R87" s="661"/>
      <c r="S87" s="677">
        <v>0</v>
      </c>
      <c r="T87" s="742"/>
      <c r="U87" s="700">
        <v>0</v>
      </c>
    </row>
    <row r="88" spans="1:21" ht="14.4" customHeight="1" x14ac:dyDescent="0.3">
      <c r="A88" s="660">
        <v>22</v>
      </c>
      <c r="B88" s="661" t="s">
        <v>530</v>
      </c>
      <c r="C88" s="661">
        <v>89301222</v>
      </c>
      <c r="D88" s="740" t="s">
        <v>1127</v>
      </c>
      <c r="E88" s="741" t="s">
        <v>792</v>
      </c>
      <c r="F88" s="661" t="s">
        <v>786</v>
      </c>
      <c r="G88" s="661" t="s">
        <v>822</v>
      </c>
      <c r="H88" s="661" t="s">
        <v>531</v>
      </c>
      <c r="I88" s="661" t="s">
        <v>823</v>
      </c>
      <c r="J88" s="661" t="s">
        <v>824</v>
      </c>
      <c r="K88" s="661"/>
      <c r="L88" s="662">
        <v>0</v>
      </c>
      <c r="M88" s="662">
        <v>0</v>
      </c>
      <c r="N88" s="661">
        <v>7</v>
      </c>
      <c r="O88" s="742">
        <v>6.5</v>
      </c>
      <c r="P88" s="662">
        <v>0</v>
      </c>
      <c r="Q88" s="677"/>
      <c r="R88" s="661">
        <v>6</v>
      </c>
      <c r="S88" s="677">
        <v>0.8571428571428571</v>
      </c>
      <c r="T88" s="742">
        <v>5.5</v>
      </c>
      <c r="U88" s="700">
        <v>0.84615384615384615</v>
      </c>
    </row>
    <row r="89" spans="1:21" ht="14.4" customHeight="1" x14ac:dyDescent="0.3">
      <c r="A89" s="660">
        <v>22</v>
      </c>
      <c r="B89" s="661" t="s">
        <v>530</v>
      </c>
      <c r="C89" s="661">
        <v>89301222</v>
      </c>
      <c r="D89" s="740" t="s">
        <v>1127</v>
      </c>
      <c r="E89" s="741" t="s">
        <v>792</v>
      </c>
      <c r="F89" s="661" t="s">
        <v>786</v>
      </c>
      <c r="G89" s="661" t="s">
        <v>904</v>
      </c>
      <c r="H89" s="661" t="s">
        <v>531</v>
      </c>
      <c r="I89" s="661" t="s">
        <v>972</v>
      </c>
      <c r="J89" s="661" t="s">
        <v>973</v>
      </c>
      <c r="K89" s="661" t="s">
        <v>974</v>
      </c>
      <c r="L89" s="662">
        <v>0</v>
      </c>
      <c r="M89" s="662">
        <v>0</v>
      </c>
      <c r="N89" s="661">
        <v>2</v>
      </c>
      <c r="O89" s="742">
        <v>0.5</v>
      </c>
      <c r="P89" s="662"/>
      <c r="Q89" s="677"/>
      <c r="R89" s="661"/>
      <c r="S89" s="677">
        <v>0</v>
      </c>
      <c r="T89" s="742"/>
      <c r="U89" s="700">
        <v>0</v>
      </c>
    </row>
    <row r="90" spans="1:21" ht="14.4" customHeight="1" x14ac:dyDescent="0.3">
      <c r="A90" s="660">
        <v>22</v>
      </c>
      <c r="B90" s="661" t="s">
        <v>530</v>
      </c>
      <c r="C90" s="661">
        <v>89301222</v>
      </c>
      <c r="D90" s="740" t="s">
        <v>1127</v>
      </c>
      <c r="E90" s="741" t="s">
        <v>792</v>
      </c>
      <c r="F90" s="661" t="s">
        <v>786</v>
      </c>
      <c r="G90" s="661" t="s">
        <v>975</v>
      </c>
      <c r="H90" s="661" t="s">
        <v>531</v>
      </c>
      <c r="I90" s="661" t="s">
        <v>976</v>
      </c>
      <c r="J90" s="661" t="s">
        <v>977</v>
      </c>
      <c r="K90" s="661" t="s">
        <v>978</v>
      </c>
      <c r="L90" s="662">
        <v>88.76</v>
      </c>
      <c r="M90" s="662">
        <v>266.28000000000003</v>
      </c>
      <c r="N90" s="661">
        <v>3</v>
      </c>
      <c r="O90" s="742">
        <v>0.5</v>
      </c>
      <c r="P90" s="662">
        <v>266.28000000000003</v>
      </c>
      <c r="Q90" s="677">
        <v>1</v>
      </c>
      <c r="R90" s="661">
        <v>3</v>
      </c>
      <c r="S90" s="677">
        <v>1</v>
      </c>
      <c r="T90" s="742">
        <v>0.5</v>
      </c>
      <c r="U90" s="700">
        <v>1</v>
      </c>
    </row>
    <row r="91" spans="1:21" ht="14.4" customHeight="1" x14ac:dyDescent="0.3">
      <c r="A91" s="660">
        <v>22</v>
      </c>
      <c r="B91" s="661" t="s">
        <v>530</v>
      </c>
      <c r="C91" s="661">
        <v>89301222</v>
      </c>
      <c r="D91" s="740" t="s">
        <v>1127</v>
      </c>
      <c r="E91" s="741" t="s">
        <v>792</v>
      </c>
      <c r="F91" s="661" t="s">
        <v>786</v>
      </c>
      <c r="G91" s="661" t="s">
        <v>801</v>
      </c>
      <c r="H91" s="661" t="s">
        <v>625</v>
      </c>
      <c r="I91" s="661" t="s">
        <v>908</v>
      </c>
      <c r="J91" s="661" t="s">
        <v>909</v>
      </c>
      <c r="K91" s="661" t="s">
        <v>910</v>
      </c>
      <c r="L91" s="662">
        <v>0</v>
      </c>
      <c r="M91" s="662">
        <v>0</v>
      </c>
      <c r="N91" s="661">
        <v>1</v>
      </c>
      <c r="O91" s="742">
        <v>1</v>
      </c>
      <c r="P91" s="662"/>
      <c r="Q91" s="677"/>
      <c r="R91" s="661"/>
      <c r="S91" s="677">
        <v>0</v>
      </c>
      <c r="T91" s="742"/>
      <c r="U91" s="700">
        <v>0</v>
      </c>
    </row>
    <row r="92" spans="1:21" ht="14.4" customHeight="1" x14ac:dyDescent="0.3">
      <c r="A92" s="660">
        <v>22</v>
      </c>
      <c r="B92" s="661" t="s">
        <v>530</v>
      </c>
      <c r="C92" s="661">
        <v>89301222</v>
      </c>
      <c r="D92" s="740" t="s">
        <v>1127</v>
      </c>
      <c r="E92" s="741" t="s">
        <v>792</v>
      </c>
      <c r="F92" s="661" t="s">
        <v>786</v>
      </c>
      <c r="G92" s="661" t="s">
        <v>801</v>
      </c>
      <c r="H92" s="661" t="s">
        <v>625</v>
      </c>
      <c r="I92" s="661" t="s">
        <v>911</v>
      </c>
      <c r="J92" s="661" t="s">
        <v>912</v>
      </c>
      <c r="K92" s="661" t="s">
        <v>913</v>
      </c>
      <c r="L92" s="662">
        <v>0</v>
      </c>
      <c r="M92" s="662">
        <v>0</v>
      </c>
      <c r="N92" s="661">
        <v>2</v>
      </c>
      <c r="O92" s="742">
        <v>2</v>
      </c>
      <c r="P92" s="662">
        <v>0</v>
      </c>
      <c r="Q92" s="677"/>
      <c r="R92" s="661">
        <v>1</v>
      </c>
      <c r="S92" s="677">
        <v>0.5</v>
      </c>
      <c r="T92" s="742">
        <v>1</v>
      </c>
      <c r="U92" s="700">
        <v>0.5</v>
      </c>
    </row>
    <row r="93" spans="1:21" ht="14.4" customHeight="1" x14ac:dyDescent="0.3">
      <c r="A93" s="660">
        <v>22</v>
      </c>
      <c r="B93" s="661" t="s">
        <v>530</v>
      </c>
      <c r="C93" s="661">
        <v>89301222</v>
      </c>
      <c r="D93" s="740" t="s">
        <v>1127</v>
      </c>
      <c r="E93" s="741" t="s">
        <v>792</v>
      </c>
      <c r="F93" s="661" t="s">
        <v>786</v>
      </c>
      <c r="G93" s="661" t="s">
        <v>801</v>
      </c>
      <c r="H93" s="661" t="s">
        <v>531</v>
      </c>
      <c r="I93" s="661" t="s">
        <v>825</v>
      </c>
      <c r="J93" s="661" t="s">
        <v>826</v>
      </c>
      <c r="K93" s="661" t="s">
        <v>827</v>
      </c>
      <c r="L93" s="662">
        <v>0</v>
      </c>
      <c r="M93" s="662">
        <v>0</v>
      </c>
      <c r="N93" s="661">
        <v>4</v>
      </c>
      <c r="O93" s="742">
        <v>3</v>
      </c>
      <c r="P93" s="662">
        <v>0</v>
      </c>
      <c r="Q93" s="677"/>
      <c r="R93" s="661">
        <v>2</v>
      </c>
      <c r="S93" s="677">
        <v>0.5</v>
      </c>
      <c r="T93" s="742">
        <v>1.5</v>
      </c>
      <c r="U93" s="700">
        <v>0.5</v>
      </c>
    </row>
    <row r="94" spans="1:21" ht="14.4" customHeight="1" x14ac:dyDescent="0.3">
      <c r="A94" s="660">
        <v>22</v>
      </c>
      <c r="B94" s="661" t="s">
        <v>530</v>
      </c>
      <c r="C94" s="661">
        <v>89301222</v>
      </c>
      <c r="D94" s="740" t="s">
        <v>1127</v>
      </c>
      <c r="E94" s="741" t="s">
        <v>792</v>
      </c>
      <c r="F94" s="661" t="s">
        <v>786</v>
      </c>
      <c r="G94" s="661" t="s">
        <v>801</v>
      </c>
      <c r="H94" s="661" t="s">
        <v>625</v>
      </c>
      <c r="I94" s="661" t="s">
        <v>828</v>
      </c>
      <c r="J94" s="661" t="s">
        <v>829</v>
      </c>
      <c r="K94" s="661" t="s">
        <v>830</v>
      </c>
      <c r="L94" s="662">
        <v>0</v>
      </c>
      <c r="M94" s="662">
        <v>0</v>
      </c>
      <c r="N94" s="661">
        <v>7</v>
      </c>
      <c r="O94" s="742">
        <v>7</v>
      </c>
      <c r="P94" s="662">
        <v>0</v>
      </c>
      <c r="Q94" s="677"/>
      <c r="R94" s="661">
        <v>3</v>
      </c>
      <c r="S94" s="677">
        <v>0.42857142857142855</v>
      </c>
      <c r="T94" s="742">
        <v>3</v>
      </c>
      <c r="U94" s="700">
        <v>0.42857142857142855</v>
      </c>
    </row>
    <row r="95" spans="1:21" ht="14.4" customHeight="1" x14ac:dyDescent="0.3">
      <c r="A95" s="660">
        <v>22</v>
      </c>
      <c r="B95" s="661" t="s">
        <v>530</v>
      </c>
      <c r="C95" s="661">
        <v>89301222</v>
      </c>
      <c r="D95" s="740" t="s">
        <v>1127</v>
      </c>
      <c r="E95" s="741" t="s">
        <v>792</v>
      </c>
      <c r="F95" s="661" t="s">
        <v>786</v>
      </c>
      <c r="G95" s="661" t="s">
        <v>801</v>
      </c>
      <c r="H95" s="661" t="s">
        <v>531</v>
      </c>
      <c r="I95" s="661" t="s">
        <v>914</v>
      </c>
      <c r="J95" s="661" t="s">
        <v>915</v>
      </c>
      <c r="K95" s="661" t="s">
        <v>853</v>
      </c>
      <c r="L95" s="662">
        <v>82.99</v>
      </c>
      <c r="M95" s="662">
        <v>663.92</v>
      </c>
      <c r="N95" s="661">
        <v>8</v>
      </c>
      <c r="O95" s="742">
        <v>5</v>
      </c>
      <c r="P95" s="662">
        <v>82.99</v>
      </c>
      <c r="Q95" s="677">
        <v>0.125</v>
      </c>
      <c r="R95" s="661">
        <v>1</v>
      </c>
      <c r="S95" s="677">
        <v>0.125</v>
      </c>
      <c r="T95" s="742">
        <v>1</v>
      </c>
      <c r="U95" s="700">
        <v>0.2</v>
      </c>
    </row>
    <row r="96" spans="1:21" ht="14.4" customHeight="1" x14ac:dyDescent="0.3">
      <c r="A96" s="660">
        <v>22</v>
      </c>
      <c r="B96" s="661" t="s">
        <v>530</v>
      </c>
      <c r="C96" s="661">
        <v>89301222</v>
      </c>
      <c r="D96" s="740" t="s">
        <v>1127</v>
      </c>
      <c r="E96" s="741" t="s">
        <v>792</v>
      </c>
      <c r="F96" s="661" t="s">
        <v>786</v>
      </c>
      <c r="G96" s="661" t="s">
        <v>801</v>
      </c>
      <c r="H96" s="661" t="s">
        <v>625</v>
      </c>
      <c r="I96" s="661" t="s">
        <v>641</v>
      </c>
      <c r="J96" s="661" t="s">
        <v>642</v>
      </c>
      <c r="K96" s="661" t="s">
        <v>643</v>
      </c>
      <c r="L96" s="662">
        <v>103.74</v>
      </c>
      <c r="M96" s="662">
        <v>103.74</v>
      </c>
      <c r="N96" s="661">
        <v>1</v>
      </c>
      <c r="O96" s="742">
        <v>1</v>
      </c>
      <c r="P96" s="662"/>
      <c r="Q96" s="677">
        <v>0</v>
      </c>
      <c r="R96" s="661"/>
      <c r="S96" s="677">
        <v>0</v>
      </c>
      <c r="T96" s="742"/>
      <c r="U96" s="700">
        <v>0</v>
      </c>
    </row>
    <row r="97" spans="1:21" ht="14.4" customHeight="1" x14ac:dyDescent="0.3">
      <c r="A97" s="660">
        <v>22</v>
      </c>
      <c r="B97" s="661" t="s">
        <v>530</v>
      </c>
      <c r="C97" s="661">
        <v>89301222</v>
      </c>
      <c r="D97" s="740" t="s">
        <v>1127</v>
      </c>
      <c r="E97" s="741" t="s">
        <v>792</v>
      </c>
      <c r="F97" s="661" t="s">
        <v>786</v>
      </c>
      <c r="G97" s="661" t="s">
        <v>801</v>
      </c>
      <c r="H97" s="661" t="s">
        <v>625</v>
      </c>
      <c r="I97" s="661" t="s">
        <v>979</v>
      </c>
      <c r="J97" s="661" t="s">
        <v>834</v>
      </c>
      <c r="K97" s="661" t="s">
        <v>980</v>
      </c>
      <c r="L97" s="662">
        <v>62.24</v>
      </c>
      <c r="M97" s="662">
        <v>62.24</v>
      </c>
      <c r="N97" s="661">
        <v>1</v>
      </c>
      <c r="O97" s="742">
        <v>0.5</v>
      </c>
      <c r="P97" s="662">
        <v>62.24</v>
      </c>
      <c r="Q97" s="677">
        <v>1</v>
      </c>
      <c r="R97" s="661">
        <v>1</v>
      </c>
      <c r="S97" s="677">
        <v>1</v>
      </c>
      <c r="T97" s="742">
        <v>0.5</v>
      </c>
      <c r="U97" s="700">
        <v>1</v>
      </c>
    </row>
    <row r="98" spans="1:21" ht="14.4" customHeight="1" x14ac:dyDescent="0.3">
      <c r="A98" s="660">
        <v>22</v>
      </c>
      <c r="B98" s="661" t="s">
        <v>530</v>
      </c>
      <c r="C98" s="661">
        <v>89301222</v>
      </c>
      <c r="D98" s="740" t="s">
        <v>1127</v>
      </c>
      <c r="E98" s="741" t="s">
        <v>792</v>
      </c>
      <c r="F98" s="661" t="s">
        <v>786</v>
      </c>
      <c r="G98" s="661" t="s">
        <v>801</v>
      </c>
      <c r="H98" s="661" t="s">
        <v>625</v>
      </c>
      <c r="I98" s="661" t="s">
        <v>833</v>
      </c>
      <c r="J98" s="661" t="s">
        <v>834</v>
      </c>
      <c r="K98" s="661" t="s">
        <v>835</v>
      </c>
      <c r="L98" s="662">
        <v>62.24</v>
      </c>
      <c r="M98" s="662">
        <v>62.24</v>
      </c>
      <c r="N98" s="661">
        <v>1</v>
      </c>
      <c r="O98" s="742">
        <v>0.5</v>
      </c>
      <c r="P98" s="662"/>
      <c r="Q98" s="677">
        <v>0</v>
      </c>
      <c r="R98" s="661"/>
      <c r="S98" s="677">
        <v>0</v>
      </c>
      <c r="T98" s="742"/>
      <c r="U98" s="700">
        <v>0</v>
      </c>
    </row>
    <row r="99" spans="1:21" ht="14.4" customHeight="1" x14ac:dyDescent="0.3">
      <c r="A99" s="660">
        <v>22</v>
      </c>
      <c r="B99" s="661" t="s">
        <v>530</v>
      </c>
      <c r="C99" s="661">
        <v>89301222</v>
      </c>
      <c r="D99" s="740" t="s">
        <v>1127</v>
      </c>
      <c r="E99" s="741" t="s">
        <v>792</v>
      </c>
      <c r="F99" s="661" t="s">
        <v>786</v>
      </c>
      <c r="G99" s="661" t="s">
        <v>801</v>
      </c>
      <c r="H99" s="661" t="s">
        <v>625</v>
      </c>
      <c r="I99" s="661" t="s">
        <v>802</v>
      </c>
      <c r="J99" s="661" t="s">
        <v>642</v>
      </c>
      <c r="K99" s="661" t="s">
        <v>643</v>
      </c>
      <c r="L99" s="662">
        <v>103.74</v>
      </c>
      <c r="M99" s="662">
        <v>726.18</v>
      </c>
      <c r="N99" s="661">
        <v>7</v>
      </c>
      <c r="O99" s="742">
        <v>6</v>
      </c>
      <c r="P99" s="662">
        <v>207.48</v>
      </c>
      <c r="Q99" s="677">
        <v>0.2857142857142857</v>
      </c>
      <c r="R99" s="661">
        <v>2</v>
      </c>
      <c r="S99" s="677">
        <v>0.2857142857142857</v>
      </c>
      <c r="T99" s="742">
        <v>1</v>
      </c>
      <c r="U99" s="700">
        <v>0.16666666666666666</v>
      </c>
    </row>
    <row r="100" spans="1:21" ht="14.4" customHeight="1" x14ac:dyDescent="0.3">
      <c r="A100" s="660">
        <v>22</v>
      </c>
      <c r="B100" s="661" t="s">
        <v>530</v>
      </c>
      <c r="C100" s="661">
        <v>89301222</v>
      </c>
      <c r="D100" s="740" t="s">
        <v>1127</v>
      </c>
      <c r="E100" s="741" t="s">
        <v>792</v>
      </c>
      <c r="F100" s="661" t="s">
        <v>786</v>
      </c>
      <c r="G100" s="661" t="s">
        <v>801</v>
      </c>
      <c r="H100" s="661" t="s">
        <v>625</v>
      </c>
      <c r="I100" s="661" t="s">
        <v>981</v>
      </c>
      <c r="J100" s="661" t="s">
        <v>982</v>
      </c>
      <c r="K100" s="661" t="s">
        <v>983</v>
      </c>
      <c r="L100" s="662">
        <v>62.24</v>
      </c>
      <c r="M100" s="662">
        <v>62.24</v>
      </c>
      <c r="N100" s="661">
        <v>1</v>
      </c>
      <c r="O100" s="742">
        <v>1</v>
      </c>
      <c r="P100" s="662"/>
      <c r="Q100" s="677">
        <v>0</v>
      </c>
      <c r="R100" s="661"/>
      <c r="S100" s="677">
        <v>0</v>
      </c>
      <c r="T100" s="742"/>
      <c r="U100" s="700">
        <v>0</v>
      </c>
    </row>
    <row r="101" spans="1:21" ht="14.4" customHeight="1" x14ac:dyDescent="0.3">
      <c r="A101" s="660">
        <v>22</v>
      </c>
      <c r="B101" s="661" t="s">
        <v>530</v>
      </c>
      <c r="C101" s="661">
        <v>89301222</v>
      </c>
      <c r="D101" s="740" t="s">
        <v>1127</v>
      </c>
      <c r="E101" s="741" t="s">
        <v>792</v>
      </c>
      <c r="F101" s="661" t="s">
        <v>786</v>
      </c>
      <c r="G101" s="661" t="s">
        <v>801</v>
      </c>
      <c r="H101" s="661" t="s">
        <v>625</v>
      </c>
      <c r="I101" s="661" t="s">
        <v>803</v>
      </c>
      <c r="J101" s="661" t="s">
        <v>804</v>
      </c>
      <c r="K101" s="661" t="s">
        <v>805</v>
      </c>
      <c r="L101" s="662">
        <v>124.49</v>
      </c>
      <c r="M101" s="662">
        <v>4232.6599999999989</v>
      </c>
      <c r="N101" s="661">
        <v>34</v>
      </c>
      <c r="O101" s="742">
        <v>27.5</v>
      </c>
      <c r="P101" s="662">
        <v>2614.2899999999991</v>
      </c>
      <c r="Q101" s="677">
        <v>0.61764705882352933</v>
      </c>
      <c r="R101" s="661">
        <v>21</v>
      </c>
      <c r="S101" s="677">
        <v>0.61764705882352944</v>
      </c>
      <c r="T101" s="742">
        <v>16</v>
      </c>
      <c r="U101" s="700">
        <v>0.58181818181818179</v>
      </c>
    </row>
    <row r="102" spans="1:21" ht="14.4" customHeight="1" x14ac:dyDescent="0.3">
      <c r="A102" s="660">
        <v>22</v>
      </c>
      <c r="B102" s="661" t="s">
        <v>530</v>
      </c>
      <c r="C102" s="661">
        <v>89301222</v>
      </c>
      <c r="D102" s="740" t="s">
        <v>1127</v>
      </c>
      <c r="E102" s="741" t="s">
        <v>792</v>
      </c>
      <c r="F102" s="661" t="s">
        <v>786</v>
      </c>
      <c r="G102" s="661" t="s">
        <v>801</v>
      </c>
      <c r="H102" s="661" t="s">
        <v>625</v>
      </c>
      <c r="I102" s="661" t="s">
        <v>916</v>
      </c>
      <c r="J102" s="661" t="s">
        <v>639</v>
      </c>
      <c r="K102" s="661" t="s">
        <v>917</v>
      </c>
      <c r="L102" s="662">
        <v>48.37</v>
      </c>
      <c r="M102" s="662">
        <v>96.74</v>
      </c>
      <c r="N102" s="661">
        <v>2</v>
      </c>
      <c r="O102" s="742">
        <v>1.5</v>
      </c>
      <c r="P102" s="662">
        <v>48.37</v>
      </c>
      <c r="Q102" s="677">
        <v>0.5</v>
      </c>
      <c r="R102" s="661">
        <v>1</v>
      </c>
      <c r="S102" s="677">
        <v>0.5</v>
      </c>
      <c r="T102" s="742">
        <v>0.5</v>
      </c>
      <c r="U102" s="700">
        <v>0.33333333333333331</v>
      </c>
    </row>
    <row r="103" spans="1:21" ht="14.4" customHeight="1" x14ac:dyDescent="0.3">
      <c r="A103" s="660">
        <v>22</v>
      </c>
      <c r="B103" s="661" t="s">
        <v>530</v>
      </c>
      <c r="C103" s="661">
        <v>89301222</v>
      </c>
      <c r="D103" s="740" t="s">
        <v>1127</v>
      </c>
      <c r="E103" s="741" t="s">
        <v>792</v>
      </c>
      <c r="F103" s="661" t="s">
        <v>786</v>
      </c>
      <c r="G103" s="661" t="s">
        <v>801</v>
      </c>
      <c r="H103" s="661" t="s">
        <v>625</v>
      </c>
      <c r="I103" s="661" t="s">
        <v>631</v>
      </c>
      <c r="J103" s="661" t="s">
        <v>632</v>
      </c>
      <c r="K103" s="661" t="s">
        <v>768</v>
      </c>
      <c r="L103" s="662">
        <v>82.99</v>
      </c>
      <c r="M103" s="662">
        <v>2904.6499999999996</v>
      </c>
      <c r="N103" s="661">
        <v>35</v>
      </c>
      <c r="O103" s="742">
        <v>23</v>
      </c>
      <c r="P103" s="662">
        <v>2157.7399999999998</v>
      </c>
      <c r="Q103" s="677">
        <v>0.74285714285714288</v>
      </c>
      <c r="R103" s="661">
        <v>26</v>
      </c>
      <c r="S103" s="677">
        <v>0.74285714285714288</v>
      </c>
      <c r="T103" s="742">
        <v>16.5</v>
      </c>
      <c r="U103" s="700">
        <v>0.71739130434782605</v>
      </c>
    </row>
    <row r="104" spans="1:21" ht="14.4" customHeight="1" x14ac:dyDescent="0.3">
      <c r="A104" s="660">
        <v>22</v>
      </c>
      <c r="B104" s="661" t="s">
        <v>530</v>
      </c>
      <c r="C104" s="661">
        <v>89301222</v>
      </c>
      <c r="D104" s="740" t="s">
        <v>1127</v>
      </c>
      <c r="E104" s="741" t="s">
        <v>792</v>
      </c>
      <c r="F104" s="661" t="s">
        <v>786</v>
      </c>
      <c r="G104" s="661" t="s">
        <v>801</v>
      </c>
      <c r="H104" s="661" t="s">
        <v>625</v>
      </c>
      <c r="I104" s="661" t="s">
        <v>635</v>
      </c>
      <c r="J104" s="661" t="s">
        <v>769</v>
      </c>
      <c r="K104" s="661" t="s">
        <v>770</v>
      </c>
      <c r="L104" s="662">
        <v>48.37</v>
      </c>
      <c r="M104" s="662">
        <v>48.37</v>
      </c>
      <c r="N104" s="661">
        <v>1</v>
      </c>
      <c r="O104" s="742">
        <v>0.5</v>
      </c>
      <c r="P104" s="662"/>
      <c r="Q104" s="677">
        <v>0</v>
      </c>
      <c r="R104" s="661"/>
      <c r="S104" s="677">
        <v>0</v>
      </c>
      <c r="T104" s="742"/>
      <c r="U104" s="700">
        <v>0</v>
      </c>
    </row>
    <row r="105" spans="1:21" ht="14.4" customHeight="1" x14ac:dyDescent="0.3">
      <c r="A105" s="660">
        <v>22</v>
      </c>
      <c r="B105" s="661" t="s">
        <v>530</v>
      </c>
      <c r="C105" s="661">
        <v>89301222</v>
      </c>
      <c r="D105" s="740" t="s">
        <v>1127</v>
      </c>
      <c r="E105" s="741" t="s">
        <v>792</v>
      </c>
      <c r="F105" s="661" t="s">
        <v>786</v>
      </c>
      <c r="G105" s="661" t="s">
        <v>801</v>
      </c>
      <c r="H105" s="661" t="s">
        <v>625</v>
      </c>
      <c r="I105" s="661" t="s">
        <v>849</v>
      </c>
      <c r="J105" s="661" t="s">
        <v>850</v>
      </c>
      <c r="K105" s="661" t="s">
        <v>805</v>
      </c>
      <c r="L105" s="662">
        <v>124.49</v>
      </c>
      <c r="M105" s="662">
        <v>248.98</v>
      </c>
      <c r="N105" s="661">
        <v>2</v>
      </c>
      <c r="O105" s="742">
        <v>1.5</v>
      </c>
      <c r="P105" s="662">
        <v>248.98</v>
      </c>
      <c r="Q105" s="677">
        <v>1</v>
      </c>
      <c r="R105" s="661">
        <v>2</v>
      </c>
      <c r="S105" s="677">
        <v>1</v>
      </c>
      <c r="T105" s="742">
        <v>1.5</v>
      </c>
      <c r="U105" s="700">
        <v>1</v>
      </c>
    </row>
    <row r="106" spans="1:21" ht="14.4" customHeight="1" x14ac:dyDescent="0.3">
      <c r="A106" s="660">
        <v>22</v>
      </c>
      <c r="B106" s="661" t="s">
        <v>530</v>
      </c>
      <c r="C106" s="661">
        <v>89301222</v>
      </c>
      <c r="D106" s="740" t="s">
        <v>1127</v>
      </c>
      <c r="E106" s="741" t="s">
        <v>792</v>
      </c>
      <c r="F106" s="661" t="s">
        <v>786</v>
      </c>
      <c r="G106" s="661" t="s">
        <v>801</v>
      </c>
      <c r="H106" s="661" t="s">
        <v>531</v>
      </c>
      <c r="I106" s="661" t="s">
        <v>851</v>
      </c>
      <c r="J106" s="661" t="s">
        <v>852</v>
      </c>
      <c r="K106" s="661" t="s">
        <v>853</v>
      </c>
      <c r="L106" s="662">
        <v>82.99</v>
      </c>
      <c r="M106" s="662">
        <v>663.92</v>
      </c>
      <c r="N106" s="661">
        <v>8</v>
      </c>
      <c r="O106" s="742">
        <v>7</v>
      </c>
      <c r="P106" s="662">
        <v>331.96</v>
      </c>
      <c r="Q106" s="677">
        <v>0.5</v>
      </c>
      <c r="R106" s="661">
        <v>4</v>
      </c>
      <c r="S106" s="677">
        <v>0.5</v>
      </c>
      <c r="T106" s="742">
        <v>3</v>
      </c>
      <c r="U106" s="700">
        <v>0.42857142857142855</v>
      </c>
    </row>
    <row r="107" spans="1:21" ht="14.4" customHeight="1" x14ac:dyDescent="0.3">
      <c r="A107" s="660">
        <v>22</v>
      </c>
      <c r="B107" s="661" t="s">
        <v>530</v>
      </c>
      <c r="C107" s="661">
        <v>89301222</v>
      </c>
      <c r="D107" s="740" t="s">
        <v>1127</v>
      </c>
      <c r="E107" s="741" t="s">
        <v>792</v>
      </c>
      <c r="F107" s="661" t="s">
        <v>786</v>
      </c>
      <c r="G107" s="661" t="s">
        <v>801</v>
      </c>
      <c r="H107" s="661" t="s">
        <v>625</v>
      </c>
      <c r="I107" s="661" t="s">
        <v>918</v>
      </c>
      <c r="J107" s="661" t="s">
        <v>850</v>
      </c>
      <c r="K107" s="661" t="s">
        <v>855</v>
      </c>
      <c r="L107" s="662">
        <v>0</v>
      </c>
      <c r="M107" s="662">
        <v>0</v>
      </c>
      <c r="N107" s="661">
        <v>3</v>
      </c>
      <c r="O107" s="742">
        <v>2</v>
      </c>
      <c r="P107" s="662">
        <v>0</v>
      </c>
      <c r="Q107" s="677"/>
      <c r="R107" s="661">
        <v>2</v>
      </c>
      <c r="S107" s="677">
        <v>0.66666666666666663</v>
      </c>
      <c r="T107" s="742">
        <v>1</v>
      </c>
      <c r="U107" s="700">
        <v>0.5</v>
      </c>
    </row>
    <row r="108" spans="1:21" ht="14.4" customHeight="1" x14ac:dyDescent="0.3">
      <c r="A108" s="660">
        <v>22</v>
      </c>
      <c r="B108" s="661" t="s">
        <v>530</v>
      </c>
      <c r="C108" s="661">
        <v>89301222</v>
      </c>
      <c r="D108" s="740" t="s">
        <v>1127</v>
      </c>
      <c r="E108" s="741" t="s">
        <v>792</v>
      </c>
      <c r="F108" s="661" t="s">
        <v>786</v>
      </c>
      <c r="G108" s="661" t="s">
        <v>984</v>
      </c>
      <c r="H108" s="661" t="s">
        <v>625</v>
      </c>
      <c r="I108" s="661" t="s">
        <v>985</v>
      </c>
      <c r="J108" s="661" t="s">
        <v>986</v>
      </c>
      <c r="K108" s="661" t="s">
        <v>987</v>
      </c>
      <c r="L108" s="662">
        <v>0</v>
      </c>
      <c r="M108" s="662">
        <v>0</v>
      </c>
      <c r="N108" s="661">
        <v>1</v>
      </c>
      <c r="O108" s="742">
        <v>0.5</v>
      </c>
      <c r="P108" s="662"/>
      <c r="Q108" s="677"/>
      <c r="R108" s="661"/>
      <c r="S108" s="677">
        <v>0</v>
      </c>
      <c r="T108" s="742"/>
      <c r="U108" s="700">
        <v>0</v>
      </c>
    </row>
    <row r="109" spans="1:21" ht="14.4" customHeight="1" x14ac:dyDescent="0.3">
      <c r="A109" s="660">
        <v>22</v>
      </c>
      <c r="B109" s="661" t="s">
        <v>530</v>
      </c>
      <c r="C109" s="661">
        <v>89301222</v>
      </c>
      <c r="D109" s="740" t="s">
        <v>1127</v>
      </c>
      <c r="E109" s="741" t="s">
        <v>792</v>
      </c>
      <c r="F109" s="661" t="s">
        <v>786</v>
      </c>
      <c r="G109" s="661" t="s">
        <v>988</v>
      </c>
      <c r="H109" s="661" t="s">
        <v>531</v>
      </c>
      <c r="I109" s="661" t="s">
        <v>989</v>
      </c>
      <c r="J109" s="661" t="s">
        <v>990</v>
      </c>
      <c r="K109" s="661" t="s">
        <v>991</v>
      </c>
      <c r="L109" s="662">
        <v>54.55</v>
      </c>
      <c r="M109" s="662">
        <v>54.55</v>
      </c>
      <c r="N109" s="661">
        <v>1</v>
      </c>
      <c r="O109" s="742">
        <v>1</v>
      </c>
      <c r="P109" s="662">
        <v>54.55</v>
      </c>
      <c r="Q109" s="677">
        <v>1</v>
      </c>
      <c r="R109" s="661">
        <v>1</v>
      </c>
      <c r="S109" s="677">
        <v>1</v>
      </c>
      <c r="T109" s="742">
        <v>1</v>
      </c>
      <c r="U109" s="700">
        <v>1</v>
      </c>
    </row>
    <row r="110" spans="1:21" ht="14.4" customHeight="1" x14ac:dyDescent="0.3">
      <c r="A110" s="660">
        <v>22</v>
      </c>
      <c r="B110" s="661" t="s">
        <v>530</v>
      </c>
      <c r="C110" s="661">
        <v>89301222</v>
      </c>
      <c r="D110" s="740" t="s">
        <v>1127</v>
      </c>
      <c r="E110" s="741" t="s">
        <v>792</v>
      </c>
      <c r="F110" s="661" t="s">
        <v>786</v>
      </c>
      <c r="G110" s="661" t="s">
        <v>992</v>
      </c>
      <c r="H110" s="661" t="s">
        <v>531</v>
      </c>
      <c r="I110" s="661" t="s">
        <v>993</v>
      </c>
      <c r="J110" s="661" t="s">
        <v>994</v>
      </c>
      <c r="K110" s="661" t="s">
        <v>995</v>
      </c>
      <c r="L110" s="662">
        <v>0</v>
      </c>
      <c r="M110" s="662">
        <v>0</v>
      </c>
      <c r="N110" s="661">
        <v>1</v>
      </c>
      <c r="O110" s="742">
        <v>1</v>
      </c>
      <c r="P110" s="662">
        <v>0</v>
      </c>
      <c r="Q110" s="677"/>
      <c r="R110" s="661">
        <v>1</v>
      </c>
      <c r="S110" s="677">
        <v>1</v>
      </c>
      <c r="T110" s="742">
        <v>1</v>
      </c>
      <c r="U110" s="700">
        <v>1</v>
      </c>
    </row>
    <row r="111" spans="1:21" ht="14.4" customHeight="1" x14ac:dyDescent="0.3">
      <c r="A111" s="660">
        <v>22</v>
      </c>
      <c r="B111" s="661" t="s">
        <v>530</v>
      </c>
      <c r="C111" s="661">
        <v>89301222</v>
      </c>
      <c r="D111" s="740" t="s">
        <v>1127</v>
      </c>
      <c r="E111" s="741" t="s">
        <v>792</v>
      </c>
      <c r="F111" s="661" t="s">
        <v>786</v>
      </c>
      <c r="G111" s="661" t="s">
        <v>996</v>
      </c>
      <c r="H111" s="661" t="s">
        <v>531</v>
      </c>
      <c r="I111" s="661" t="s">
        <v>997</v>
      </c>
      <c r="J111" s="661" t="s">
        <v>998</v>
      </c>
      <c r="K111" s="661" t="s">
        <v>999</v>
      </c>
      <c r="L111" s="662">
        <v>131.08000000000001</v>
      </c>
      <c r="M111" s="662">
        <v>131.08000000000001</v>
      </c>
      <c r="N111" s="661">
        <v>1</v>
      </c>
      <c r="O111" s="742">
        <v>1</v>
      </c>
      <c r="P111" s="662"/>
      <c r="Q111" s="677">
        <v>0</v>
      </c>
      <c r="R111" s="661"/>
      <c r="S111" s="677">
        <v>0</v>
      </c>
      <c r="T111" s="742"/>
      <c r="U111" s="700">
        <v>0</v>
      </c>
    </row>
    <row r="112" spans="1:21" ht="14.4" customHeight="1" x14ac:dyDescent="0.3">
      <c r="A112" s="660">
        <v>22</v>
      </c>
      <c r="B112" s="661" t="s">
        <v>530</v>
      </c>
      <c r="C112" s="661">
        <v>89301222</v>
      </c>
      <c r="D112" s="740" t="s">
        <v>1127</v>
      </c>
      <c r="E112" s="741" t="s">
        <v>792</v>
      </c>
      <c r="F112" s="661" t="s">
        <v>786</v>
      </c>
      <c r="G112" s="661" t="s">
        <v>813</v>
      </c>
      <c r="H112" s="661" t="s">
        <v>531</v>
      </c>
      <c r="I112" s="661" t="s">
        <v>814</v>
      </c>
      <c r="J112" s="661" t="s">
        <v>815</v>
      </c>
      <c r="K112" s="661" t="s">
        <v>816</v>
      </c>
      <c r="L112" s="662">
        <v>0</v>
      </c>
      <c r="M112" s="662">
        <v>0</v>
      </c>
      <c r="N112" s="661">
        <v>3</v>
      </c>
      <c r="O112" s="742">
        <v>1</v>
      </c>
      <c r="P112" s="662">
        <v>0</v>
      </c>
      <c r="Q112" s="677"/>
      <c r="R112" s="661">
        <v>3</v>
      </c>
      <c r="S112" s="677">
        <v>1</v>
      </c>
      <c r="T112" s="742">
        <v>1</v>
      </c>
      <c r="U112" s="700">
        <v>1</v>
      </c>
    </row>
    <row r="113" spans="1:21" ht="14.4" customHeight="1" x14ac:dyDescent="0.3">
      <c r="A113" s="660">
        <v>22</v>
      </c>
      <c r="B113" s="661" t="s">
        <v>530</v>
      </c>
      <c r="C113" s="661">
        <v>89301222</v>
      </c>
      <c r="D113" s="740" t="s">
        <v>1127</v>
      </c>
      <c r="E113" s="741" t="s">
        <v>792</v>
      </c>
      <c r="F113" s="661" t="s">
        <v>786</v>
      </c>
      <c r="G113" s="661" t="s">
        <v>948</v>
      </c>
      <c r="H113" s="661" t="s">
        <v>531</v>
      </c>
      <c r="I113" s="661" t="s">
        <v>952</v>
      </c>
      <c r="J113" s="661" t="s">
        <v>953</v>
      </c>
      <c r="K113" s="661" t="s">
        <v>951</v>
      </c>
      <c r="L113" s="662">
        <v>0</v>
      </c>
      <c r="M113" s="662">
        <v>0</v>
      </c>
      <c r="N113" s="661">
        <v>2</v>
      </c>
      <c r="O113" s="742">
        <v>0.5</v>
      </c>
      <c r="P113" s="662">
        <v>0</v>
      </c>
      <c r="Q113" s="677"/>
      <c r="R113" s="661">
        <v>2</v>
      </c>
      <c r="S113" s="677">
        <v>1</v>
      </c>
      <c r="T113" s="742">
        <v>0.5</v>
      </c>
      <c r="U113" s="700">
        <v>1</v>
      </c>
    </row>
    <row r="114" spans="1:21" ht="14.4" customHeight="1" x14ac:dyDescent="0.3">
      <c r="A114" s="660">
        <v>22</v>
      </c>
      <c r="B114" s="661" t="s">
        <v>530</v>
      </c>
      <c r="C114" s="661">
        <v>89301222</v>
      </c>
      <c r="D114" s="740" t="s">
        <v>1127</v>
      </c>
      <c r="E114" s="741" t="s">
        <v>793</v>
      </c>
      <c r="F114" s="661" t="s">
        <v>786</v>
      </c>
      <c r="G114" s="661" t="s">
        <v>884</v>
      </c>
      <c r="H114" s="661" t="s">
        <v>531</v>
      </c>
      <c r="I114" s="661" t="s">
        <v>885</v>
      </c>
      <c r="J114" s="661" t="s">
        <v>886</v>
      </c>
      <c r="K114" s="661" t="s">
        <v>887</v>
      </c>
      <c r="L114" s="662">
        <v>37.68</v>
      </c>
      <c r="M114" s="662">
        <v>37.68</v>
      </c>
      <c r="N114" s="661">
        <v>1</v>
      </c>
      <c r="O114" s="742">
        <v>1</v>
      </c>
      <c r="P114" s="662">
        <v>37.68</v>
      </c>
      <c r="Q114" s="677">
        <v>1</v>
      </c>
      <c r="R114" s="661">
        <v>1</v>
      </c>
      <c r="S114" s="677">
        <v>1</v>
      </c>
      <c r="T114" s="742">
        <v>1</v>
      </c>
      <c r="U114" s="700">
        <v>1</v>
      </c>
    </row>
    <row r="115" spans="1:21" ht="14.4" customHeight="1" x14ac:dyDescent="0.3">
      <c r="A115" s="660">
        <v>22</v>
      </c>
      <c r="B115" s="661" t="s">
        <v>530</v>
      </c>
      <c r="C115" s="661">
        <v>89301222</v>
      </c>
      <c r="D115" s="740" t="s">
        <v>1127</v>
      </c>
      <c r="E115" s="741" t="s">
        <v>793</v>
      </c>
      <c r="F115" s="661" t="s">
        <v>786</v>
      </c>
      <c r="G115" s="661" t="s">
        <v>806</v>
      </c>
      <c r="H115" s="661" t="s">
        <v>531</v>
      </c>
      <c r="I115" s="661" t="s">
        <v>1000</v>
      </c>
      <c r="J115" s="661" t="s">
        <v>1001</v>
      </c>
      <c r="K115" s="661" t="s">
        <v>1002</v>
      </c>
      <c r="L115" s="662">
        <v>0</v>
      </c>
      <c r="M115" s="662">
        <v>0</v>
      </c>
      <c r="N115" s="661">
        <v>1</v>
      </c>
      <c r="O115" s="742">
        <v>1</v>
      </c>
      <c r="P115" s="662"/>
      <c r="Q115" s="677"/>
      <c r="R115" s="661"/>
      <c r="S115" s="677">
        <v>0</v>
      </c>
      <c r="T115" s="742"/>
      <c r="U115" s="700">
        <v>0</v>
      </c>
    </row>
    <row r="116" spans="1:21" ht="14.4" customHeight="1" x14ac:dyDescent="0.3">
      <c r="A116" s="660">
        <v>22</v>
      </c>
      <c r="B116" s="661" t="s">
        <v>530</v>
      </c>
      <c r="C116" s="661">
        <v>89301222</v>
      </c>
      <c r="D116" s="740" t="s">
        <v>1127</v>
      </c>
      <c r="E116" s="741" t="s">
        <v>793</v>
      </c>
      <c r="F116" s="661" t="s">
        <v>786</v>
      </c>
      <c r="G116" s="661" t="s">
        <v>1003</v>
      </c>
      <c r="H116" s="661" t="s">
        <v>531</v>
      </c>
      <c r="I116" s="661" t="s">
        <v>622</v>
      </c>
      <c r="J116" s="661" t="s">
        <v>623</v>
      </c>
      <c r="K116" s="661" t="s">
        <v>624</v>
      </c>
      <c r="L116" s="662">
        <v>108.44</v>
      </c>
      <c r="M116" s="662">
        <v>108.44</v>
      </c>
      <c r="N116" s="661">
        <v>1</v>
      </c>
      <c r="O116" s="742">
        <v>1</v>
      </c>
      <c r="P116" s="662">
        <v>108.44</v>
      </c>
      <c r="Q116" s="677">
        <v>1</v>
      </c>
      <c r="R116" s="661">
        <v>1</v>
      </c>
      <c r="S116" s="677">
        <v>1</v>
      </c>
      <c r="T116" s="742">
        <v>1</v>
      </c>
      <c r="U116" s="700">
        <v>1</v>
      </c>
    </row>
    <row r="117" spans="1:21" ht="14.4" customHeight="1" x14ac:dyDescent="0.3">
      <c r="A117" s="660">
        <v>22</v>
      </c>
      <c r="B117" s="661" t="s">
        <v>530</v>
      </c>
      <c r="C117" s="661">
        <v>89301222</v>
      </c>
      <c r="D117" s="740" t="s">
        <v>1127</v>
      </c>
      <c r="E117" s="741" t="s">
        <v>794</v>
      </c>
      <c r="F117" s="661" t="s">
        <v>786</v>
      </c>
      <c r="G117" s="661" t="s">
        <v>1004</v>
      </c>
      <c r="H117" s="661" t="s">
        <v>531</v>
      </c>
      <c r="I117" s="661" t="s">
        <v>1005</v>
      </c>
      <c r="J117" s="661" t="s">
        <v>1006</v>
      </c>
      <c r="K117" s="661" t="s">
        <v>1007</v>
      </c>
      <c r="L117" s="662">
        <v>35.11</v>
      </c>
      <c r="M117" s="662">
        <v>35.11</v>
      </c>
      <c r="N117" s="661">
        <v>1</v>
      </c>
      <c r="O117" s="742">
        <v>1</v>
      </c>
      <c r="P117" s="662"/>
      <c r="Q117" s="677">
        <v>0</v>
      </c>
      <c r="R117" s="661"/>
      <c r="S117" s="677">
        <v>0</v>
      </c>
      <c r="T117" s="742"/>
      <c r="U117" s="700">
        <v>0</v>
      </c>
    </row>
    <row r="118" spans="1:21" ht="14.4" customHeight="1" x14ac:dyDescent="0.3">
      <c r="A118" s="660">
        <v>22</v>
      </c>
      <c r="B118" s="661" t="s">
        <v>530</v>
      </c>
      <c r="C118" s="661">
        <v>89301222</v>
      </c>
      <c r="D118" s="740" t="s">
        <v>1127</v>
      </c>
      <c r="E118" s="741" t="s">
        <v>794</v>
      </c>
      <c r="F118" s="661" t="s">
        <v>786</v>
      </c>
      <c r="G118" s="661" t="s">
        <v>860</v>
      </c>
      <c r="H118" s="661" t="s">
        <v>531</v>
      </c>
      <c r="I118" s="661" t="s">
        <v>1008</v>
      </c>
      <c r="J118" s="661" t="s">
        <v>1009</v>
      </c>
      <c r="K118" s="661" t="s">
        <v>895</v>
      </c>
      <c r="L118" s="662">
        <v>143.34</v>
      </c>
      <c r="M118" s="662">
        <v>430.02</v>
      </c>
      <c r="N118" s="661">
        <v>3</v>
      </c>
      <c r="O118" s="742">
        <v>0.5</v>
      </c>
      <c r="P118" s="662"/>
      <c r="Q118" s="677">
        <v>0</v>
      </c>
      <c r="R118" s="661"/>
      <c r="S118" s="677">
        <v>0</v>
      </c>
      <c r="T118" s="742"/>
      <c r="U118" s="700">
        <v>0</v>
      </c>
    </row>
    <row r="119" spans="1:21" ht="14.4" customHeight="1" x14ac:dyDescent="0.3">
      <c r="A119" s="660">
        <v>22</v>
      </c>
      <c r="B119" s="661" t="s">
        <v>530</v>
      </c>
      <c r="C119" s="661">
        <v>89301222</v>
      </c>
      <c r="D119" s="740" t="s">
        <v>1127</v>
      </c>
      <c r="E119" s="741" t="s">
        <v>794</v>
      </c>
      <c r="F119" s="661" t="s">
        <v>786</v>
      </c>
      <c r="G119" s="661" t="s">
        <v>860</v>
      </c>
      <c r="H119" s="661" t="s">
        <v>531</v>
      </c>
      <c r="I119" s="661" t="s">
        <v>861</v>
      </c>
      <c r="J119" s="661" t="s">
        <v>862</v>
      </c>
      <c r="K119" s="661" t="s">
        <v>863</v>
      </c>
      <c r="L119" s="662">
        <v>254.83</v>
      </c>
      <c r="M119" s="662">
        <v>764.49</v>
      </c>
      <c r="N119" s="661">
        <v>3</v>
      </c>
      <c r="O119" s="742">
        <v>0.5</v>
      </c>
      <c r="P119" s="662">
        <v>764.49</v>
      </c>
      <c r="Q119" s="677">
        <v>1</v>
      </c>
      <c r="R119" s="661">
        <v>3</v>
      </c>
      <c r="S119" s="677">
        <v>1</v>
      </c>
      <c r="T119" s="742">
        <v>0.5</v>
      </c>
      <c r="U119" s="700">
        <v>1</v>
      </c>
    </row>
    <row r="120" spans="1:21" ht="14.4" customHeight="1" x14ac:dyDescent="0.3">
      <c r="A120" s="660">
        <v>22</v>
      </c>
      <c r="B120" s="661" t="s">
        <v>530</v>
      </c>
      <c r="C120" s="661">
        <v>89301222</v>
      </c>
      <c r="D120" s="740" t="s">
        <v>1127</v>
      </c>
      <c r="E120" s="741" t="s">
        <v>794</v>
      </c>
      <c r="F120" s="661" t="s">
        <v>786</v>
      </c>
      <c r="G120" s="661" t="s">
        <v>860</v>
      </c>
      <c r="H120" s="661" t="s">
        <v>531</v>
      </c>
      <c r="I120" s="661" t="s">
        <v>954</v>
      </c>
      <c r="J120" s="661" t="s">
        <v>862</v>
      </c>
      <c r="K120" s="661" t="s">
        <v>955</v>
      </c>
      <c r="L120" s="662">
        <v>0</v>
      </c>
      <c r="M120" s="662">
        <v>0</v>
      </c>
      <c r="N120" s="661">
        <v>1</v>
      </c>
      <c r="O120" s="742">
        <v>1</v>
      </c>
      <c r="P120" s="662"/>
      <c r="Q120" s="677"/>
      <c r="R120" s="661"/>
      <c r="S120" s="677">
        <v>0</v>
      </c>
      <c r="T120" s="742"/>
      <c r="U120" s="700">
        <v>0</v>
      </c>
    </row>
    <row r="121" spans="1:21" ht="14.4" customHeight="1" x14ac:dyDescent="0.3">
      <c r="A121" s="660">
        <v>22</v>
      </c>
      <c r="B121" s="661" t="s">
        <v>530</v>
      </c>
      <c r="C121" s="661">
        <v>89301222</v>
      </c>
      <c r="D121" s="740" t="s">
        <v>1127</v>
      </c>
      <c r="E121" s="741" t="s">
        <v>794</v>
      </c>
      <c r="F121" s="661" t="s">
        <v>786</v>
      </c>
      <c r="G121" s="661" t="s">
        <v>1010</v>
      </c>
      <c r="H121" s="661" t="s">
        <v>531</v>
      </c>
      <c r="I121" s="661" t="s">
        <v>1011</v>
      </c>
      <c r="J121" s="661" t="s">
        <v>1012</v>
      </c>
      <c r="K121" s="661" t="s">
        <v>1013</v>
      </c>
      <c r="L121" s="662">
        <v>0</v>
      </c>
      <c r="M121" s="662">
        <v>0</v>
      </c>
      <c r="N121" s="661">
        <v>1</v>
      </c>
      <c r="O121" s="742">
        <v>0.5</v>
      </c>
      <c r="P121" s="662">
        <v>0</v>
      </c>
      <c r="Q121" s="677"/>
      <c r="R121" s="661">
        <v>1</v>
      </c>
      <c r="S121" s="677">
        <v>1</v>
      </c>
      <c r="T121" s="742">
        <v>0.5</v>
      </c>
      <c r="U121" s="700">
        <v>1</v>
      </c>
    </row>
    <row r="122" spans="1:21" ht="14.4" customHeight="1" x14ac:dyDescent="0.3">
      <c r="A122" s="660">
        <v>22</v>
      </c>
      <c r="B122" s="661" t="s">
        <v>530</v>
      </c>
      <c r="C122" s="661">
        <v>89301222</v>
      </c>
      <c r="D122" s="740" t="s">
        <v>1127</v>
      </c>
      <c r="E122" s="741" t="s">
        <v>794</v>
      </c>
      <c r="F122" s="661" t="s">
        <v>786</v>
      </c>
      <c r="G122" s="661" t="s">
        <v>1014</v>
      </c>
      <c r="H122" s="661" t="s">
        <v>531</v>
      </c>
      <c r="I122" s="661" t="s">
        <v>1015</v>
      </c>
      <c r="J122" s="661" t="s">
        <v>1016</v>
      </c>
      <c r="K122" s="661" t="s">
        <v>1017</v>
      </c>
      <c r="L122" s="662">
        <v>0</v>
      </c>
      <c r="M122" s="662">
        <v>0</v>
      </c>
      <c r="N122" s="661">
        <v>1</v>
      </c>
      <c r="O122" s="742">
        <v>1</v>
      </c>
      <c r="P122" s="662">
        <v>0</v>
      </c>
      <c r="Q122" s="677"/>
      <c r="R122" s="661">
        <v>1</v>
      </c>
      <c r="S122" s="677">
        <v>1</v>
      </c>
      <c r="T122" s="742">
        <v>1</v>
      </c>
      <c r="U122" s="700">
        <v>1</v>
      </c>
    </row>
    <row r="123" spans="1:21" ht="14.4" customHeight="1" x14ac:dyDescent="0.3">
      <c r="A123" s="660">
        <v>22</v>
      </c>
      <c r="B123" s="661" t="s">
        <v>530</v>
      </c>
      <c r="C123" s="661">
        <v>89301222</v>
      </c>
      <c r="D123" s="740" t="s">
        <v>1127</v>
      </c>
      <c r="E123" s="741" t="s">
        <v>794</v>
      </c>
      <c r="F123" s="661" t="s">
        <v>786</v>
      </c>
      <c r="G123" s="661" t="s">
        <v>1018</v>
      </c>
      <c r="H123" s="661" t="s">
        <v>531</v>
      </c>
      <c r="I123" s="661" t="s">
        <v>1019</v>
      </c>
      <c r="J123" s="661" t="s">
        <v>1020</v>
      </c>
      <c r="K123" s="661" t="s">
        <v>1021</v>
      </c>
      <c r="L123" s="662">
        <v>210.66</v>
      </c>
      <c r="M123" s="662">
        <v>210.66</v>
      </c>
      <c r="N123" s="661">
        <v>1</v>
      </c>
      <c r="O123" s="742">
        <v>1</v>
      </c>
      <c r="P123" s="662">
        <v>210.66</v>
      </c>
      <c r="Q123" s="677">
        <v>1</v>
      </c>
      <c r="R123" s="661">
        <v>1</v>
      </c>
      <c r="S123" s="677">
        <v>1</v>
      </c>
      <c r="T123" s="742">
        <v>1</v>
      </c>
      <c r="U123" s="700">
        <v>1</v>
      </c>
    </row>
    <row r="124" spans="1:21" ht="14.4" customHeight="1" x14ac:dyDescent="0.3">
      <c r="A124" s="660">
        <v>22</v>
      </c>
      <c r="B124" s="661" t="s">
        <v>530</v>
      </c>
      <c r="C124" s="661">
        <v>89301222</v>
      </c>
      <c r="D124" s="740" t="s">
        <v>1127</v>
      </c>
      <c r="E124" s="741" t="s">
        <v>794</v>
      </c>
      <c r="F124" s="661" t="s">
        <v>786</v>
      </c>
      <c r="G124" s="661" t="s">
        <v>1018</v>
      </c>
      <c r="H124" s="661" t="s">
        <v>531</v>
      </c>
      <c r="I124" s="661" t="s">
        <v>1022</v>
      </c>
      <c r="J124" s="661" t="s">
        <v>1023</v>
      </c>
      <c r="K124" s="661" t="s">
        <v>1024</v>
      </c>
      <c r="L124" s="662">
        <v>35.11</v>
      </c>
      <c r="M124" s="662">
        <v>35.11</v>
      </c>
      <c r="N124" s="661">
        <v>1</v>
      </c>
      <c r="O124" s="742">
        <v>0.5</v>
      </c>
      <c r="P124" s="662">
        <v>35.11</v>
      </c>
      <c r="Q124" s="677">
        <v>1</v>
      </c>
      <c r="R124" s="661">
        <v>1</v>
      </c>
      <c r="S124" s="677">
        <v>1</v>
      </c>
      <c r="T124" s="742">
        <v>0.5</v>
      </c>
      <c r="U124" s="700">
        <v>1</v>
      </c>
    </row>
    <row r="125" spans="1:21" ht="14.4" customHeight="1" x14ac:dyDescent="0.3">
      <c r="A125" s="660">
        <v>22</v>
      </c>
      <c r="B125" s="661" t="s">
        <v>530</v>
      </c>
      <c r="C125" s="661">
        <v>89301222</v>
      </c>
      <c r="D125" s="740" t="s">
        <v>1127</v>
      </c>
      <c r="E125" s="741" t="s">
        <v>794</v>
      </c>
      <c r="F125" s="661" t="s">
        <v>786</v>
      </c>
      <c r="G125" s="661" t="s">
        <v>1025</v>
      </c>
      <c r="H125" s="661" t="s">
        <v>531</v>
      </c>
      <c r="I125" s="661" t="s">
        <v>1026</v>
      </c>
      <c r="J125" s="661" t="s">
        <v>1027</v>
      </c>
      <c r="K125" s="661" t="s">
        <v>1028</v>
      </c>
      <c r="L125" s="662">
        <v>110.28</v>
      </c>
      <c r="M125" s="662">
        <v>110.28</v>
      </c>
      <c r="N125" s="661">
        <v>1</v>
      </c>
      <c r="O125" s="742">
        <v>0.5</v>
      </c>
      <c r="P125" s="662">
        <v>110.28</v>
      </c>
      <c r="Q125" s="677">
        <v>1</v>
      </c>
      <c r="R125" s="661">
        <v>1</v>
      </c>
      <c r="S125" s="677">
        <v>1</v>
      </c>
      <c r="T125" s="742">
        <v>0.5</v>
      </c>
      <c r="U125" s="700">
        <v>1</v>
      </c>
    </row>
    <row r="126" spans="1:21" ht="14.4" customHeight="1" x14ac:dyDescent="0.3">
      <c r="A126" s="660">
        <v>22</v>
      </c>
      <c r="B126" s="661" t="s">
        <v>530</v>
      </c>
      <c r="C126" s="661">
        <v>89301222</v>
      </c>
      <c r="D126" s="740" t="s">
        <v>1127</v>
      </c>
      <c r="E126" s="741" t="s">
        <v>794</v>
      </c>
      <c r="F126" s="661" t="s">
        <v>786</v>
      </c>
      <c r="G126" s="661" t="s">
        <v>1029</v>
      </c>
      <c r="H126" s="661" t="s">
        <v>531</v>
      </c>
      <c r="I126" s="661" t="s">
        <v>1030</v>
      </c>
      <c r="J126" s="661" t="s">
        <v>1031</v>
      </c>
      <c r="K126" s="661" t="s">
        <v>1032</v>
      </c>
      <c r="L126" s="662">
        <v>15.46</v>
      </c>
      <c r="M126" s="662">
        <v>15.46</v>
      </c>
      <c r="N126" s="661">
        <v>1</v>
      </c>
      <c r="O126" s="742">
        <v>1</v>
      </c>
      <c r="P126" s="662">
        <v>15.46</v>
      </c>
      <c r="Q126" s="677">
        <v>1</v>
      </c>
      <c r="R126" s="661">
        <v>1</v>
      </c>
      <c r="S126" s="677">
        <v>1</v>
      </c>
      <c r="T126" s="742">
        <v>1</v>
      </c>
      <c r="U126" s="700">
        <v>1</v>
      </c>
    </row>
    <row r="127" spans="1:21" ht="14.4" customHeight="1" x14ac:dyDescent="0.3">
      <c r="A127" s="660">
        <v>22</v>
      </c>
      <c r="B127" s="661" t="s">
        <v>530</v>
      </c>
      <c r="C127" s="661">
        <v>89301222</v>
      </c>
      <c r="D127" s="740" t="s">
        <v>1127</v>
      </c>
      <c r="E127" s="741" t="s">
        <v>794</v>
      </c>
      <c r="F127" s="661" t="s">
        <v>786</v>
      </c>
      <c r="G127" s="661" t="s">
        <v>1033</v>
      </c>
      <c r="H127" s="661" t="s">
        <v>531</v>
      </c>
      <c r="I127" s="661" t="s">
        <v>1034</v>
      </c>
      <c r="J127" s="661" t="s">
        <v>1035</v>
      </c>
      <c r="K127" s="661" t="s">
        <v>1036</v>
      </c>
      <c r="L127" s="662">
        <v>0</v>
      </c>
      <c r="M127" s="662">
        <v>0</v>
      </c>
      <c r="N127" s="661">
        <v>1</v>
      </c>
      <c r="O127" s="742">
        <v>1</v>
      </c>
      <c r="P127" s="662">
        <v>0</v>
      </c>
      <c r="Q127" s="677"/>
      <c r="R127" s="661">
        <v>1</v>
      </c>
      <c r="S127" s="677">
        <v>1</v>
      </c>
      <c r="T127" s="742">
        <v>1</v>
      </c>
      <c r="U127" s="700">
        <v>1</v>
      </c>
    </row>
    <row r="128" spans="1:21" ht="14.4" customHeight="1" x14ac:dyDescent="0.3">
      <c r="A128" s="660">
        <v>22</v>
      </c>
      <c r="B128" s="661" t="s">
        <v>530</v>
      </c>
      <c r="C128" s="661">
        <v>89301222</v>
      </c>
      <c r="D128" s="740" t="s">
        <v>1127</v>
      </c>
      <c r="E128" s="741" t="s">
        <v>794</v>
      </c>
      <c r="F128" s="661" t="s">
        <v>786</v>
      </c>
      <c r="G128" s="661" t="s">
        <v>968</v>
      </c>
      <c r="H128" s="661" t="s">
        <v>531</v>
      </c>
      <c r="I128" s="661" t="s">
        <v>969</v>
      </c>
      <c r="J128" s="661" t="s">
        <v>970</v>
      </c>
      <c r="K128" s="661" t="s">
        <v>971</v>
      </c>
      <c r="L128" s="662">
        <v>156.77000000000001</v>
      </c>
      <c r="M128" s="662">
        <v>783.85000000000014</v>
      </c>
      <c r="N128" s="661">
        <v>5</v>
      </c>
      <c r="O128" s="742">
        <v>1.5</v>
      </c>
      <c r="P128" s="662">
        <v>313.54000000000002</v>
      </c>
      <c r="Q128" s="677">
        <v>0.39999999999999997</v>
      </c>
      <c r="R128" s="661">
        <v>2</v>
      </c>
      <c r="S128" s="677">
        <v>0.4</v>
      </c>
      <c r="T128" s="742">
        <v>1</v>
      </c>
      <c r="U128" s="700">
        <v>0.66666666666666663</v>
      </c>
    </row>
    <row r="129" spans="1:21" ht="14.4" customHeight="1" x14ac:dyDescent="0.3">
      <c r="A129" s="660">
        <v>22</v>
      </c>
      <c r="B129" s="661" t="s">
        <v>530</v>
      </c>
      <c r="C129" s="661">
        <v>89301222</v>
      </c>
      <c r="D129" s="740" t="s">
        <v>1127</v>
      </c>
      <c r="E129" s="741" t="s">
        <v>794</v>
      </c>
      <c r="F129" s="661" t="s">
        <v>786</v>
      </c>
      <c r="G129" s="661" t="s">
        <v>1037</v>
      </c>
      <c r="H129" s="661" t="s">
        <v>531</v>
      </c>
      <c r="I129" s="661" t="s">
        <v>1038</v>
      </c>
      <c r="J129" s="661" t="s">
        <v>1039</v>
      </c>
      <c r="K129" s="661" t="s">
        <v>1040</v>
      </c>
      <c r="L129" s="662">
        <v>152.84</v>
      </c>
      <c r="M129" s="662">
        <v>152.84</v>
      </c>
      <c r="N129" s="661">
        <v>1</v>
      </c>
      <c r="O129" s="742">
        <v>0.5</v>
      </c>
      <c r="P129" s="662">
        <v>152.84</v>
      </c>
      <c r="Q129" s="677">
        <v>1</v>
      </c>
      <c r="R129" s="661">
        <v>1</v>
      </c>
      <c r="S129" s="677">
        <v>1</v>
      </c>
      <c r="T129" s="742">
        <v>0.5</v>
      </c>
      <c r="U129" s="700">
        <v>1</v>
      </c>
    </row>
    <row r="130" spans="1:21" ht="14.4" customHeight="1" x14ac:dyDescent="0.3">
      <c r="A130" s="660">
        <v>22</v>
      </c>
      <c r="B130" s="661" t="s">
        <v>530</v>
      </c>
      <c r="C130" s="661">
        <v>89301222</v>
      </c>
      <c r="D130" s="740" t="s">
        <v>1127</v>
      </c>
      <c r="E130" s="741" t="s">
        <v>794</v>
      </c>
      <c r="F130" s="661" t="s">
        <v>786</v>
      </c>
      <c r="G130" s="661" t="s">
        <v>822</v>
      </c>
      <c r="H130" s="661" t="s">
        <v>531</v>
      </c>
      <c r="I130" s="661" t="s">
        <v>823</v>
      </c>
      <c r="J130" s="661" t="s">
        <v>824</v>
      </c>
      <c r="K130" s="661"/>
      <c r="L130" s="662">
        <v>0</v>
      </c>
      <c r="M130" s="662">
        <v>0</v>
      </c>
      <c r="N130" s="661">
        <v>4</v>
      </c>
      <c r="O130" s="742">
        <v>3.5</v>
      </c>
      <c r="P130" s="662">
        <v>0</v>
      </c>
      <c r="Q130" s="677"/>
      <c r="R130" s="661">
        <v>4</v>
      </c>
      <c r="S130" s="677">
        <v>1</v>
      </c>
      <c r="T130" s="742">
        <v>3.5</v>
      </c>
      <c r="U130" s="700">
        <v>1</v>
      </c>
    </row>
    <row r="131" spans="1:21" ht="14.4" customHeight="1" x14ac:dyDescent="0.3">
      <c r="A131" s="660">
        <v>22</v>
      </c>
      <c r="B131" s="661" t="s">
        <v>530</v>
      </c>
      <c r="C131" s="661">
        <v>89301222</v>
      </c>
      <c r="D131" s="740" t="s">
        <v>1127</v>
      </c>
      <c r="E131" s="741" t="s">
        <v>794</v>
      </c>
      <c r="F131" s="661" t="s">
        <v>786</v>
      </c>
      <c r="G131" s="661" t="s">
        <v>1041</v>
      </c>
      <c r="H131" s="661" t="s">
        <v>531</v>
      </c>
      <c r="I131" s="661" t="s">
        <v>1042</v>
      </c>
      <c r="J131" s="661" t="s">
        <v>1043</v>
      </c>
      <c r="K131" s="661" t="s">
        <v>1044</v>
      </c>
      <c r="L131" s="662">
        <v>36.97</v>
      </c>
      <c r="M131" s="662">
        <v>36.97</v>
      </c>
      <c r="N131" s="661">
        <v>1</v>
      </c>
      <c r="O131" s="742">
        <v>1</v>
      </c>
      <c r="P131" s="662"/>
      <c r="Q131" s="677">
        <v>0</v>
      </c>
      <c r="R131" s="661"/>
      <c r="S131" s="677">
        <v>0</v>
      </c>
      <c r="T131" s="742"/>
      <c r="U131" s="700">
        <v>0</v>
      </c>
    </row>
    <row r="132" spans="1:21" ht="14.4" customHeight="1" x14ac:dyDescent="0.3">
      <c r="A132" s="660">
        <v>22</v>
      </c>
      <c r="B132" s="661" t="s">
        <v>530</v>
      </c>
      <c r="C132" s="661">
        <v>89301222</v>
      </c>
      <c r="D132" s="740" t="s">
        <v>1127</v>
      </c>
      <c r="E132" s="741" t="s">
        <v>794</v>
      </c>
      <c r="F132" s="661" t="s">
        <v>786</v>
      </c>
      <c r="G132" s="661" t="s">
        <v>801</v>
      </c>
      <c r="H132" s="661" t="s">
        <v>625</v>
      </c>
      <c r="I132" s="661" t="s">
        <v>908</v>
      </c>
      <c r="J132" s="661" t="s">
        <v>909</v>
      </c>
      <c r="K132" s="661" t="s">
        <v>910</v>
      </c>
      <c r="L132" s="662">
        <v>0</v>
      </c>
      <c r="M132" s="662">
        <v>0</v>
      </c>
      <c r="N132" s="661">
        <v>1</v>
      </c>
      <c r="O132" s="742">
        <v>1</v>
      </c>
      <c r="P132" s="662">
        <v>0</v>
      </c>
      <c r="Q132" s="677"/>
      <c r="R132" s="661">
        <v>1</v>
      </c>
      <c r="S132" s="677">
        <v>1</v>
      </c>
      <c r="T132" s="742">
        <v>1</v>
      </c>
      <c r="U132" s="700">
        <v>1</v>
      </c>
    </row>
    <row r="133" spans="1:21" ht="14.4" customHeight="1" x14ac:dyDescent="0.3">
      <c r="A133" s="660">
        <v>22</v>
      </c>
      <c r="B133" s="661" t="s">
        <v>530</v>
      </c>
      <c r="C133" s="661">
        <v>89301222</v>
      </c>
      <c r="D133" s="740" t="s">
        <v>1127</v>
      </c>
      <c r="E133" s="741" t="s">
        <v>794</v>
      </c>
      <c r="F133" s="661" t="s">
        <v>786</v>
      </c>
      <c r="G133" s="661" t="s">
        <v>801</v>
      </c>
      <c r="H133" s="661" t="s">
        <v>625</v>
      </c>
      <c r="I133" s="661" t="s">
        <v>911</v>
      </c>
      <c r="J133" s="661" t="s">
        <v>912</v>
      </c>
      <c r="K133" s="661" t="s">
        <v>913</v>
      </c>
      <c r="L133" s="662">
        <v>0</v>
      </c>
      <c r="M133" s="662">
        <v>0</v>
      </c>
      <c r="N133" s="661">
        <v>1</v>
      </c>
      <c r="O133" s="742">
        <v>0.5</v>
      </c>
      <c r="P133" s="662">
        <v>0</v>
      </c>
      <c r="Q133" s="677"/>
      <c r="R133" s="661">
        <v>1</v>
      </c>
      <c r="S133" s="677">
        <v>1</v>
      </c>
      <c r="T133" s="742">
        <v>0.5</v>
      </c>
      <c r="U133" s="700">
        <v>1</v>
      </c>
    </row>
    <row r="134" spans="1:21" ht="14.4" customHeight="1" x14ac:dyDescent="0.3">
      <c r="A134" s="660">
        <v>22</v>
      </c>
      <c r="B134" s="661" t="s">
        <v>530</v>
      </c>
      <c r="C134" s="661">
        <v>89301222</v>
      </c>
      <c r="D134" s="740" t="s">
        <v>1127</v>
      </c>
      <c r="E134" s="741" t="s">
        <v>794</v>
      </c>
      <c r="F134" s="661" t="s">
        <v>786</v>
      </c>
      <c r="G134" s="661" t="s">
        <v>801</v>
      </c>
      <c r="H134" s="661" t="s">
        <v>531</v>
      </c>
      <c r="I134" s="661" t="s">
        <v>825</v>
      </c>
      <c r="J134" s="661" t="s">
        <v>826</v>
      </c>
      <c r="K134" s="661" t="s">
        <v>827</v>
      </c>
      <c r="L134" s="662">
        <v>0</v>
      </c>
      <c r="M134" s="662">
        <v>0</v>
      </c>
      <c r="N134" s="661">
        <v>3</v>
      </c>
      <c r="O134" s="742">
        <v>2</v>
      </c>
      <c r="P134" s="662">
        <v>0</v>
      </c>
      <c r="Q134" s="677"/>
      <c r="R134" s="661">
        <v>1</v>
      </c>
      <c r="S134" s="677">
        <v>0.33333333333333331</v>
      </c>
      <c r="T134" s="742">
        <v>1</v>
      </c>
      <c r="U134" s="700">
        <v>0.5</v>
      </c>
    </row>
    <row r="135" spans="1:21" ht="14.4" customHeight="1" x14ac:dyDescent="0.3">
      <c r="A135" s="660">
        <v>22</v>
      </c>
      <c r="B135" s="661" t="s">
        <v>530</v>
      </c>
      <c r="C135" s="661">
        <v>89301222</v>
      </c>
      <c r="D135" s="740" t="s">
        <v>1127</v>
      </c>
      <c r="E135" s="741" t="s">
        <v>794</v>
      </c>
      <c r="F135" s="661" t="s">
        <v>786</v>
      </c>
      <c r="G135" s="661" t="s">
        <v>801</v>
      </c>
      <c r="H135" s="661" t="s">
        <v>531</v>
      </c>
      <c r="I135" s="661" t="s">
        <v>914</v>
      </c>
      <c r="J135" s="661" t="s">
        <v>915</v>
      </c>
      <c r="K135" s="661" t="s">
        <v>853</v>
      </c>
      <c r="L135" s="662">
        <v>82.99</v>
      </c>
      <c r="M135" s="662">
        <v>746.90999999999985</v>
      </c>
      <c r="N135" s="661">
        <v>9</v>
      </c>
      <c r="O135" s="742">
        <v>5</v>
      </c>
      <c r="P135" s="662">
        <v>414.94999999999993</v>
      </c>
      <c r="Q135" s="677">
        <v>0.55555555555555558</v>
      </c>
      <c r="R135" s="661">
        <v>5</v>
      </c>
      <c r="S135" s="677">
        <v>0.55555555555555558</v>
      </c>
      <c r="T135" s="742">
        <v>3</v>
      </c>
      <c r="U135" s="700">
        <v>0.6</v>
      </c>
    </row>
    <row r="136" spans="1:21" ht="14.4" customHeight="1" x14ac:dyDescent="0.3">
      <c r="A136" s="660">
        <v>22</v>
      </c>
      <c r="B136" s="661" t="s">
        <v>530</v>
      </c>
      <c r="C136" s="661">
        <v>89301222</v>
      </c>
      <c r="D136" s="740" t="s">
        <v>1127</v>
      </c>
      <c r="E136" s="741" t="s">
        <v>794</v>
      </c>
      <c r="F136" s="661" t="s">
        <v>786</v>
      </c>
      <c r="G136" s="661" t="s">
        <v>801</v>
      </c>
      <c r="H136" s="661" t="s">
        <v>625</v>
      </c>
      <c r="I136" s="661" t="s">
        <v>833</v>
      </c>
      <c r="J136" s="661" t="s">
        <v>834</v>
      </c>
      <c r="K136" s="661" t="s">
        <v>835</v>
      </c>
      <c r="L136" s="662">
        <v>62.24</v>
      </c>
      <c r="M136" s="662">
        <v>62.24</v>
      </c>
      <c r="N136" s="661">
        <v>1</v>
      </c>
      <c r="O136" s="742">
        <v>1</v>
      </c>
      <c r="P136" s="662"/>
      <c r="Q136" s="677">
        <v>0</v>
      </c>
      <c r="R136" s="661"/>
      <c r="S136" s="677">
        <v>0</v>
      </c>
      <c r="T136" s="742"/>
      <c r="U136" s="700">
        <v>0</v>
      </c>
    </row>
    <row r="137" spans="1:21" ht="14.4" customHeight="1" x14ac:dyDescent="0.3">
      <c r="A137" s="660">
        <v>22</v>
      </c>
      <c r="B137" s="661" t="s">
        <v>530</v>
      </c>
      <c r="C137" s="661">
        <v>89301222</v>
      </c>
      <c r="D137" s="740" t="s">
        <v>1127</v>
      </c>
      <c r="E137" s="741" t="s">
        <v>794</v>
      </c>
      <c r="F137" s="661" t="s">
        <v>786</v>
      </c>
      <c r="G137" s="661" t="s">
        <v>801</v>
      </c>
      <c r="H137" s="661" t="s">
        <v>625</v>
      </c>
      <c r="I137" s="661" t="s">
        <v>802</v>
      </c>
      <c r="J137" s="661" t="s">
        <v>642</v>
      </c>
      <c r="K137" s="661" t="s">
        <v>643</v>
      </c>
      <c r="L137" s="662">
        <v>103.74</v>
      </c>
      <c r="M137" s="662">
        <v>1348.62</v>
      </c>
      <c r="N137" s="661">
        <v>13</v>
      </c>
      <c r="O137" s="742">
        <v>12.5</v>
      </c>
      <c r="P137" s="662">
        <v>207.48</v>
      </c>
      <c r="Q137" s="677">
        <v>0.15384615384615385</v>
      </c>
      <c r="R137" s="661">
        <v>2</v>
      </c>
      <c r="S137" s="677">
        <v>0.15384615384615385</v>
      </c>
      <c r="T137" s="742">
        <v>2</v>
      </c>
      <c r="U137" s="700">
        <v>0.16</v>
      </c>
    </row>
    <row r="138" spans="1:21" ht="14.4" customHeight="1" x14ac:dyDescent="0.3">
      <c r="A138" s="660">
        <v>22</v>
      </c>
      <c r="B138" s="661" t="s">
        <v>530</v>
      </c>
      <c r="C138" s="661">
        <v>89301222</v>
      </c>
      <c r="D138" s="740" t="s">
        <v>1127</v>
      </c>
      <c r="E138" s="741" t="s">
        <v>794</v>
      </c>
      <c r="F138" s="661" t="s">
        <v>786</v>
      </c>
      <c r="G138" s="661" t="s">
        <v>801</v>
      </c>
      <c r="H138" s="661" t="s">
        <v>531</v>
      </c>
      <c r="I138" s="661" t="s">
        <v>844</v>
      </c>
      <c r="J138" s="661" t="s">
        <v>845</v>
      </c>
      <c r="K138" s="661" t="s">
        <v>846</v>
      </c>
      <c r="L138" s="662">
        <v>103.74</v>
      </c>
      <c r="M138" s="662">
        <v>103.74</v>
      </c>
      <c r="N138" s="661">
        <v>1</v>
      </c>
      <c r="O138" s="742">
        <v>1</v>
      </c>
      <c r="P138" s="662"/>
      <c r="Q138" s="677">
        <v>0</v>
      </c>
      <c r="R138" s="661"/>
      <c r="S138" s="677">
        <v>0</v>
      </c>
      <c r="T138" s="742"/>
      <c r="U138" s="700">
        <v>0</v>
      </c>
    </row>
    <row r="139" spans="1:21" ht="14.4" customHeight="1" x14ac:dyDescent="0.3">
      <c r="A139" s="660">
        <v>22</v>
      </c>
      <c r="B139" s="661" t="s">
        <v>530</v>
      </c>
      <c r="C139" s="661">
        <v>89301222</v>
      </c>
      <c r="D139" s="740" t="s">
        <v>1127</v>
      </c>
      <c r="E139" s="741" t="s">
        <v>794</v>
      </c>
      <c r="F139" s="661" t="s">
        <v>786</v>
      </c>
      <c r="G139" s="661" t="s">
        <v>801</v>
      </c>
      <c r="H139" s="661" t="s">
        <v>625</v>
      </c>
      <c r="I139" s="661" t="s">
        <v>803</v>
      </c>
      <c r="J139" s="661" t="s">
        <v>804</v>
      </c>
      <c r="K139" s="661" t="s">
        <v>805</v>
      </c>
      <c r="L139" s="662">
        <v>124.49</v>
      </c>
      <c r="M139" s="662">
        <v>4979.5999999999976</v>
      </c>
      <c r="N139" s="661">
        <v>40</v>
      </c>
      <c r="O139" s="742">
        <v>31.5</v>
      </c>
      <c r="P139" s="662">
        <v>871.43</v>
      </c>
      <c r="Q139" s="677">
        <v>0.17500000000000007</v>
      </c>
      <c r="R139" s="661">
        <v>7</v>
      </c>
      <c r="S139" s="677">
        <v>0.17499999999999999</v>
      </c>
      <c r="T139" s="742">
        <v>5.5</v>
      </c>
      <c r="U139" s="700">
        <v>0.17460317460317459</v>
      </c>
    </row>
    <row r="140" spans="1:21" ht="14.4" customHeight="1" x14ac:dyDescent="0.3">
      <c r="A140" s="660">
        <v>22</v>
      </c>
      <c r="B140" s="661" t="s">
        <v>530</v>
      </c>
      <c r="C140" s="661">
        <v>89301222</v>
      </c>
      <c r="D140" s="740" t="s">
        <v>1127</v>
      </c>
      <c r="E140" s="741" t="s">
        <v>794</v>
      </c>
      <c r="F140" s="661" t="s">
        <v>786</v>
      </c>
      <c r="G140" s="661" t="s">
        <v>801</v>
      </c>
      <c r="H140" s="661" t="s">
        <v>625</v>
      </c>
      <c r="I140" s="661" t="s">
        <v>631</v>
      </c>
      <c r="J140" s="661" t="s">
        <v>632</v>
      </c>
      <c r="K140" s="661" t="s">
        <v>768</v>
      </c>
      <c r="L140" s="662">
        <v>82.99</v>
      </c>
      <c r="M140" s="662">
        <v>3485.5799999999986</v>
      </c>
      <c r="N140" s="661">
        <v>42</v>
      </c>
      <c r="O140" s="742">
        <v>29.5</v>
      </c>
      <c r="P140" s="662">
        <v>829.9</v>
      </c>
      <c r="Q140" s="677">
        <v>0.23809523809523819</v>
      </c>
      <c r="R140" s="661">
        <v>10</v>
      </c>
      <c r="S140" s="677">
        <v>0.23809523809523808</v>
      </c>
      <c r="T140" s="742">
        <v>9</v>
      </c>
      <c r="U140" s="700">
        <v>0.30508474576271188</v>
      </c>
    </row>
    <row r="141" spans="1:21" ht="14.4" customHeight="1" x14ac:dyDescent="0.3">
      <c r="A141" s="660">
        <v>22</v>
      </c>
      <c r="B141" s="661" t="s">
        <v>530</v>
      </c>
      <c r="C141" s="661">
        <v>89301222</v>
      </c>
      <c r="D141" s="740" t="s">
        <v>1127</v>
      </c>
      <c r="E141" s="741" t="s">
        <v>794</v>
      </c>
      <c r="F141" s="661" t="s">
        <v>786</v>
      </c>
      <c r="G141" s="661" t="s">
        <v>801</v>
      </c>
      <c r="H141" s="661" t="s">
        <v>625</v>
      </c>
      <c r="I141" s="661" t="s">
        <v>635</v>
      </c>
      <c r="J141" s="661" t="s">
        <v>769</v>
      </c>
      <c r="K141" s="661" t="s">
        <v>770</v>
      </c>
      <c r="L141" s="662">
        <v>48.37</v>
      </c>
      <c r="M141" s="662">
        <v>48.37</v>
      </c>
      <c r="N141" s="661">
        <v>1</v>
      </c>
      <c r="O141" s="742">
        <v>0.5</v>
      </c>
      <c r="P141" s="662"/>
      <c r="Q141" s="677">
        <v>0</v>
      </c>
      <c r="R141" s="661"/>
      <c r="S141" s="677">
        <v>0</v>
      </c>
      <c r="T141" s="742"/>
      <c r="U141" s="700">
        <v>0</v>
      </c>
    </row>
    <row r="142" spans="1:21" ht="14.4" customHeight="1" x14ac:dyDescent="0.3">
      <c r="A142" s="660">
        <v>22</v>
      </c>
      <c r="B142" s="661" t="s">
        <v>530</v>
      </c>
      <c r="C142" s="661">
        <v>89301222</v>
      </c>
      <c r="D142" s="740" t="s">
        <v>1127</v>
      </c>
      <c r="E142" s="741" t="s">
        <v>794</v>
      </c>
      <c r="F142" s="661" t="s">
        <v>786</v>
      </c>
      <c r="G142" s="661" t="s">
        <v>801</v>
      </c>
      <c r="H142" s="661" t="s">
        <v>625</v>
      </c>
      <c r="I142" s="661" t="s">
        <v>849</v>
      </c>
      <c r="J142" s="661" t="s">
        <v>850</v>
      </c>
      <c r="K142" s="661" t="s">
        <v>805</v>
      </c>
      <c r="L142" s="662">
        <v>124.49</v>
      </c>
      <c r="M142" s="662">
        <v>871.43</v>
      </c>
      <c r="N142" s="661">
        <v>7</v>
      </c>
      <c r="O142" s="742">
        <v>5</v>
      </c>
      <c r="P142" s="662">
        <v>497.96</v>
      </c>
      <c r="Q142" s="677">
        <v>0.5714285714285714</v>
      </c>
      <c r="R142" s="661">
        <v>4</v>
      </c>
      <c r="S142" s="677">
        <v>0.5714285714285714</v>
      </c>
      <c r="T142" s="742">
        <v>2.5</v>
      </c>
      <c r="U142" s="700">
        <v>0.5</v>
      </c>
    </row>
    <row r="143" spans="1:21" ht="14.4" customHeight="1" x14ac:dyDescent="0.3">
      <c r="A143" s="660">
        <v>22</v>
      </c>
      <c r="B143" s="661" t="s">
        <v>530</v>
      </c>
      <c r="C143" s="661">
        <v>89301222</v>
      </c>
      <c r="D143" s="740" t="s">
        <v>1127</v>
      </c>
      <c r="E143" s="741" t="s">
        <v>794</v>
      </c>
      <c r="F143" s="661" t="s">
        <v>786</v>
      </c>
      <c r="G143" s="661" t="s">
        <v>801</v>
      </c>
      <c r="H143" s="661" t="s">
        <v>531</v>
      </c>
      <c r="I143" s="661" t="s">
        <v>851</v>
      </c>
      <c r="J143" s="661" t="s">
        <v>852</v>
      </c>
      <c r="K143" s="661" t="s">
        <v>853</v>
      </c>
      <c r="L143" s="662">
        <v>82.99</v>
      </c>
      <c r="M143" s="662">
        <v>331.96</v>
      </c>
      <c r="N143" s="661">
        <v>4</v>
      </c>
      <c r="O143" s="742">
        <v>3</v>
      </c>
      <c r="P143" s="662">
        <v>82.99</v>
      </c>
      <c r="Q143" s="677">
        <v>0.25</v>
      </c>
      <c r="R143" s="661">
        <v>1</v>
      </c>
      <c r="S143" s="677">
        <v>0.25</v>
      </c>
      <c r="T143" s="742">
        <v>0.5</v>
      </c>
      <c r="U143" s="700">
        <v>0.16666666666666666</v>
      </c>
    </row>
    <row r="144" spans="1:21" ht="14.4" customHeight="1" x14ac:dyDescent="0.3">
      <c r="A144" s="660">
        <v>22</v>
      </c>
      <c r="B144" s="661" t="s">
        <v>530</v>
      </c>
      <c r="C144" s="661">
        <v>89301222</v>
      </c>
      <c r="D144" s="740" t="s">
        <v>1127</v>
      </c>
      <c r="E144" s="741" t="s">
        <v>794</v>
      </c>
      <c r="F144" s="661" t="s">
        <v>786</v>
      </c>
      <c r="G144" s="661" t="s">
        <v>1045</v>
      </c>
      <c r="H144" s="661" t="s">
        <v>531</v>
      </c>
      <c r="I144" s="661" t="s">
        <v>1046</v>
      </c>
      <c r="J144" s="661" t="s">
        <v>1047</v>
      </c>
      <c r="K144" s="661" t="s">
        <v>1048</v>
      </c>
      <c r="L144" s="662">
        <v>181.67</v>
      </c>
      <c r="M144" s="662">
        <v>181.67</v>
      </c>
      <c r="N144" s="661">
        <v>1</v>
      </c>
      <c r="O144" s="742">
        <v>0.5</v>
      </c>
      <c r="P144" s="662">
        <v>181.67</v>
      </c>
      <c r="Q144" s="677">
        <v>1</v>
      </c>
      <c r="R144" s="661">
        <v>1</v>
      </c>
      <c r="S144" s="677">
        <v>1</v>
      </c>
      <c r="T144" s="742">
        <v>0.5</v>
      </c>
      <c r="U144" s="700">
        <v>1</v>
      </c>
    </row>
    <row r="145" spans="1:21" ht="14.4" customHeight="1" x14ac:dyDescent="0.3">
      <c r="A145" s="660">
        <v>22</v>
      </c>
      <c r="B145" s="661" t="s">
        <v>530</v>
      </c>
      <c r="C145" s="661">
        <v>89301222</v>
      </c>
      <c r="D145" s="740" t="s">
        <v>1127</v>
      </c>
      <c r="E145" s="741" t="s">
        <v>794</v>
      </c>
      <c r="F145" s="661" t="s">
        <v>786</v>
      </c>
      <c r="G145" s="661" t="s">
        <v>1049</v>
      </c>
      <c r="H145" s="661" t="s">
        <v>531</v>
      </c>
      <c r="I145" s="661" t="s">
        <v>1050</v>
      </c>
      <c r="J145" s="661" t="s">
        <v>1051</v>
      </c>
      <c r="K145" s="661" t="s">
        <v>1052</v>
      </c>
      <c r="L145" s="662">
        <v>38.56</v>
      </c>
      <c r="M145" s="662">
        <v>115.68</v>
      </c>
      <c r="N145" s="661">
        <v>3</v>
      </c>
      <c r="O145" s="742">
        <v>1</v>
      </c>
      <c r="P145" s="662">
        <v>115.68</v>
      </c>
      <c r="Q145" s="677">
        <v>1</v>
      </c>
      <c r="R145" s="661">
        <v>3</v>
      </c>
      <c r="S145" s="677">
        <v>1</v>
      </c>
      <c r="T145" s="742">
        <v>1</v>
      </c>
      <c r="U145" s="700">
        <v>1</v>
      </c>
    </row>
    <row r="146" spans="1:21" ht="14.4" customHeight="1" x14ac:dyDescent="0.3">
      <c r="A146" s="660">
        <v>22</v>
      </c>
      <c r="B146" s="661" t="s">
        <v>530</v>
      </c>
      <c r="C146" s="661">
        <v>89301222</v>
      </c>
      <c r="D146" s="740" t="s">
        <v>1127</v>
      </c>
      <c r="E146" s="741" t="s">
        <v>794</v>
      </c>
      <c r="F146" s="661" t="s">
        <v>786</v>
      </c>
      <c r="G146" s="661" t="s">
        <v>923</v>
      </c>
      <c r="H146" s="661" t="s">
        <v>531</v>
      </c>
      <c r="I146" s="661" t="s">
        <v>924</v>
      </c>
      <c r="J146" s="661" t="s">
        <v>925</v>
      </c>
      <c r="K146" s="661" t="s">
        <v>926</v>
      </c>
      <c r="L146" s="662">
        <v>115.13</v>
      </c>
      <c r="M146" s="662">
        <v>115.13</v>
      </c>
      <c r="N146" s="661">
        <v>1</v>
      </c>
      <c r="O146" s="742">
        <v>1</v>
      </c>
      <c r="P146" s="662">
        <v>115.13</v>
      </c>
      <c r="Q146" s="677">
        <v>1</v>
      </c>
      <c r="R146" s="661">
        <v>1</v>
      </c>
      <c r="S146" s="677">
        <v>1</v>
      </c>
      <c r="T146" s="742">
        <v>1</v>
      </c>
      <c r="U146" s="700">
        <v>1</v>
      </c>
    </row>
    <row r="147" spans="1:21" ht="14.4" customHeight="1" x14ac:dyDescent="0.3">
      <c r="A147" s="660">
        <v>22</v>
      </c>
      <c r="B147" s="661" t="s">
        <v>530</v>
      </c>
      <c r="C147" s="661">
        <v>89301222</v>
      </c>
      <c r="D147" s="740" t="s">
        <v>1127</v>
      </c>
      <c r="E147" s="741" t="s">
        <v>794</v>
      </c>
      <c r="F147" s="661" t="s">
        <v>786</v>
      </c>
      <c r="G147" s="661" t="s">
        <v>1053</v>
      </c>
      <c r="H147" s="661" t="s">
        <v>531</v>
      </c>
      <c r="I147" s="661" t="s">
        <v>1054</v>
      </c>
      <c r="J147" s="661" t="s">
        <v>1055</v>
      </c>
      <c r="K147" s="661" t="s">
        <v>1056</v>
      </c>
      <c r="L147" s="662">
        <v>48.42</v>
      </c>
      <c r="M147" s="662">
        <v>96.84</v>
      </c>
      <c r="N147" s="661">
        <v>2</v>
      </c>
      <c r="O147" s="742">
        <v>1</v>
      </c>
      <c r="P147" s="662">
        <v>96.84</v>
      </c>
      <c r="Q147" s="677">
        <v>1</v>
      </c>
      <c r="R147" s="661">
        <v>2</v>
      </c>
      <c r="S147" s="677">
        <v>1</v>
      </c>
      <c r="T147" s="742">
        <v>1</v>
      </c>
      <c r="U147" s="700">
        <v>1</v>
      </c>
    </row>
    <row r="148" spans="1:21" ht="14.4" customHeight="1" x14ac:dyDescent="0.3">
      <c r="A148" s="660">
        <v>22</v>
      </c>
      <c r="B148" s="661" t="s">
        <v>530</v>
      </c>
      <c r="C148" s="661">
        <v>89301222</v>
      </c>
      <c r="D148" s="740" t="s">
        <v>1127</v>
      </c>
      <c r="E148" s="741" t="s">
        <v>794</v>
      </c>
      <c r="F148" s="661" t="s">
        <v>786</v>
      </c>
      <c r="G148" s="661" t="s">
        <v>1057</v>
      </c>
      <c r="H148" s="661" t="s">
        <v>531</v>
      </c>
      <c r="I148" s="661" t="s">
        <v>1058</v>
      </c>
      <c r="J148" s="661" t="s">
        <v>1059</v>
      </c>
      <c r="K148" s="661" t="s">
        <v>1060</v>
      </c>
      <c r="L148" s="662">
        <v>60.55</v>
      </c>
      <c r="M148" s="662">
        <v>60.55</v>
      </c>
      <c r="N148" s="661">
        <v>1</v>
      </c>
      <c r="O148" s="742">
        <v>1</v>
      </c>
      <c r="P148" s="662">
        <v>60.55</v>
      </c>
      <c r="Q148" s="677">
        <v>1</v>
      </c>
      <c r="R148" s="661">
        <v>1</v>
      </c>
      <c r="S148" s="677">
        <v>1</v>
      </c>
      <c r="T148" s="742">
        <v>1</v>
      </c>
      <c r="U148" s="700">
        <v>1</v>
      </c>
    </row>
    <row r="149" spans="1:21" ht="14.4" customHeight="1" x14ac:dyDescent="0.3">
      <c r="A149" s="660">
        <v>22</v>
      </c>
      <c r="B149" s="661" t="s">
        <v>530</v>
      </c>
      <c r="C149" s="661">
        <v>89301222</v>
      </c>
      <c r="D149" s="740" t="s">
        <v>1127</v>
      </c>
      <c r="E149" s="741" t="s">
        <v>794</v>
      </c>
      <c r="F149" s="661" t="s">
        <v>786</v>
      </c>
      <c r="G149" s="661" t="s">
        <v>806</v>
      </c>
      <c r="H149" s="661" t="s">
        <v>531</v>
      </c>
      <c r="I149" s="661" t="s">
        <v>807</v>
      </c>
      <c r="J149" s="661" t="s">
        <v>808</v>
      </c>
      <c r="K149" s="661" t="s">
        <v>809</v>
      </c>
      <c r="L149" s="662">
        <v>301.2</v>
      </c>
      <c r="M149" s="662">
        <v>301.2</v>
      </c>
      <c r="N149" s="661">
        <v>1</v>
      </c>
      <c r="O149" s="742">
        <v>0.5</v>
      </c>
      <c r="P149" s="662">
        <v>301.2</v>
      </c>
      <c r="Q149" s="677">
        <v>1</v>
      </c>
      <c r="R149" s="661">
        <v>1</v>
      </c>
      <c r="S149" s="677">
        <v>1</v>
      </c>
      <c r="T149" s="742">
        <v>0.5</v>
      </c>
      <c r="U149" s="700">
        <v>1</v>
      </c>
    </row>
    <row r="150" spans="1:21" ht="14.4" customHeight="1" x14ac:dyDescent="0.3">
      <c r="A150" s="660">
        <v>22</v>
      </c>
      <c r="B150" s="661" t="s">
        <v>530</v>
      </c>
      <c r="C150" s="661">
        <v>89301222</v>
      </c>
      <c r="D150" s="740" t="s">
        <v>1127</v>
      </c>
      <c r="E150" s="741" t="s">
        <v>794</v>
      </c>
      <c r="F150" s="661" t="s">
        <v>786</v>
      </c>
      <c r="G150" s="661" t="s">
        <v>1061</v>
      </c>
      <c r="H150" s="661" t="s">
        <v>531</v>
      </c>
      <c r="I150" s="661" t="s">
        <v>1062</v>
      </c>
      <c r="J150" s="661" t="s">
        <v>1063</v>
      </c>
      <c r="K150" s="661" t="s">
        <v>1064</v>
      </c>
      <c r="L150" s="662">
        <v>161.66</v>
      </c>
      <c r="M150" s="662">
        <v>161.66</v>
      </c>
      <c r="N150" s="661">
        <v>1</v>
      </c>
      <c r="O150" s="742">
        <v>0.5</v>
      </c>
      <c r="P150" s="662">
        <v>161.66</v>
      </c>
      <c r="Q150" s="677">
        <v>1</v>
      </c>
      <c r="R150" s="661">
        <v>1</v>
      </c>
      <c r="S150" s="677">
        <v>1</v>
      </c>
      <c r="T150" s="742">
        <v>0.5</v>
      </c>
      <c r="U150" s="700">
        <v>1</v>
      </c>
    </row>
    <row r="151" spans="1:21" ht="14.4" customHeight="1" x14ac:dyDescent="0.3">
      <c r="A151" s="660">
        <v>22</v>
      </c>
      <c r="B151" s="661" t="s">
        <v>530</v>
      </c>
      <c r="C151" s="661">
        <v>89301222</v>
      </c>
      <c r="D151" s="740" t="s">
        <v>1127</v>
      </c>
      <c r="E151" s="741" t="s">
        <v>794</v>
      </c>
      <c r="F151" s="661" t="s">
        <v>786</v>
      </c>
      <c r="G151" s="661" t="s">
        <v>1065</v>
      </c>
      <c r="H151" s="661" t="s">
        <v>625</v>
      </c>
      <c r="I151" s="661" t="s">
        <v>1066</v>
      </c>
      <c r="J151" s="661" t="s">
        <v>1067</v>
      </c>
      <c r="K151" s="661" t="s">
        <v>1068</v>
      </c>
      <c r="L151" s="662">
        <v>291.82</v>
      </c>
      <c r="M151" s="662">
        <v>291.82</v>
      </c>
      <c r="N151" s="661">
        <v>1</v>
      </c>
      <c r="O151" s="742">
        <v>0.5</v>
      </c>
      <c r="P151" s="662"/>
      <c r="Q151" s="677">
        <v>0</v>
      </c>
      <c r="R151" s="661"/>
      <c r="S151" s="677">
        <v>0</v>
      </c>
      <c r="T151" s="742"/>
      <c r="U151" s="700">
        <v>0</v>
      </c>
    </row>
    <row r="152" spans="1:21" ht="14.4" customHeight="1" x14ac:dyDescent="0.3">
      <c r="A152" s="660">
        <v>22</v>
      </c>
      <c r="B152" s="661" t="s">
        <v>530</v>
      </c>
      <c r="C152" s="661">
        <v>89301222</v>
      </c>
      <c r="D152" s="740" t="s">
        <v>1127</v>
      </c>
      <c r="E152" s="741" t="s">
        <v>794</v>
      </c>
      <c r="F152" s="661" t="s">
        <v>786</v>
      </c>
      <c r="G152" s="661" t="s">
        <v>1069</v>
      </c>
      <c r="H152" s="661" t="s">
        <v>531</v>
      </c>
      <c r="I152" s="661" t="s">
        <v>1070</v>
      </c>
      <c r="J152" s="661" t="s">
        <v>1071</v>
      </c>
      <c r="K152" s="661" t="s">
        <v>1072</v>
      </c>
      <c r="L152" s="662">
        <v>0</v>
      </c>
      <c r="M152" s="662">
        <v>0</v>
      </c>
      <c r="N152" s="661">
        <v>1</v>
      </c>
      <c r="O152" s="742">
        <v>1</v>
      </c>
      <c r="P152" s="662">
        <v>0</v>
      </c>
      <c r="Q152" s="677"/>
      <c r="R152" s="661">
        <v>1</v>
      </c>
      <c r="S152" s="677">
        <v>1</v>
      </c>
      <c r="T152" s="742">
        <v>1</v>
      </c>
      <c r="U152" s="700">
        <v>1</v>
      </c>
    </row>
    <row r="153" spans="1:21" ht="14.4" customHeight="1" x14ac:dyDescent="0.3">
      <c r="A153" s="660">
        <v>22</v>
      </c>
      <c r="B153" s="661" t="s">
        <v>530</v>
      </c>
      <c r="C153" s="661">
        <v>89301222</v>
      </c>
      <c r="D153" s="740" t="s">
        <v>1127</v>
      </c>
      <c r="E153" s="741" t="s">
        <v>794</v>
      </c>
      <c r="F153" s="661" t="s">
        <v>786</v>
      </c>
      <c r="G153" s="661" t="s">
        <v>1073</v>
      </c>
      <c r="H153" s="661" t="s">
        <v>625</v>
      </c>
      <c r="I153" s="661" t="s">
        <v>1074</v>
      </c>
      <c r="J153" s="661" t="s">
        <v>1075</v>
      </c>
      <c r="K153" s="661" t="s">
        <v>1076</v>
      </c>
      <c r="L153" s="662">
        <v>133.94</v>
      </c>
      <c r="M153" s="662">
        <v>267.88</v>
      </c>
      <c r="N153" s="661">
        <v>2</v>
      </c>
      <c r="O153" s="742">
        <v>0.5</v>
      </c>
      <c r="P153" s="662">
        <v>267.88</v>
      </c>
      <c r="Q153" s="677">
        <v>1</v>
      </c>
      <c r="R153" s="661">
        <v>2</v>
      </c>
      <c r="S153" s="677">
        <v>1</v>
      </c>
      <c r="T153" s="742">
        <v>0.5</v>
      </c>
      <c r="U153" s="700">
        <v>1</v>
      </c>
    </row>
    <row r="154" spans="1:21" ht="14.4" customHeight="1" x14ac:dyDescent="0.3">
      <c r="A154" s="660">
        <v>22</v>
      </c>
      <c r="B154" s="661" t="s">
        <v>530</v>
      </c>
      <c r="C154" s="661">
        <v>89301222</v>
      </c>
      <c r="D154" s="740" t="s">
        <v>1127</v>
      </c>
      <c r="E154" s="741" t="s">
        <v>795</v>
      </c>
      <c r="F154" s="661" t="s">
        <v>786</v>
      </c>
      <c r="G154" s="661" t="s">
        <v>876</v>
      </c>
      <c r="H154" s="661" t="s">
        <v>531</v>
      </c>
      <c r="I154" s="661" t="s">
        <v>1077</v>
      </c>
      <c r="J154" s="661" t="s">
        <v>878</v>
      </c>
      <c r="K154" s="661" t="s">
        <v>1078</v>
      </c>
      <c r="L154" s="662">
        <v>340.97</v>
      </c>
      <c r="M154" s="662">
        <v>340.97</v>
      </c>
      <c r="N154" s="661">
        <v>1</v>
      </c>
      <c r="O154" s="742">
        <v>0.5</v>
      </c>
      <c r="P154" s="662">
        <v>340.97</v>
      </c>
      <c r="Q154" s="677">
        <v>1</v>
      </c>
      <c r="R154" s="661">
        <v>1</v>
      </c>
      <c r="S154" s="677">
        <v>1</v>
      </c>
      <c r="T154" s="742">
        <v>0.5</v>
      </c>
      <c r="U154" s="700">
        <v>1</v>
      </c>
    </row>
    <row r="155" spans="1:21" ht="14.4" customHeight="1" x14ac:dyDescent="0.3">
      <c r="A155" s="660">
        <v>22</v>
      </c>
      <c r="B155" s="661" t="s">
        <v>530</v>
      </c>
      <c r="C155" s="661">
        <v>89301222</v>
      </c>
      <c r="D155" s="740" t="s">
        <v>1127</v>
      </c>
      <c r="E155" s="741" t="s">
        <v>795</v>
      </c>
      <c r="F155" s="661" t="s">
        <v>786</v>
      </c>
      <c r="G155" s="661" t="s">
        <v>1079</v>
      </c>
      <c r="H155" s="661" t="s">
        <v>531</v>
      </c>
      <c r="I155" s="661" t="s">
        <v>1080</v>
      </c>
      <c r="J155" s="661" t="s">
        <v>1081</v>
      </c>
      <c r="K155" s="661" t="s">
        <v>1082</v>
      </c>
      <c r="L155" s="662">
        <v>90.95</v>
      </c>
      <c r="M155" s="662">
        <v>90.95</v>
      </c>
      <c r="N155" s="661">
        <v>1</v>
      </c>
      <c r="O155" s="742">
        <v>0.5</v>
      </c>
      <c r="P155" s="662">
        <v>90.95</v>
      </c>
      <c r="Q155" s="677">
        <v>1</v>
      </c>
      <c r="R155" s="661">
        <v>1</v>
      </c>
      <c r="S155" s="677">
        <v>1</v>
      </c>
      <c r="T155" s="742">
        <v>0.5</v>
      </c>
      <c r="U155" s="700">
        <v>1</v>
      </c>
    </row>
    <row r="156" spans="1:21" ht="14.4" customHeight="1" x14ac:dyDescent="0.3">
      <c r="A156" s="660">
        <v>22</v>
      </c>
      <c r="B156" s="661" t="s">
        <v>530</v>
      </c>
      <c r="C156" s="661">
        <v>89301222</v>
      </c>
      <c r="D156" s="740" t="s">
        <v>1127</v>
      </c>
      <c r="E156" s="741" t="s">
        <v>796</v>
      </c>
      <c r="F156" s="661" t="s">
        <v>786</v>
      </c>
      <c r="G156" s="661" t="s">
        <v>801</v>
      </c>
      <c r="H156" s="661" t="s">
        <v>625</v>
      </c>
      <c r="I156" s="661" t="s">
        <v>911</v>
      </c>
      <c r="J156" s="661" t="s">
        <v>912</v>
      </c>
      <c r="K156" s="661" t="s">
        <v>913</v>
      </c>
      <c r="L156" s="662">
        <v>0</v>
      </c>
      <c r="M156" s="662">
        <v>0</v>
      </c>
      <c r="N156" s="661">
        <v>1</v>
      </c>
      <c r="O156" s="742">
        <v>1</v>
      </c>
      <c r="P156" s="662">
        <v>0</v>
      </c>
      <c r="Q156" s="677"/>
      <c r="R156" s="661">
        <v>1</v>
      </c>
      <c r="S156" s="677">
        <v>1</v>
      </c>
      <c r="T156" s="742">
        <v>1</v>
      </c>
      <c r="U156" s="700">
        <v>1</v>
      </c>
    </row>
    <row r="157" spans="1:21" ht="14.4" customHeight="1" x14ac:dyDescent="0.3">
      <c r="A157" s="660">
        <v>22</v>
      </c>
      <c r="B157" s="661" t="s">
        <v>530</v>
      </c>
      <c r="C157" s="661">
        <v>89301222</v>
      </c>
      <c r="D157" s="740" t="s">
        <v>1127</v>
      </c>
      <c r="E157" s="741" t="s">
        <v>796</v>
      </c>
      <c r="F157" s="661" t="s">
        <v>786</v>
      </c>
      <c r="G157" s="661" t="s">
        <v>801</v>
      </c>
      <c r="H157" s="661" t="s">
        <v>625</v>
      </c>
      <c r="I157" s="661" t="s">
        <v>641</v>
      </c>
      <c r="J157" s="661" t="s">
        <v>642</v>
      </c>
      <c r="K157" s="661" t="s">
        <v>643</v>
      </c>
      <c r="L157" s="662">
        <v>103.74</v>
      </c>
      <c r="M157" s="662">
        <v>103.74</v>
      </c>
      <c r="N157" s="661">
        <v>1</v>
      </c>
      <c r="O157" s="742">
        <v>0.5</v>
      </c>
      <c r="P157" s="662"/>
      <c r="Q157" s="677">
        <v>0</v>
      </c>
      <c r="R157" s="661"/>
      <c r="S157" s="677">
        <v>0</v>
      </c>
      <c r="T157" s="742"/>
      <c r="U157" s="700">
        <v>0</v>
      </c>
    </row>
    <row r="158" spans="1:21" ht="14.4" customHeight="1" x14ac:dyDescent="0.3">
      <c r="A158" s="660">
        <v>22</v>
      </c>
      <c r="B158" s="661" t="s">
        <v>530</v>
      </c>
      <c r="C158" s="661">
        <v>89301222</v>
      </c>
      <c r="D158" s="740" t="s">
        <v>1127</v>
      </c>
      <c r="E158" s="741" t="s">
        <v>796</v>
      </c>
      <c r="F158" s="661" t="s">
        <v>786</v>
      </c>
      <c r="G158" s="661" t="s">
        <v>801</v>
      </c>
      <c r="H158" s="661" t="s">
        <v>625</v>
      </c>
      <c r="I158" s="661" t="s">
        <v>981</v>
      </c>
      <c r="J158" s="661" t="s">
        <v>982</v>
      </c>
      <c r="K158" s="661" t="s">
        <v>983</v>
      </c>
      <c r="L158" s="662">
        <v>62.24</v>
      </c>
      <c r="M158" s="662">
        <v>62.24</v>
      </c>
      <c r="N158" s="661">
        <v>1</v>
      </c>
      <c r="O158" s="742">
        <v>1</v>
      </c>
      <c r="P158" s="662">
        <v>62.24</v>
      </c>
      <c r="Q158" s="677">
        <v>1</v>
      </c>
      <c r="R158" s="661">
        <v>1</v>
      </c>
      <c r="S158" s="677">
        <v>1</v>
      </c>
      <c r="T158" s="742">
        <v>1</v>
      </c>
      <c r="U158" s="700">
        <v>1</v>
      </c>
    </row>
    <row r="159" spans="1:21" ht="14.4" customHeight="1" x14ac:dyDescent="0.3">
      <c r="A159" s="660">
        <v>22</v>
      </c>
      <c r="B159" s="661" t="s">
        <v>530</v>
      </c>
      <c r="C159" s="661">
        <v>89301222</v>
      </c>
      <c r="D159" s="740" t="s">
        <v>1127</v>
      </c>
      <c r="E159" s="741" t="s">
        <v>796</v>
      </c>
      <c r="F159" s="661" t="s">
        <v>786</v>
      </c>
      <c r="G159" s="661" t="s">
        <v>801</v>
      </c>
      <c r="H159" s="661" t="s">
        <v>625</v>
      </c>
      <c r="I159" s="661" t="s">
        <v>631</v>
      </c>
      <c r="J159" s="661" t="s">
        <v>632</v>
      </c>
      <c r="K159" s="661" t="s">
        <v>768</v>
      </c>
      <c r="L159" s="662">
        <v>82.99</v>
      </c>
      <c r="M159" s="662">
        <v>82.99</v>
      </c>
      <c r="N159" s="661">
        <v>1</v>
      </c>
      <c r="O159" s="742">
        <v>0.5</v>
      </c>
      <c r="P159" s="662"/>
      <c r="Q159" s="677">
        <v>0</v>
      </c>
      <c r="R159" s="661"/>
      <c r="S159" s="677">
        <v>0</v>
      </c>
      <c r="T159" s="742"/>
      <c r="U159" s="700">
        <v>0</v>
      </c>
    </row>
    <row r="160" spans="1:21" ht="14.4" customHeight="1" x14ac:dyDescent="0.3">
      <c r="A160" s="660">
        <v>22</v>
      </c>
      <c r="B160" s="661" t="s">
        <v>530</v>
      </c>
      <c r="C160" s="661">
        <v>89301222</v>
      </c>
      <c r="D160" s="740" t="s">
        <v>1127</v>
      </c>
      <c r="E160" s="741" t="s">
        <v>796</v>
      </c>
      <c r="F160" s="661" t="s">
        <v>786</v>
      </c>
      <c r="G160" s="661" t="s">
        <v>801</v>
      </c>
      <c r="H160" s="661" t="s">
        <v>531</v>
      </c>
      <c r="I160" s="661" t="s">
        <v>1083</v>
      </c>
      <c r="J160" s="661" t="s">
        <v>915</v>
      </c>
      <c r="K160" s="661" t="s">
        <v>853</v>
      </c>
      <c r="L160" s="662">
        <v>82.99</v>
      </c>
      <c r="M160" s="662">
        <v>82.99</v>
      </c>
      <c r="N160" s="661">
        <v>1</v>
      </c>
      <c r="O160" s="742"/>
      <c r="P160" s="662">
        <v>82.99</v>
      </c>
      <c r="Q160" s="677">
        <v>1</v>
      </c>
      <c r="R160" s="661">
        <v>1</v>
      </c>
      <c r="S160" s="677">
        <v>1</v>
      </c>
      <c r="T160" s="742"/>
      <c r="U160" s="700"/>
    </row>
    <row r="161" spans="1:21" ht="14.4" customHeight="1" x14ac:dyDescent="0.3">
      <c r="A161" s="660">
        <v>22</v>
      </c>
      <c r="B161" s="661" t="s">
        <v>530</v>
      </c>
      <c r="C161" s="661">
        <v>89301222</v>
      </c>
      <c r="D161" s="740" t="s">
        <v>1127</v>
      </c>
      <c r="E161" s="741" t="s">
        <v>796</v>
      </c>
      <c r="F161" s="661" t="s">
        <v>786</v>
      </c>
      <c r="G161" s="661" t="s">
        <v>948</v>
      </c>
      <c r="H161" s="661" t="s">
        <v>531</v>
      </c>
      <c r="I161" s="661" t="s">
        <v>949</v>
      </c>
      <c r="J161" s="661" t="s">
        <v>950</v>
      </c>
      <c r="K161" s="661" t="s">
        <v>951</v>
      </c>
      <c r="L161" s="662">
        <v>0</v>
      </c>
      <c r="M161" s="662">
        <v>0</v>
      </c>
      <c r="N161" s="661">
        <v>1</v>
      </c>
      <c r="O161" s="742">
        <v>1</v>
      </c>
      <c r="P161" s="662">
        <v>0</v>
      </c>
      <c r="Q161" s="677"/>
      <c r="R161" s="661">
        <v>1</v>
      </c>
      <c r="S161" s="677">
        <v>1</v>
      </c>
      <c r="T161" s="742">
        <v>1</v>
      </c>
      <c r="U161" s="700">
        <v>1</v>
      </c>
    </row>
    <row r="162" spans="1:21" ht="14.4" customHeight="1" x14ac:dyDescent="0.3">
      <c r="A162" s="660">
        <v>22</v>
      </c>
      <c r="B162" s="661" t="s">
        <v>530</v>
      </c>
      <c r="C162" s="661">
        <v>89301222</v>
      </c>
      <c r="D162" s="740" t="s">
        <v>1127</v>
      </c>
      <c r="E162" s="741" t="s">
        <v>797</v>
      </c>
      <c r="F162" s="661" t="s">
        <v>786</v>
      </c>
      <c r="G162" s="661" t="s">
        <v>1084</v>
      </c>
      <c r="H162" s="661" t="s">
        <v>531</v>
      </c>
      <c r="I162" s="661" t="s">
        <v>1085</v>
      </c>
      <c r="J162" s="661" t="s">
        <v>1086</v>
      </c>
      <c r="K162" s="661" t="s">
        <v>1087</v>
      </c>
      <c r="L162" s="662">
        <v>87.77</v>
      </c>
      <c r="M162" s="662">
        <v>87.77</v>
      </c>
      <c r="N162" s="661">
        <v>1</v>
      </c>
      <c r="O162" s="742">
        <v>1</v>
      </c>
      <c r="P162" s="662">
        <v>87.77</v>
      </c>
      <c r="Q162" s="677">
        <v>1</v>
      </c>
      <c r="R162" s="661">
        <v>1</v>
      </c>
      <c r="S162" s="677">
        <v>1</v>
      </c>
      <c r="T162" s="742">
        <v>1</v>
      </c>
      <c r="U162" s="700">
        <v>1</v>
      </c>
    </row>
    <row r="163" spans="1:21" ht="14.4" customHeight="1" x14ac:dyDescent="0.3">
      <c r="A163" s="660">
        <v>22</v>
      </c>
      <c r="B163" s="661" t="s">
        <v>530</v>
      </c>
      <c r="C163" s="661">
        <v>89301222</v>
      </c>
      <c r="D163" s="740" t="s">
        <v>1127</v>
      </c>
      <c r="E163" s="741" t="s">
        <v>797</v>
      </c>
      <c r="F163" s="661" t="s">
        <v>786</v>
      </c>
      <c r="G163" s="661" t="s">
        <v>1018</v>
      </c>
      <c r="H163" s="661" t="s">
        <v>531</v>
      </c>
      <c r="I163" s="661" t="s">
        <v>1088</v>
      </c>
      <c r="J163" s="661" t="s">
        <v>1089</v>
      </c>
      <c r="K163" s="661" t="s">
        <v>1090</v>
      </c>
      <c r="L163" s="662">
        <v>16.38</v>
      </c>
      <c r="M163" s="662">
        <v>49.14</v>
      </c>
      <c r="N163" s="661">
        <v>3</v>
      </c>
      <c r="O163" s="742">
        <v>0.5</v>
      </c>
      <c r="P163" s="662"/>
      <c r="Q163" s="677">
        <v>0</v>
      </c>
      <c r="R163" s="661"/>
      <c r="S163" s="677">
        <v>0</v>
      </c>
      <c r="T163" s="742"/>
      <c r="U163" s="700">
        <v>0</v>
      </c>
    </row>
    <row r="164" spans="1:21" ht="14.4" customHeight="1" x14ac:dyDescent="0.3">
      <c r="A164" s="660">
        <v>22</v>
      </c>
      <c r="B164" s="661" t="s">
        <v>530</v>
      </c>
      <c r="C164" s="661">
        <v>89301222</v>
      </c>
      <c r="D164" s="740" t="s">
        <v>1127</v>
      </c>
      <c r="E164" s="741" t="s">
        <v>797</v>
      </c>
      <c r="F164" s="661" t="s">
        <v>786</v>
      </c>
      <c r="G164" s="661" t="s">
        <v>1091</v>
      </c>
      <c r="H164" s="661" t="s">
        <v>531</v>
      </c>
      <c r="I164" s="661" t="s">
        <v>1092</v>
      </c>
      <c r="J164" s="661" t="s">
        <v>1093</v>
      </c>
      <c r="K164" s="661" t="s">
        <v>1094</v>
      </c>
      <c r="L164" s="662">
        <v>0</v>
      </c>
      <c r="M164" s="662">
        <v>0</v>
      </c>
      <c r="N164" s="661">
        <v>1</v>
      </c>
      <c r="O164" s="742">
        <v>1</v>
      </c>
      <c r="P164" s="662">
        <v>0</v>
      </c>
      <c r="Q164" s="677"/>
      <c r="R164" s="661">
        <v>1</v>
      </c>
      <c r="S164" s="677">
        <v>1</v>
      </c>
      <c r="T164" s="742">
        <v>1</v>
      </c>
      <c r="U164" s="700">
        <v>1</v>
      </c>
    </row>
    <row r="165" spans="1:21" ht="14.4" customHeight="1" x14ac:dyDescent="0.3">
      <c r="A165" s="660">
        <v>22</v>
      </c>
      <c r="B165" s="661" t="s">
        <v>530</v>
      </c>
      <c r="C165" s="661">
        <v>89301222</v>
      </c>
      <c r="D165" s="740" t="s">
        <v>1127</v>
      </c>
      <c r="E165" s="741" t="s">
        <v>797</v>
      </c>
      <c r="F165" s="661" t="s">
        <v>786</v>
      </c>
      <c r="G165" s="661" t="s">
        <v>968</v>
      </c>
      <c r="H165" s="661" t="s">
        <v>531</v>
      </c>
      <c r="I165" s="661" t="s">
        <v>969</v>
      </c>
      <c r="J165" s="661" t="s">
        <v>970</v>
      </c>
      <c r="K165" s="661" t="s">
        <v>971</v>
      </c>
      <c r="L165" s="662">
        <v>156.77000000000001</v>
      </c>
      <c r="M165" s="662">
        <v>156.77000000000001</v>
      </c>
      <c r="N165" s="661">
        <v>1</v>
      </c>
      <c r="O165" s="742">
        <v>0.5</v>
      </c>
      <c r="P165" s="662"/>
      <c r="Q165" s="677">
        <v>0</v>
      </c>
      <c r="R165" s="661"/>
      <c r="S165" s="677">
        <v>0</v>
      </c>
      <c r="T165" s="742"/>
      <c r="U165" s="700">
        <v>0</v>
      </c>
    </row>
    <row r="166" spans="1:21" ht="14.4" customHeight="1" x14ac:dyDescent="0.3">
      <c r="A166" s="660">
        <v>22</v>
      </c>
      <c r="B166" s="661" t="s">
        <v>530</v>
      </c>
      <c r="C166" s="661">
        <v>89301222</v>
      </c>
      <c r="D166" s="740" t="s">
        <v>1127</v>
      </c>
      <c r="E166" s="741" t="s">
        <v>797</v>
      </c>
      <c r="F166" s="661" t="s">
        <v>786</v>
      </c>
      <c r="G166" s="661" t="s">
        <v>822</v>
      </c>
      <c r="H166" s="661" t="s">
        <v>531</v>
      </c>
      <c r="I166" s="661" t="s">
        <v>823</v>
      </c>
      <c r="J166" s="661" t="s">
        <v>824</v>
      </c>
      <c r="K166" s="661"/>
      <c r="L166" s="662">
        <v>0</v>
      </c>
      <c r="M166" s="662">
        <v>0</v>
      </c>
      <c r="N166" s="661">
        <v>7</v>
      </c>
      <c r="O166" s="742">
        <v>7</v>
      </c>
      <c r="P166" s="662">
        <v>0</v>
      </c>
      <c r="Q166" s="677"/>
      <c r="R166" s="661">
        <v>5</v>
      </c>
      <c r="S166" s="677">
        <v>0.7142857142857143</v>
      </c>
      <c r="T166" s="742">
        <v>5</v>
      </c>
      <c r="U166" s="700">
        <v>0.7142857142857143</v>
      </c>
    </row>
    <row r="167" spans="1:21" ht="14.4" customHeight="1" x14ac:dyDescent="0.3">
      <c r="A167" s="660">
        <v>22</v>
      </c>
      <c r="B167" s="661" t="s">
        <v>530</v>
      </c>
      <c r="C167" s="661">
        <v>89301222</v>
      </c>
      <c r="D167" s="740" t="s">
        <v>1127</v>
      </c>
      <c r="E167" s="741" t="s">
        <v>797</v>
      </c>
      <c r="F167" s="661" t="s">
        <v>786</v>
      </c>
      <c r="G167" s="661" t="s">
        <v>892</v>
      </c>
      <c r="H167" s="661" t="s">
        <v>531</v>
      </c>
      <c r="I167" s="661" t="s">
        <v>1095</v>
      </c>
      <c r="J167" s="661" t="s">
        <v>1096</v>
      </c>
      <c r="K167" s="661" t="s">
        <v>1097</v>
      </c>
      <c r="L167" s="662">
        <v>0</v>
      </c>
      <c r="M167" s="662">
        <v>0</v>
      </c>
      <c r="N167" s="661">
        <v>2</v>
      </c>
      <c r="O167" s="742">
        <v>1</v>
      </c>
      <c r="P167" s="662"/>
      <c r="Q167" s="677"/>
      <c r="R167" s="661"/>
      <c r="S167" s="677">
        <v>0</v>
      </c>
      <c r="T167" s="742"/>
      <c r="U167" s="700">
        <v>0</v>
      </c>
    </row>
    <row r="168" spans="1:21" ht="14.4" customHeight="1" x14ac:dyDescent="0.3">
      <c r="A168" s="660">
        <v>22</v>
      </c>
      <c r="B168" s="661" t="s">
        <v>530</v>
      </c>
      <c r="C168" s="661">
        <v>89301222</v>
      </c>
      <c r="D168" s="740" t="s">
        <v>1127</v>
      </c>
      <c r="E168" s="741" t="s">
        <v>797</v>
      </c>
      <c r="F168" s="661" t="s">
        <v>786</v>
      </c>
      <c r="G168" s="661" t="s">
        <v>801</v>
      </c>
      <c r="H168" s="661" t="s">
        <v>625</v>
      </c>
      <c r="I168" s="661" t="s">
        <v>908</v>
      </c>
      <c r="J168" s="661" t="s">
        <v>909</v>
      </c>
      <c r="K168" s="661" t="s">
        <v>910</v>
      </c>
      <c r="L168" s="662">
        <v>0</v>
      </c>
      <c r="M168" s="662">
        <v>0</v>
      </c>
      <c r="N168" s="661">
        <v>3</v>
      </c>
      <c r="O168" s="742">
        <v>3</v>
      </c>
      <c r="P168" s="662">
        <v>0</v>
      </c>
      <c r="Q168" s="677"/>
      <c r="R168" s="661">
        <v>1</v>
      </c>
      <c r="S168" s="677">
        <v>0.33333333333333331</v>
      </c>
      <c r="T168" s="742">
        <v>1</v>
      </c>
      <c r="U168" s="700">
        <v>0.33333333333333331</v>
      </c>
    </row>
    <row r="169" spans="1:21" ht="14.4" customHeight="1" x14ac:dyDescent="0.3">
      <c r="A169" s="660">
        <v>22</v>
      </c>
      <c r="B169" s="661" t="s">
        <v>530</v>
      </c>
      <c r="C169" s="661">
        <v>89301222</v>
      </c>
      <c r="D169" s="740" t="s">
        <v>1127</v>
      </c>
      <c r="E169" s="741" t="s">
        <v>797</v>
      </c>
      <c r="F169" s="661" t="s">
        <v>786</v>
      </c>
      <c r="G169" s="661" t="s">
        <v>801</v>
      </c>
      <c r="H169" s="661" t="s">
        <v>625</v>
      </c>
      <c r="I169" s="661" t="s">
        <v>1098</v>
      </c>
      <c r="J169" s="661" t="s">
        <v>909</v>
      </c>
      <c r="K169" s="661" t="s">
        <v>1099</v>
      </c>
      <c r="L169" s="662">
        <v>73.03</v>
      </c>
      <c r="M169" s="662">
        <v>146.06</v>
      </c>
      <c r="N169" s="661">
        <v>2</v>
      </c>
      <c r="O169" s="742">
        <v>2</v>
      </c>
      <c r="P169" s="662">
        <v>73.03</v>
      </c>
      <c r="Q169" s="677">
        <v>0.5</v>
      </c>
      <c r="R169" s="661">
        <v>1</v>
      </c>
      <c r="S169" s="677">
        <v>0.5</v>
      </c>
      <c r="T169" s="742">
        <v>1</v>
      </c>
      <c r="U169" s="700">
        <v>0.5</v>
      </c>
    </row>
    <row r="170" spans="1:21" ht="14.4" customHeight="1" x14ac:dyDescent="0.3">
      <c r="A170" s="660">
        <v>22</v>
      </c>
      <c r="B170" s="661" t="s">
        <v>530</v>
      </c>
      <c r="C170" s="661">
        <v>89301222</v>
      </c>
      <c r="D170" s="740" t="s">
        <v>1127</v>
      </c>
      <c r="E170" s="741" t="s">
        <v>797</v>
      </c>
      <c r="F170" s="661" t="s">
        <v>786</v>
      </c>
      <c r="G170" s="661" t="s">
        <v>801</v>
      </c>
      <c r="H170" s="661" t="s">
        <v>625</v>
      </c>
      <c r="I170" s="661" t="s">
        <v>911</v>
      </c>
      <c r="J170" s="661" t="s">
        <v>912</v>
      </c>
      <c r="K170" s="661" t="s">
        <v>913</v>
      </c>
      <c r="L170" s="662">
        <v>0</v>
      </c>
      <c r="M170" s="662">
        <v>0</v>
      </c>
      <c r="N170" s="661">
        <v>2</v>
      </c>
      <c r="O170" s="742">
        <v>2</v>
      </c>
      <c r="P170" s="662"/>
      <c r="Q170" s="677"/>
      <c r="R170" s="661"/>
      <c r="S170" s="677">
        <v>0</v>
      </c>
      <c r="T170" s="742"/>
      <c r="U170" s="700">
        <v>0</v>
      </c>
    </row>
    <row r="171" spans="1:21" ht="14.4" customHeight="1" x14ac:dyDescent="0.3">
      <c r="A171" s="660">
        <v>22</v>
      </c>
      <c r="B171" s="661" t="s">
        <v>530</v>
      </c>
      <c r="C171" s="661">
        <v>89301222</v>
      </c>
      <c r="D171" s="740" t="s">
        <v>1127</v>
      </c>
      <c r="E171" s="741" t="s">
        <v>797</v>
      </c>
      <c r="F171" s="661" t="s">
        <v>786</v>
      </c>
      <c r="G171" s="661" t="s">
        <v>801</v>
      </c>
      <c r="H171" s="661" t="s">
        <v>531</v>
      </c>
      <c r="I171" s="661" t="s">
        <v>825</v>
      </c>
      <c r="J171" s="661" t="s">
        <v>826</v>
      </c>
      <c r="K171" s="661" t="s">
        <v>827</v>
      </c>
      <c r="L171" s="662">
        <v>0</v>
      </c>
      <c r="M171" s="662">
        <v>0</v>
      </c>
      <c r="N171" s="661">
        <v>1</v>
      </c>
      <c r="O171" s="742">
        <v>0.5</v>
      </c>
      <c r="P171" s="662">
        <v>0</v>
      </c>
      <c r="Q171" s="677"/>
      <c r="R171" s="661">
        <v>1</v>
      </c>
      <c r="S171" s="677">
        <v>1</v>
      </c>
      <c r="T171" s="742">
        <v>0.5</v>
      </c>
      <c r="U171" s="700">
        <v>1</v>
      </c>
    </row>
    <row r="172" spans="1:21" ht="14.4" customHeight="1" x14ac:dyDescent="0.3">
      <c r="A172" s="660">
        <v>22</v>
      </c>
      <c r="B172" s="661" t="s">
        <v>530</v>
      </c>
      <c r="C172" s="661">
        <v>89301222</v>
      </c>
      <c r="D172" s="740" t="s">
        <v>1127</v>
      </c>
      <c r="E172" s="741" t="s">
        <v>797</v>
      </c>
      <c r="F172" s="661" t="s">
        <v>786</v>
      </c>
      <c r="G172" s="661" t="s">
        <v>801</v>
      </c>
      <c r="H172" s="661" t="s">
        <v>625</v>
      </c>
      <c r="I172" s="661" t="s">
        <v>828</v>
      </c>
      <c r="J172" s="661" t="s">
        <v>829</v>
      </c>
      <c r="K172" s="661" t="s">
        <v>830</v>
      </c>
      <c r="L172" s="662">
        <v>0</v>
      </c>
      <c r="M172" s="662">
        <v>0</v>
      </c>
      <c r="N172" s="661">
        <v>2</v>
      </c>
      <c r="O172" s="742">
        <v>2</v>
      </c>
      <c r="P172" s="662">
        <v>0</v>
      </c>
      <c r="Q172" s="677"/>
      <c r="R172" s="661">
        <v>2</v>
      </c>
      <c r="S172" s="677">
        <v>1</v>
      </c>
      <c r="T172" s="742">
        <v>2</v>
      </c>
      <c r="U172" s="700">
        <v>1</v>
      </c>
    </row>
    <row r="173" spans="1:21" ht="14.4" customHeight="1" x14ac:dyDescent="0.3">
      <c r="A173" s="660">
        <v>22</v>
      </c>
      <c r="B173" s="661" t="s">
        <v>530</v>
      </c>
      <c r="C173" s="661">
        <v>89301222</v>
      </c>
      <c r="D173" s="740" t="s">
        <v>1127</v>
      </c>
      <c r="E173" s="741" t="s">
        <v>797</v>
      </c>
      <c r="F173" s="661" t="s">
        <v>786</v>
      </c>
      <c r="G173" s="661" t="s">
        <v>801</v>
      </c>
      <c r="H173" s="661" t="s">
        <v>625</v>
      </c>
      <c r="I173" s="661" t="s">
        <v>842</v>
      </c>
      <c r="J173" s="661" t="s">
        <v>829</v>
      </c>
      <c r="K173" s="661" t="s">
        <v>843</v>
      </c>
      <c r="L173" s="662">
        <v>113.7</v>
      </c>
      <c r="M173" s="662">
        <v>454.8</v>
      </c>
      <c r="N173" s="661">
        <v>4</v>
      </c>
      <c r="O173" s="742">
        <v>4</v>
      </c>
      <c r="P173" s="662">
        <v>113.7</v>
      </c>
      <c r="Q173" s="677">
        <v>0.25</v>
      </c>
      <c r="R173" s="661">
        <v>1</v>
      </c>
      <c r="S173" s="677">
        <v>0.25</v>
      </c>
      <c r="T173" s="742">
        <v>1</v>
      </c>
      <c r="U173" s="700">
        <v>0.25</v>
      </c>
    </row>
    <row r="174" spans="1:21" ht="14.4" customHeight="1" x14ac:dyDescent="0.3">
      <c r="A174" s="660">
        <v>22</v>
      </c>
      <c r="B174" s="661" t="s">
        <v>530</v>
      </c>
      <c r="C174" s="661">
        <v>89301222</v>
      </c>
      <c r="D174" s="740" t="s">
        <v>1127</v>
      </c>
      <c r="E174" s="741" t="s">
        <v>797</v>
      </c>
      <c r="F174" s="661" t="s">
        <v>786</v>
      </c>
      <c r="G174" s="661" t="s">
        <v>801</v>
      </c>
      <c r="H174" s="661" t="s">
        <v>531</v>
      </c>
      <c r="I174" s="661" t="s">
        <v>914</v>
      </c>
      <c r="J174" s="661" t="s">
        <v>915</v>
      </c>
      <c r="K174" s="661" t="s">
        <v>853</v>
      </c>
      <c r="L174" s="662">
        <v>82.99</v>
      </c>
      <c r="M174" s="662">
        <v>248.96999999999997</v>
      </c>
      <c r="N174" s="661">
        <v>3</v>
      </c>
      <c r="O174" s="742">
        <v>2</v>
      </c>
      <c r="P174" s="662">
        <v>82.99</v>
      </c>
      <c r="Q174" s="677">
        <v>0.33333333333333337</v>
      </c>
      <c r="R174" s="661">
        <v>1</v>
      </c>
      <c r="S174" s="677">
        <v>0.33333333333333331</v>
      </c>
      <c r="T174" s="742">
        <v>1</v>
      </c>
      <c r="U174" s="700">
        <v>0.5</v>
      </c>
    </row>
    <row r="175" spans="1:21" ht="14.4" customHeight="1" x14ac:dyDescent="0.3">
      <c r="A175" s="660">
        <v>22</v>
      </c>
      <c r="B175" s="661" t="s">
        <v>530</v>
      </c>
      <c r="C175" s="661">
        <v>89301222</v>
      </c>
      <c r="D175" s="740" t="s">
        <v>1127</v>
      </c>
      <c r="E175" s="741" t="s">
        <v>797</v>
      </c>
      <c r="F175" s="661" t="s">
        <v>786</v>
      </c>
      <c r="G175" s="661" t="s">
        <v>801</v>
      </c>
      <c r="H175" s="661" t="s">
        <v>625</v>
      </c>
      <c r="I175" s="661" t="s">
        <v>833</v>
      </c>
      <c r="J175" s="661" t="s">
        <v>834</v>
      </c>
      <c r="K175" s="661" t="s">
        <v>835</v>
      </c>
      <c r="L175" s="662">
        <v>62.24</v>
      </c>
      <c r="M175" s="662">
        <v>311.2</v>
      </c>
      <c r="N175" s="661">
        <v>5</v>
      </c>
      <c r="O175" s="742">
        <v>4</v>
      </c>
      <c r="P175" s="662">
        <v>62.24</v>
      </c>
      <c r="Q175" s="677">
        <v>0.2</v>
      </c>
      <c r="R175" s="661">
        <v>1</v>
      </c>
      <c r="S175" s="677">
        <v>0.2</v>
      </c>
      <c r="T175" s="742">
        <v>1</v>
      </c>
      <c r="U175" s="700">
        <v>0.25</v>
      </c>
    </row>
    <row r="176" spans="1:21" ht="14.4" customHeight="1" x14ac:dyDescent="0.3">
      <c r="A176" s="660">
        <v>22</v>
      </c>
      <c r="B176" s="661" t="s">
        <v>530</v>
      </c>
      <c r="C176" s="661">
        <v>89301222</v>
      </c>
      <c r="D176" s="740" t="s">
        <v>1127</v>
      </c>
      <c r="E176" s="741" t="s">
        <v>797</v>
      </c>
      <c r="F176" s="661" t="s">
        <v>786</v>
      </c>
      <c r="G176" s="661" t="s">
        <v>801</v>
      </c>
      <c r="H176" s="661" t="s">
        <v>625</v>
      </c>
      <c r="I176" s="661" t="s">
        <v>802</v>
      </c>
      <c r="J176" s="661" t="s">
        <v>642</v>
      </c>
      <c r="K176" s="661" t="s">
        <v>643</v>
      </c>
      <c r="L176" s="662">
        <v>103.74</v>
      </c>
      <c r="M176" s="662">
        <v>2074.7999999999997</v>
      </c>
      <c r="N176" s="661">
        <v>20</v>
      </c>
      <c r="O176" s="742">
        <v>18</v>
      </c>
      <c r="P176" s="662">
        <v>1037.3999999999999</v>
      </c>
      <c r="Q176" s="677">
        <v>0.5</v>
      </c>
      <c r="R176" s="661">
        <v>10</v>
      </c>
      <c r="S176" s="677">
        <v>0.5</v>
      </c>
      <c r="T176" s="742">
        <v>9</v>
      </c>
      <c r="U176" s="700">
        <v>0.5</v>
      </c>
    </row>
    <row r="177" spans="1:21" ht="14.4" customHeight="1" x14ac:dyDescent="0.3">
      <c r="A177" s="660">
        <v>22</v>
      </c>
      <c r="B177" s="661" t="s">
        <v>530</v>
      </c>
      <c r="C177" s="661">
        <v>89301222</v>
      </c>
      <c r="D177" s="740" t="s">
        <v>1127</v>
      </c>
      <c r="E177" s="741" t="s">
        <v>797</v>
      </c>
      <c r="F177" s="661" t="s">
        <v>786</v>
      </c>
      <c r="G177" s="661" t="s">
        <v>801</v>
      </c>
      <c r="H177" s="661" t="s">
        <v>625</v>
      </c>
      <c r="I177" s="661" t="s">
        <v>803</v>
      </c>
      <c r="J177" s="661" t="s">
        <v>804</v>
      </c>
      <c r="K177" s="661" t="s">
        <v>805</v>
      </c>
      <c r="L177" s="662">
        <v>124.49</v>
      </c>
      <c r="M177" s="662">
        <v>4979.5999999999976</v>
      </c>
      <c r="N177" s="661">
        <v>40</v>
      </c>
      <c r="O177" s="742">
        <v>32</v>
      </c>
      <c r="P177" s="662">
        <v>1618.37</v>
      </c>
      <c r="Q177" s="677">
        <v>0.32500000000000012</v>
      </c>
      <c r="R177" s="661">
        <v>13</v>
      </c>
      <c r="S177" s="677">
        <v>0.32500000000000001</v>
      </c>
      <c r="T177" s="742">
        <v>10.5</v>
      </c>
      <c r="U177" s="700">
        <v>0.328125</v>
      </c>
    </row>
    <row r="178" spans="1:21" ht="14.4" customHeight="1" x14ac:dyDescent="0.3">
      <c r="A178" s="660">
        <v>22</v>
      </c>
      <c r="B178" s="661" t="s">
        <v>530</v>
      </c>
      <c r="C178" s="661">
        <v>89301222</v>
      </c>
      <c r="D178" s="740" t="s">
        <v>1127</v>
      </c>
      <c r="E178" s="741" t="s">
        <v>797</v>
      </c>
      <c r="F178" s="661" t="s">
        <v>786</v>
      </c>
      <c r="G178" s="661" t="s">
        <v>801</v>
      </c>
      <c r="H178" s="661" t="s">
        <v>625</v>
      </c>
      <c r="I178" s="661" t="s">
        <v>916</v>
      </c>
      <c r="J178" s="661" t="s">
        <v>639</v>
      </c>
      <c r="K178" s="661" t="s">
        <v>917</v>
      </c>
      <c r="L178" s="662">
        <v>48.37</v>
      </c>
      <c r="M178" s="662">
        <v>48.37</v>
      </c>
      <c r="N178" s="661">
        <v>1</v>
      </c>
      <c r="O178" s="742">
        <v>1</v>
      </c>
      <c r="P178" s="662"/>
      <c r="Q178" s="677">
        <v>0</v>
      </c>
      <c r="R178" s="661"/>
      <c r="S178" s="677">
        <v>0</v>
      </c>
      <c r="T178" s="742"/>
      <c r="U178" s="700">
        <v>0</v>
      </c>
    </row>
    <row r="179" spans="1:21" ht="14.4" customHeight="1" x14ac:dyDescent="0.3">
      <c r="A179" s="660">
        <v>22</v>
      </c>
      <c r="B179" s="661" t="s">
        <v>530</v>
      </c>
      <c r="C179" s="661">
        <v>89301222</v>
      </c>
      <c r="D179" s="740" t="s">
        <v>1127</v>
      </c>
      <c r="E179" s="741" t="s">
        <v>797</v>
      </c>
      <c r="F179" s="661" t="s">
        <v>786</v>
      </c>
      <c r="G179" s="661" t="s">
        <v>801</v>
      </c>
      <c r="H179" s="661" t="s">
        <v>625</v>
      </c>
      <c r="I179" s="661" t="s">
        <v>631</v>
      </c>
      <c r="J179" s="661" t="s">
        <v>632</v>
      </c>
      <c r="K179" s="661" t="s">
        <v>768</v>
      </c>
      <c r="L179" s="662">
        <v>82.99</v>
      </c>
      <c r="M179" s="662">
        <v>2821.6599999999994</v>
      </c>
      <c r="N179" s="661">
        <v>34</v>
      </c>
      <c r="O179" s="742">
        <v>24</v>
      </c>
      <c r="P179" s="662">
        <v>497.93999999999994</v>
      </c>
      <c r="Q179" s="677">
        <v>0.17647058823529413</v>
      </c>
      <c r="R179" s="661">
        <v>6</v>
      </c>
      <c r="S179" s="677">
        <v>0.17647058823529413</v>
      </c>
      <c r="T179" s="742">
        <v>4.5</v>
      </c>
      <c r="U179" s="700">
        <v>0.1875</v>
      </c>
    </row>
    <row r="180" spans="1:21" ht="14.4" customHeight="1" x14ac:dyDescent="0.3">
      <c r="A180" s="660">
        <v>22</v>
      </c>
      <c r="B180" s="661" t="s">
        <v>530</v>
      </c>
      <c r="C180" s="661">
        <v>89301222</v>
      </c>
      <c r="D180" s="740" t="s">
        <v>1127</v>
      </c>
      <c r="E180" s="741" t="s">
        <v>797</v>
      </c>
      <c r="F180" s="661" t="s">
        <v>786</v>
      </c>
      <c r="G180" s="661" t="s">
        <v>801</v>
      </c>
      <c r="H180" s="661" t="s">
        <v>625</v>
      </c>
      <c r="I180" s="661" t="s">
        <v>635</v>
      </c>
      <c r="J180" s="661" t="s">
        <v>769</v>
      </c>
      <c r="K180" s="661" t="s">
        <v>770</v>
      </c>
      <c r="L180" s="662">
        <v>48.37</v>
      </c>
      <c r="M180" s="662">
        <v>48.37</v>
      </c>
      <c r="N180" s="661">
        <v>1</v>
      </c>
      <c r="O180" s="742">
        <v>1</v>
      </c>
      <c r="P180" s="662"/>
      <c r="Q180" s="677">
        <v>0</v>
      </c>
      <c r="R180" s="661"/>
      <c r="S180" s="677">
        <v>0</v>
      </c>
      <c r="T180" s="742"/>
      <c r="U180" s="700">
        <v>0</v>
      </c>
    </row>
    <row r="181" spans="1:21" ht="14.4" customHeight="1" x14ac:dyDescent="0.3">
      <c r="A181" s="660">
        <v>22</v>
      </c>
      <c r="B181" s="661" t="s">
        <v>530</v>
      </c>
      <c r="C181" s="661">
        <v>89301222</v>
      </c>
      <c r="D181" s="740" t="s">
        <v>1127</v>
      </c>
      <c r="E181" s="741" t="s">
        <v>797</v>
      </c>
      <c r="F181" s="661" t="s">
        <v>786</v>
      </c>
      <c r="G181" s="661" t="s">
        <v>801</v>
      </c>
      <c r="H181" s="661" t="s">
        <v>625</v>
      </c>
      <c r="I181" s="661" t="s">
        <v>849</v>
      </c>
      <c r="J181" s="661" t="s">
        <v>850</v>
      </c>
      <c r="K181" s="661" t="s">
        <v>805</v>
      </c>
      <c r="L181" s="662">
        <v>124.49</v>
      </c>
      <c r="M181" s="662">
        <v>622.44999999999993</v>
      </c>
      <c r="N181" s="661">
        <v>5</v>
      </c>
      <c r="O181" s="742">
        <v>4.5</v>
      </c>
      <c r="P181" s="662">
        <v>497.96</v>
      </c>
      <c r="Q181" s="677">
        <v>0.8</v>
      </c>
      <c r="R181" s="661">
        <v>4</v>
      </c>
      <c r="S181" s="677">
        <v>0.8</v>
      </c>
      <c r="T181" s="742">
        <v>3.5</v>
      </c>
      <c r="U181" s="700">
        <v>0.77777777777777779</v>
      </c>
    </row>
    <row r="182" spans="1:21" ht="14.4" customHeight="1" x14ac:dyDescent="0.3">
      <c r="A182" s="660">
        <v>22</v>
      </c>
      <c r="B182" s="661" t="s">
        <v>530</v>
      </c>
      <c r="C182" s="661">
        <v>89301222</v>
      </c>
      <c r="D182" s="740" t="s">
        <v>1127</v>
      </c>
      <c r="E182" s="741" t="s">
        <v>797</v>
      </c>
      <c r="F182" s="661" t="s">
        <v>786</v>
      </c>
      <c r="G182" s="661" t="s">
        <v>801</v>
      </c>
      <c r="H182" s="661" t="s">
        <v>531</v>
      </c>
      <c r="I182" s="661" t="s">
        <v>851</v>
      </c>
      <c r="J182" s="661" t="s">
        <v>852</v>
      </c>
      <c r="K182" s="661" t="s">
        <v>853</v>
      </c>
      <c r="L182" s="662">
        <v>82.99</v>
      </c>
      <c r="M182" s="662">
        <v>497.93999999999994</v>
      </c>
      <c r="N182" s="661">
        <v>6</v>
      </c>
      <c r="O182" s="742">
        <v>5</v>
      </c>
      <c r="P182" s="662">
        <v>248.96999999999997</v>
      </c>
      <c r="Q182" s="677">
        <v>0.5</v>
      </c>
      <c r="R182" s="661">
        <v>3</v>
      </c>
      <c r="S182" s="677">
        <v>0.5</v>
      </c>
      <c r="T182" s="742">
        <v>2</v>
      </c>
      <c r="U182" s="700">
        <v>0.4</v>
      </c>
    </row>
    <row r="183" spans="1:21" ht="14.4" customHeight="1" x14ac:dyDescent="0.3">
      <c r="A183" s="660">
        <v>22</v>
      </c>
      <c r="B183" s="661" t="s">
        <v>530</v>
      </c>
      <c r="C183" s="661">
        <v>89301222</v>
      </c>
      <c r="D183" s="740" t="s">
        <v>1127</v>
      </c>
      <c r="E183" s="741" t="s">
        <v>797</v>
      </c>
      <c r="F183" s="661" t="s">
        <v>786</v>
      </c>
      <c r="G183" s="661" t="s">
        <v>948</v>
      </c>
      <c r="H183" s="661" t="s">
        <v>531</v>
      </c>
      <c r="I183" s="661" t="s">
        <v>949</v>
      </c>
      <c r="J183" s="661" t="s">
        <v>950</v>
      </c>
      <c r="K183" s="661" t="s">
        <v>951</v>
      </c>
      <c r="L183" s="662">
        <v>0</v>
      </c>
      <c r="M183" s="662">
        <v>0</v>
      </c>
      <c r="N183" s="661">
        <v>1</v>
      </c>
      <c r="O183" s="742">
        <v>1</v>
      </c>
      <c r="P183" s="662"/>
      <c r="Q183" s="677"/>
      <c r="R183" s="661"/>
      <c r="S183" s="677">
        <v>0</v>
      </c>
      <c r="T183" s="742"/>
      <c r="U183" s="700">
        <v>0</v>
      </c>
    </row>
    <row r="184" spans="1:21" ht="14.4" customHeight="1" x14ac:dyDescent="0.3">
      <c r="A184" s="660">
        <v>22</v>
      </c>
      <c r="B184" s="661" t="s">
        <v>530</v>
      </c>
      <c r="C184" s="661">
        <v>89301222</v>
      </c>
      <c r="D184" s="740" t="s">
        <v>1127</v>
      </c>
      <c r="E184" s="741" t="s">
        <v>798</v>
      </c>
      <c r="F184" s="661" t="s">
        <v>786</v>
      </c>
      <c r="G184" s="661" t="s">
        <v>1010</v>
      </c>
      <c r="H184" s="661" t="s">
        <v>531</v>
      </c>
      <c r="I184" s="661" t="s">
        <v>1100</v>
      </c>
      <c r="J184" s="661" t="s">
        <v>1101</v>
      </c>
      <c r="K184" s="661" t="s">
        <v>1013</v>
      </c>
      <c r="L184" s="662">
        <v>85.71</v>
      </c>
      <c r="M184" s="662">
        <v>85.71</v>
      </c>
      <c r="N184" s="661">
        <v>1</v>
      </c>
      <c r="O184" s="742">
        <v>0.5</v>
      </c>
      <c r="P184" s="662">
        <v>85.71</v>
      </c>
      <c r="Q184" s="677">
        <v>1</v>
      </c>
      <c r="R184" s="661">
        <v>1</v>
      </c>
      <c r="S184" s="677">
        <v>1</v>
      </c>
      <c r="T184" s="742">
        <v>0.5</v>
      </c>
      <c r="U184" s="700">
        <v>1</v>
      </c>
    </row>
    <row r="185" spans="1:21" ht="14.4" customHeight="1" x14ac:dyDescent="0.3">
      <c r="A185" s="660">
        <v>22</v>
      </c>
      <c r="B185" s="661" t="s">
        <v>530</v>
      </c>
      <c r="C185" s="661">
        <v>89301222</v>
      </c>
      <c r="D185" s="740" t="s">
        <v>1127</v>
      </c>
      <c r="E185" s="741" t="s">
        <v>798</v>
      </c>
      <c r="F185" s="661" t="s">
        <v>786</v>
      </c>
      <c r="G185" s="661" t="s">
        <v>1102</v>
      </c>
      <c r="H185" s="661" t="s">
        <v>625</v>
      </c>
      <c r="I185" s="661" t="s">
        <v>1103</v>
      </c>
      <c r="J185" s="661" t="s">
        <v>1104</v>
      </c>
      <c r="K185" s="661" t="s">
        <v>1105</v>
      </c>
      <c r="L185" s="662">
        <v>208.19</v>
      </c>
      <c r="M185" s="662">
        <v>208.19</v>
      </c>
      <c r="N185" s="661">
        <v>1</v>
      </c>
      <c r="O185" s="742">
        <v>1</v>
      </c>
      <c r="P185" s="662">
        <v>208.19</v>
      </c>
      <c r="Q185" s="677">
        <v>1</v>
      </c>
      <c r="R185" s="661">
        <v>1</v>
      </c>
      <c r="S185" s="677">
        <v>1</v>
      </c>
      <c r="T185" s="742">
        <v>1</v>
      </c>
      <c r="U185" s="700">
        <v>1</v>
      </c>
    </row>
    <row r="186" spans="1:21" ht="14.4" customHeight="1" x14ac:dyDescent="0.3">
      <c r="A186" s="660">
        <v>22</v>
      </c>
      <c r="B186" s="661" t="s">
        <v>530</v>
      </c>
      <c r="C186" s="661">
        <v>89301222</v>
      </c>
      <c r="D186" s="740" t="s">
        <v>1127</v>
      </c>
      <c r="E186" s="741" t="s">
        <v>798</v>
      </c>
      <c r="F186" s="661" t="s">
        <v>786</v>
      </c>
      <c r="G186" s="661" t="s">
        <v>1102</v>
      </c>
      <c r="H186" s="661" t="s">
        <v>625</v>
      </c>
      <c r="I186" s="661" t="s">
        <v>1106</v>
      </c>
      <c r="J186" s="661" t="s">
        <v>1107</v>
      </c>
      <c r="K186" s="661" t="s">
        <v>1108</v>
      </c>
      <c r="L186" s="662">
        <v>643.69000000000005</v>
      </c>
      <c r="M186" s="662">
        <v>643.69000000000005</v>
      </c>
      <c r="N186" s="661">
        <v>1</v>
      </c>
      <c r="O186" s="742">
        <v>0.5</v>
      </c>
      <c r="P186" s="662">
        <v>643.69000000000005</v>
      </c>
      <c r="Q186" s="677">
        <v>1</v>
      </c>
      <c r="R186" s="661">
        <v>1</v>
      </c>
      <c r="S186" s="677">
        <v>1</v>
      </c>
      <c r="T186" s="742">
        <v>0.5</v>
      </c>
      <c r="U186" s="700">
        <v>1</v>
      </c>
    </row>
    <row r="187" spans="1:21" ht="14.4" customHeight="1" x14ac:dyDescent="0.3">
      <c r="A187" s="660">
        <v>22</v>
      </c>
      <c r="B187" s="661" t="s">
        <v>530</v>
      </c>
      <c r="C187" s="661">
        <v>89301222</v>
      </c>
      <c r="D187" s="740" t="s">
        <v>1127</v>
      </c>
      <c r="E187" s="741" t="s">
        <v>798</v>
      </c>
      <c r="F187" s="661" t="s">
        <v>786</v>
      </c>
      <c r="G187" s="661" t="s">
        <v>801</v>
      </c>
      <c r="H187" s="661" t="s">
        <v>625</v>
      </c>
      <c r="I187" s="661" t="s">
        <v>802</v>
      </c>
      <c r="J187" s="661" t="s">
        <v>642</v>
      </c>
      <c r="K187" s="661" t="s">
        <v>643</v>
      </c>
      <c r="L187" s="662">
        <v>103.74</v>
      </c>
      <c r="M187" s="662">
        <v>103.74</v>
      </c>
      <c r="N187" s="661">
        <v>1</v>
      </c>
      <c r="O187" s="742">
        <v>1</v>
      </c>
      <c r="P187" s="662">
        <v>103.74</v>
      </c>
      <c r="Q187" s="677">
        <v>1</v>
      </c>
      <c r="R187" s="661">
        <v>1</v>
      </c>
      <c r="S187" s="677">
        <v>1</v>
      </c>
      <c r="T187" s="742">
        <v>1</v>
      </c>
      <c r="U187" s="700">
        <v>1</v>
      </c>
    </row>
    <row r="188" spans="1:21" ht="14.4" customHeight="1" x14ac:dyDescent="0.3">
      <c r="A188" s="660">
        <v>22</v>
      </c>
      <c r="B188" s="661" t="s">
        <v>530</v>
      </c>
      <c r="C188" s="661">
        <v>89301222</v>
      </c>
      <c r="D188" s="740" t="s">
        <v>1127</v>
      </c>
      <c r="E188" s="741" t="s">
        <v>798</v>
      </c>
      <c r="F188" s="661" t="s">
        <v>786</v>
      </c>
      <c r="G188" s="661" t="s">
        <v>1049</v>
      </c>
      <c r="H188" s="661" t="s">
        <v>531</v>
      </c>
      <c r="I188" s="661" t="s">
        <v>1109</v>
      </c>
      <c r="J188" s="661" t="s">
        <v>1110</v>
      </c>
      <c r="K188" s="661" t="s">
        <v>1052</v>
      </c>
      <c r="L188" s="662">
        <v>38.56</v>
      </c>
      <c r="M188" s="662">
        <v>77.12</v>
      </c>
      <c r="N188" s="661">
        <v>2</v>
      </c>
      <c r="O188" s="742">
        <v>1</v>
      </c>
      <c r="P188" s="662">
        <v>77.12</v>
      </c>
      <c r="Q188" s="677">
        <v>1</v>
      </c>
      <c r="R188" s="661">
        <v>2</v>
      </c>
      <c r="S188" s="677">
        <v>1</v>
      </c>
      <c r="T188" s="742">
        <v>1</v>
      </c>
      <c r="U188" s="700">
        <v>1</v>
      </c>
    </row>
    <row r="189" spans="1:21" ht="14.4" customHeight="1" x14ac:dyDescent="0.3">
      <c r="A189" s="660">
        <v>22</v>
      </c>
      <c r="B189" s="661" t="s">
        <v>530</v>
      </c>
      <c r="C189" s="661">
        <v>89301222</v>
      </c>
      <c r="D189" s="740" t="s">
        <v>1127</v>
      </c>
      <c r="E189" s="741" t="s">
        <v>798</v>
      </c>
      <c r="F189" s="661" t="s">
        <v>786</v>
      </c>
      <c r="G189" s="661" t="s">
        <v>806</v>
      </c>
      <c r="H189" s="661" t="s">
        <v>531</v>
      </c>
      <c r="I189" s="661" t="s">
        <v>839</v>
      </c>
      <c r="J189" s="661" t="s">
        <v>837</v>
      </c>
      <c r="K189" s="661" t="s">
        <v>809</v>
      </c>
      <c r="L189" s="662">
        <v>301.2</v>
      </c>
      <c r="M189" s="662">
        <v>301.2</v>
      </c>
      <c r="N189" s="661">
        <v>1</v>
      </c>
      <c r="O189" s="742">
        <v>1</v>
      </c>
      <c r="P189" s="662">
        <v>301.2</v>
      </c>
      <c r="Q189" s="677">
        <v>1</v>
      </c>
      <c r="R189" s="661">
        <v>1</v>
      </c>
      <c r="S189" s="677">
        <v>1</v>
      </c>
      <c r="T189" s="742">
        <v>1</v>
      </c>
      <c r="U189" s="700">
        <v>1</v>
      </c>
    </row>
    <row r="190" spans="1:21" ht="14.4" customHeight="1" x14ac:dyDescent="0.3">
      <c r="A190" s="660">
        <v>22</v>
      </c>
      <c r="B190" s="661" t="s">
        <v>530</v>
      </c>
      <c r="C190" s="661">
        <v>89301222</v>
      </c>
      <c r="D190" s="740" t="s">
        <v>1127</v>
      </c>
      <c r="E190" s="741" t="s">
        <v>798</v>
      </c>
      <c r="F190" s="661" t="s">
        <v>786</v>
      </c>
      <c r="G190" s="661" t="s">
        <v>806</v>
      </c>
      <c r="H190" s="661" t="s">
        <v>531</v>
      </c>
      <c r="I190" s="661" t="s">
        <v>807</v>
      </c>
      <c r="J190" s="661" t="s">
        <v>808</v>
      </c>
      <c r="K190" s="661" t="s">
        <v>809</v>
      </c>
      <c r="L190" s="662">
        <v>301.2</v>
      </c>
      <c r="M190" s="662">
        <v>301.2</v>
      </c>
      <c r="N190" s="661">
        <v>1</v>
      </c>
      <c r="O190" s="742">
        <v>1</v>
      </c>
      <c r="P190" s="662">
        <v>301.2</v>
      </c>
      <c r="Q190" s="677">
        <v>1</v>
      </c>
      <c r="R190" s="661">
        <v>1</v>
      </c>
      <c r="S190" s="677">
        <v>1</v>
      </c>
      <c r="T190" s="742">
        <v>1</v>
      </c>
      <c r="U190" s="700">
        <v>1</v>
      </c>
    </row>
    <row r="191" spans="1:21" ht="14.4" customHeight="1" x14ac:dyDescent="0.3">
      <c r="A191" s="660">
        <v>22</v>
      </c>
      <c r="B191" s="661" t="s">
        <v>530</v>
      </c>
      <c r="C191" s="661">
        <v>89301222</v>
      </c>
      <c r="D191" s="740" t="s">
        <v>1127</v>
      </c>
      <c r="E191" s="741" t="s">
        <v>799</v>
      </c>
      <c r="F191" s="661" t="s">
        <v>786</v>
      </c>
      <c r="G191" s="661" t="s">
        <v>1025</v>
      </c>
      <c r="H191" s="661" t="s">
        <v>531</v>
      </c>
      <c r="I191" s="661" t="s">
        <v>1026</v>
      </c>
      <c r="J191" s="661" t="s">
        <v>1027</v>
      </c>
      <c r="K191" s="661" t="s">
        <v>1028</v>
      </c>
      <c r="L191" s="662">
        <v>110.28</v>
      </c>
      <c r="M191" s="662">
        <v>330.84000000000003</v>
      </c>
      <c r="N191" s="661">
        <v>3</v>
      </c>
      <c r="O191" s="742">
        <v>0.5</v>
      </c>
      <c r="P191" s="662">
        <v>330.84000000000003</v>
      </c>
      <c r="Q191" s="677">
        <v>1</v>
      </c>
      <c r="R191" s="661">
        <v>3</v>
      </c>
      <c r="S191" s="677">
        <v>1</v>
      </c>
      <c r="T191" s="742">
        <v>0.5</v>
      </c>
      <c r="U191" s="700">
        <v>1</v>
      </c>
    </row>
    <row r="192" spans="1:21" ht="14.4" customHeight="1" x14ac:dyDescent="0.3">
      <c r="A192" s="660">
        <v>22</v>
      </c>
      <c r="B192" s="661" t="s">
        <v>530</v>
      </c>
      <c r="C192" s="661">
        <v>89301222</v>
      </c>
      <c r="D192" s="740" t="s">
        <v>1127</v>
      </c>
      <c r="E192" s="741" t="s">
        <v>799</v>
      </c>
      <c r="F192" s="661" t="s">
        <v>786</v>
      </c>
      <c r="G192" s="661" t="s">
        <v>968</v>
      </c>
      <c r="H192" s="661" t="s">
        <v>531</v>
      </c>
      <c r="I192" s="661" t="s">
        <v>969</v>
      </c>
      <c r="J192" s="661" t="s">
        <v>970</v>
      </c>
      <c r="K192" s="661" t="s">
        <v>971</v>
      </c>
      <c r="L192" s="662">
        <v>156.77000000000001</v>
      </c>
      <c r="M192" s="662">
        <v>470.31000000000006</v>
      </c>
      <c r="N192" s="661">
        <v>3</v>
      </c>
      <c r="O192" s="742">
        <v>0.5</v>
      </c>
      <c r="P192" s="662"/>
      <c r="Q192" s="677">
        <v>0</v>
      </c>
      <c r="R192" s="661"/>
      <c r="S192" s="677">
        <v>0</v>
      </c>
      <c r="T192" s="742"/>
      <c r="U192" s="700">
        <v>0</v>
      </c>
    </row>
    <row r="193" spans="1:21" ht="14.4" customHeight="1" x14ac:dyDescent="0.3">
      <c r="A193" s="660">
        <v>22</v>
      </c>
      <c r="B193" s="661" t="s">
        <v>530</v>
      </c>
      <c r="C193" s="661">
        <v>89301222</v>
      </c>
      <c r="D193" s="740" t="s">
        <v>1127</v>
      </c>
      <c r="E193" s="741" t="s">
        <v>799</v>
      </c>
      <c r="F193" s="661" t="s">
        <v>786</v>
      </c>
      <c r="G193" s="661" t="s">
        <v>822</v>
      </c>
      <c r="H193" s="661" t="s">
        <v>531</v>
      </c>
      <c r="I193" s="661" t="s">
        <v>823</v>
      </c>
      <c r="J193" s="661" t="s">
        <v>824</v>
      </c>
      <c r="K193" s="661"/>
      <c r="L193" s="662">
        <v>0</v>
      </c>
      <c r="M193" s="662">
        <v>0</v>
      </c>
      <c r="N193" s="661">
        <v>3</v>
      </c>
      <c r="O193" s="742">
        <v>2.5</v>
      </c>
      <c r="P193" s="662">
        <v>0</v>
      </c>
      <c r="Q193" s="677"/>
      <c r="R193" s="661">
        <v>3</v>
      </c>
      <c r="S193" s="677">
        <v>1</v>
      </c>
      <c r="T193" s="742">
        <v>2.5</v>
      </c>
      <c r="U193" s="700">
        <v>1</v>
      </c>
    </row>
    <row r="194" spans="1:21" ht="14.4" customHeight="1" x14ac:dyDescent="0.3">
      <c r="A194" s="660">
        <v>22</v>
      </c>
      <c r="B194" s="661" t="s">
        <v>530</v>
      </c>
      <c r="C194" s="661">
        <v>89301222</v>
      </c>
      <c r="D194" s="740" t="s">
        <v>1127</v>
      </c>
      <c r="E194" s="741" t="s">
        <v>799</v>
      </c>
      <c r="F194" s="661" t="s">
        <v>786</v>
      </c>
      <c r="G194" s="661" t="s">
        <v>801</v>
      </c>
      <c r="H194" s="661" t="s">
        <v>531</v>
      </c>
      <c r="I194" s="661" t="s">
        <v>825</v>
      </c>
      <c r="J194" s="661" t="s">
        <v>826</v>
      </c>
      <c r="K194" s="661" t="s">
        <v>827</v>
      </c>
      <c r="L194" s="662">
        <v>0</v>
      </c>
      <c r="M194" s="662">
        <v>0</v>
      </c>
      <c r="N194" s="661">
        <v>1</v>
      </c>
      <c r="O194" s="742">
        <v>0.5</v>
      </c>
      <c r="P194" s="662"/>
      <c r="Q194" s="677"/>
      <c r="R194" s="661"/>
      <c r="S194" s="677">
        <v>0</v>
      </c>
      <c r="T194" s="742"/>
      <c r="U194" s="700">
        <v>0</v>
      </c>
    </row>
    <row r="195" spans="1:21" ht="14.4" customHeight="1" x14ac:dyDescent="0.3">
      <c r="A195" s="660">
        <v>22</v>
      </c>
      <c r="B195" s="661" t="s">
        <v>530</v>
      </c>
      <c r="C195" s="661">
        <v>89301222</v>
      </c>
      <c r="D195" s="740" t="s">
        <v>1127</v>
      </c>
      <c r="E195" s="741" t="s">
        <v>799</v>
      </c>
      <c r="F195" s="661" t="s">
        <v>786</v>
      </c>
      <c r="G195" s="661" t="s">
        <v>801</v>
      </c>
      <c r="H195" s="661" t="s">
        <v>625</v>
      </c>
      <c r="I195" s="661" t="s">
        <v>802</v>
      </c>
      <c r="J195" s="661" t="s">
        <v>642</v>
      </c>
      <c r="K195" s="661" t="s">
        <v>643</v>
      </c>
      <c r="L195" s="662">
        <v>103.74</v>
      </c>
      <c r="M195" s="662">
        <v>103.74</v>
      </c>
      <c r="N195" s="661">
        <v>1</v>
      </c>
      <c r="O195" s="742">
        <v>0.5</v>
      </c>
      <c r="P195" s="662">
        <v>103.74</v>
      </c>
      <c r="Q195" s="677">
        <v>1</v>
      </c>
      <c r="R195" s="661">
        <v>1</v>
      </c>
      <c r="S195" s="677">
        <v>1</v>
      </c>
      <c r="T195" s="742">
        <v>0.5</v>
      </c>
      <c r="U195" s="700">
        <v>1</v>
      </c>
    </row>
    <row r="196" spans="1:21" ht="14.4" customHeight="1" x14ac:dyDescent="0.3">
      <c r="A196" s="660">
        <v>22</v>
      </c>
      <c r="B196" s="661" t="s">
        <v>530</v>
      </c>
      <c r="C196" s="661">
        <v>89301222</v>
      </c>
      <c r="D196" s="740" t="s">
        <v>1127</v>
      </c>
      <c r="E196" s="741" t="s">
        <v>799</v>
      </c>
      <c r="F196" s="661" t="s">
        <v>786</v>
      </c>
      <c r="G196" s="661" t="s">
        <v>801</v>
      </c>
      <c r="H196" s="661" t="s">
        <v>531</v>
      </c>
      <c r="I196" s="661" t="s">
        <v>844</v>
      </c>
      <c r="J196" s="661" t="s">
        <v>845</v>
      </c>
      <c r="K196" s="661" t="s">
        <v>846</v>
      </c>
      <c r="L196" s="662">
        <v>103.74</v>
      </c>
      <c r="M196" s="662">
        <v>103.74</v>
      </c>
      <c r="N196" s="661">
        <v>1</v>
      </c>
      <c r="O196" s="742">
        <v>1</v>
      </c>
      <c r="P196" s="662"/>
      <c r="Q196" s="677">
        <v>0</v>
      </c>
      <c r="R196" s="661"/>
      <c r="S196" s="677">
        <v>0</v>
      </c>
      <c r="T196" s="742"/>
      <c r="U196" s="700">
        <v>0</v>
      </c>
    </row>
    <row r="197" spans="1:21" ht="14.4" customHeight="1" x14ac:dyDescent="0.3">
      <c r="A197" s="660">
        <v>22</v>
      </c>
      <c r="B197" s="661" t="s">
        <v>530</v>
      </c>
      <c r="C197" s="661">
        <v>89301222</v>
      </c>
      <c r="D197" s="740" t="s">
        <v>1127</v>
      </c>
      <c r="E197" s="741" t="s">
        <v>799</v>
      </c>
      <c r="F197" s="661" t="s">
        <v>786</v>
      </c>
      <c r="G197" s="661" t="s">
        <v>801</v>
      </c>
      <c r="H197" s="661" t="s">
        <v>625</v>
      </c>
      <c r="I197" s="661" t="s">
        <v>803</v>
      </c>
      <c r="J197" s="661" t="s">
        <v>804</v>
      </c>
      <c r="K197" s="661" t="s">
        <v>805</v>
      </c>
      <c r="L197" s="662">
        <v>124.49</v>
      </c>
      <c r="M197" s="662">
        <v>1742.86</v>
      </c>
      <c r="N197" s="661">
        <v>14</v>
      </c>
      <c r="O197" s="742">
        <v>11.5</v>
      </c>
      <c r="P197" s="662">
        <v>746.93999999999994</v>
      </c>
      <c r="Q197" s="677">
        <v>0.42857142857142855</v>
      </c>
      <c r="R197" s="661">
        <v>6</v>
      </c>
      <c r="S197" s="677">
        <v>0.42857142857142855</v>
      </c>
      <c r="T197" s="742">
        <v>4</v>
      </c>
      <c r="U197" s="700">
        <v>0.34782608695652173</v>
      </c>
    </row>
    <row r="198" spans="1:21" ht="14.4" customHeight="1" x14ac:dyDescent="0.3">
      <c r="A198" s="660">
        <v>22</v>
      </c>
      <c r="B198" s="661" t="s">
        <v>530</v>
      </c>
      <c r="C198" s="661">
        <v>89301222</v>
      </c>
      <c r="D198" s="740" t="s">
        <v>1127</v>
      </c>
      <c r="E198" s="741" t="s">
        <v>799</v>
      </c>
      <c r="F198" s="661" t="s">
        <v>786</v>
      </c>
      <c r="G198" s="661" t="s">
        <v>801</v>
      </c>
      <c r="H198" s="661" t="s">
        <v>625</v>
      </c>
      <c r="I198" s="661" t="s">
        <v>631</v>
      </c>
      <c r="J198" s="661" t="s">
        <v>632</v>
      </c>
      <c r="K198" s="661" t="s">
        <v>768</v>
      </c>
      <c r="L198" s="662">
        <v>82.99</v>
      </c>
      <c r="M198" s="662">
        <v>663.92</v>
      </c>
      <c r="N198" s="661">
        <v>8</v>
      </c>
      <c r="O198" s="742">
        <v>6.5</v>
      </c>
      <c r="P198" s="662">
        <v>331.96</v>
      </c>
      <c r="Q198" s="677">
        <v>0.5</v>
      </c>
      <c r="R198" s="661">
        <v>4</v>
      </c>
      <c r="S198" s="677">
        <v>0.5</v>
      </c>
      <c r="T198" s="742">
        <v>3</v>
      </c>
      <c r="U198" s="700">
        <v>0.46153846153846156</v>
      </c>
    </row>
    <row r="199" spans="1:21" ht="14.4" customHeight="1" x14ac:dyDescent="0.3">
      <c r="A199" s="660">
        <v>22</v>
      </c>
      <c r="B199" s="661" t="s">
        <v>530</v>
      </c>
      <c r="C199" s="661">
        <v>89301222</v>
      </c>
      <c r="D199" s="740" t="s">
        <v>1127</v>
      </c>
      <c r="E199" s="741" t="s">
        <v>799</v>
      </c>
      <c r="F199" s="661" t="s">
        <v>786</v>
      </c>
      <c r="G199" s="661" t="s">
        <v>801</v>
      </c>
      <c r="H199" s="661" t="s">
        <v>625</v>
      </c>
      <c r="I199" s="661" t="s">
        <v>849</v>
      </c>
      <c r="J199" s="661" t="s">
        <v>850</v>
      </c>
      <c r="K199" s="661" t="s">
        <v>805</v>
      </c>
      <c r="L199" s="662">
        <v>124.49</v>
      </c>
      <c r="M199" s="662">
        <v>124.49</v>
      </c>
      <c r="N199" s="661">
        <v>1</v>
      </c>
      <c r="O199" s="742">
        <v>0.5</v>
      </c>
      <c r="P199" s="662"/>
      <c r="Q199" s="677">
        <v>0</v>
      </c>
      <c r="R199" s="661"/>
      <c r="S199" s="677">
        <v>0</v>
      </c>
      <c r="T199" s="742"/>
      <c r="U199" s="700">
        <v>0</v>
      </c>
    </row>
    <row r="200" spans="1:21" ht="14.4" customHeight="1" x14ac:dyDescent="0.3">
      <c r="A200" s="660">
        <v>22</v>
      </c>
      <c r="B200" s="661" t="s">
        <v>530</v>
      </c>
      <c r="C200" s="661">
        <v>89301222</v>
      </c>
      <c r="D200" s="740" t="s">
        <v>1127</v>
      </c>
      <c r="E200" s="741" t="s">
        <v>799</v>
      </c>
      <c r="F200" s="661" t="s">
        <v>786</v>
      </c>
      <c r="G200" s="661" t="s">
        <v>801</v>
      </c>
      <c r="H200" s="661" t="s">
        <v>531</v>
      </c>
      <c r="I200" s="661" t="s">
        <v>851</v>
      </c>
      <c r="J200" s="661" t="s">
        <v>852</v>
      </c>
      <c r="K200" s="661" t="s">
        <v>853</v>
      </c>
      <c r="L200" s="662">
        <v>82.99</v>
      </c>
      <c r="M200" s="662">
        <v>414.94999999999993</v>
      </c>
      <c r="N200" s="661">
        <v>5</v>
      </c>
      <c r="O200" s="742">
        <v>4</v>
      </c>
      <c r="P200" s="662">
        <v>165.98</v>
      </c>
      <c r="Q200" s="677">
        <v>0.4</v>
      </c>
      <c r="R200" s="661">
        <v>2</v>
      </c>
      <c r="S200" s="677">
        <v>0.4</v>
      </c>
      <c r="T200" s="742">
        <v>1.5</v>
      </c>
      <c r="U200" s="700">
        <v>0.375</v>
      </c>
    </row>
    <row r="201" spans="1:21" ht="14.4" customHeight="1" x14ac:dyDescent="0.3">
      <c r="A201" s="660">
        <v>22</v>
      </c>
      <c r="B201" s="661" t="s">
        <v>530</v>
      </c>
      <c r="C201" s="661">
        <v>89301222</v>
      </c>
      <c r="D201" s="740" t="s">
        <v>1127</v>
      </c>
      <c r="E201" s="741" t="s">
        <v>799</v>
      </c>
      <c r="F201" s="661" t="s">
        <v>786</v>
      </c>
      <c r="G201" s="661" t="s">
        <v>1111</v>
      </c>
      <c r="H201" s="661" t="s">
        <v>625</v>
      </c>
      <c r="I201" s="661" t="s">
        <v>1112</v>
      </c>
      <c r="J201" s="661" t="s">
        <v>1113</v>
      </c>
      <c r="K201" s="661" t="s">
        <v>1114</v>
      </c>
      <c r="L201" s="662">
        <v>407.55</v>
      </c>
      <c r="M201" s="662">
        <v>407.55</v>
      </c>
      <c r="N201" s="661">
        <v>1</v>
      </c>
      <c r="O201" s="742">
        <v>1</v>
      </c>
      <c r="P201" s="662">
        <v>407.55</v>
      </c>
      <c r="Q201" s="677">
        <v>1</v>
      </c>
      <c r="R201" s="661">
        <v>1</v>
      </c>
      <c r="S201" s="677">
        <v>1</v>
      </c>
      <c r="T201" s="742">
        <v>1</v>
      </c>
      <c r="U201" s="700">
        <v>1</v>
      </c>
    </row>
    <row r="202" spans="1:21" ht="14.4" customHeight="1" x14ac:dyDescent="0.3">
      <c r="A202" s="660">
        <v>22</v>
      </c>
      <c r="B202" s="661" t="s">
        <v>530</v>
      </c>
      <c r="C202" s="661">
        <v>89301222</v>
      </c>
      <c r="D202" s="740" t="s">
        <v>1127</v>
      </c>
      <c r="E202" s="741" t="s">
        <v>799</v>
      </c>
      <c r="F202" s="661" t="s">
        <v>786</v>
      </c>
      <c r="G202" s="661" t="s">
        <v>1115</v>
      </c>
      <c r="H202" s="661" t="s">
        <v>625</v>
      </c>
      <c r="I202" s="661" t="s">
        <v>1116</v>
      </c>
      <c r="J202" s="661" t="s">
        <v>1117</v>
      </c>
      <c r="K202" s="661" t="s">
        <v>1118</v>
      </c>
      <c r="L202" s="662">
        <v>300.68</v>
      </c>
      <c r="M202" s="662">
        <v>300.68</v>
      </c>
      <c r="N202" s="661">
        <v>1</v>
      </c>
      <c r="O202" s="742">
        <v>1</v>
      </c>
      <c r="P202" s="662">
        <v>300.68</v>
      </c>
      <c r="Q202" s="677">
        <v>1</v>
      </c>
      <c r="R202" s="661">
        <v>1</v>
      </c>
      <c r="S202" s="677">
        <v>1</v>
      </c>
      <c r="T202" s="742">
        <v>1</v>
      </c>
      <c r="U202" s="700">
        <v>1</v>
      </c>
    </row>
    <row r="203" spans="1:21" ht="14.4" customHeight="1" x14ac:dyDescent="0.3">
      <c r="A203" s="660">
        <v>22</v>
      </c>
      <c r="B203" s="661" t="s">
        <v>530</v>
      </c>
      <c r="C203" s="661">
        <v>89301222</v>
      </c>
      <c r="D203" s="740" t="s">
        <v>1127</v>
      </c>
      <c r="E203" s="741" t="s">
        <v>800</v>
      </c>
      <c r="F203" s="661" t="s">
        <v>786</v>
      </c>
      <c r="G203" s="661" t="s">
        <v>860</v>
      </c>
      <c r="H203" s="661" t="s">
        <v>531</v>
      </c>
      <c r="I203" s="661" t="s">
        <v>1119</v>
      </c>
      <c r="J203" s="661" t="s">
        <v>1009</v>
      </c>
      <c r="K203" s="661" t="s">
        <v>1120</v>
      </c>
      <c r="L203" s="662">
        <v>0</v>
      </c>
      <c r="M203" s="662">
        <v>0</v>
      </c>
      <c r="N203" s="661">
        <v>1</v>
      </c>
      <c r="O203" s="742">
        <v>0.5</v>
      </c>
      <c r="P203" s="662"/>
      <c r="Q203" s="677"/>
      <c r="R203" s="661"/>
      <c r="S203" s="677">
        <v>0</v>
      </c>
      <c r="T203" s="742"/>
      <c r="U203" s="700">
        <v>0</v>
      </c>
    </row>
    <row r="204" spans="1:21" ht="14.4" customHeight="1" x14ac:dyDescent="0.3">
      <c r="A204" s="660">
        <v>22</v>
      </c>
      <c r="B204" s="661" t="s">
        <v>530</v>
      </c>
      <c r="C204" s="661">
        <v>89301222</v>
      </c>
      <c r="D204" s="740" t="s">
        <v>1127</v>
      </c>
      <c r="E204" s="741" t="s">
        <v>800</v>
      </c>
      <c r="F204" s="661" t="s">
        <v>786</v>
      </c>
      <c r="G204" s="661" t="s">
        <v>860</v>
      </c>
      <c r="H204" s="661" t="s">
        <v>531</v>
      </c>
      <c r="I204" s="661" t="s">
        <v>861</v>
      </c>
      <c r="J204" s="661" t="s">
        <v>862</v>
      </c>
      <c r="K204" s="661" t="s">
        <v>863</v>
      </c>
      <c r="L204" s="662">
        <v>254.83</v>
      </c>
      <c r="M204" s="662">
        <v>254.83</v>
      </c>
      <c r="N204" s="661">
        <v>1</v>
      </c>
      <c r="O204" s="742">
        <v>1</v>
      </c>
      <c r="P204" s="662">
        <v>254.83</v>
      </c>
      <c r="Q204" s="677">
        <v>1</v>
      </c>
      <c r="R204" s="661">
        <v>1</v>
      </c>
      <c r="S204" s="677">
        <v>1</v>
      </c>
      <c r="T204" s="742">
        <v>1</v>
      </c>
      <c r="U204" s="700">
        <v>1</v>
      </c>
    </row>
    <row r="205" spans="1:21" ht="14.4" customHeight="1" x14ac:dyDescent="0.3">
      <c r="A205" s="660">
        <v>22</v>
      </c>
      <c r="B205" s="661" t="s">
        <v>530</v>
      </c>
      <c r="C205" s="661">
        <v>89301222</v>
      </c>
      <c r="D205" s="740" t="s">
        <v>1127</v>
      </c>
      <c r="E205" s="741" t="s">
        <v>800</v>
      </c>
      <c r="F205" s="661" t="s">
        <v>786</v>
      </c>
      <c r="G205" s="661" t="s">
        <v>822</v>
      </c>
      <c r="H205" s="661" t="s">
        <v>531</v>
      </c>
      <c r="I205" s="661" t="s">
        <v>823</v>
      </c>
      <c r="J205" s="661" t="s">
        <v>824</v>
      </c>
      <c r="K205" s="661"/>
      <c r="L205" s="662">
        <v>0</v>
      </c>
      <c r="M205" s="662">
        <v>0</v>
      </c>
      <c r="N205" s="661">
        <v>3</v>
      </c>
      <c r="O205" s="742">
        <v>2.5</v>
      </c>
      <c r="P205" s="662">
        <v>0</v>
      </c>
      <c r="Q205" s="677"/>
      <c r="R205" s="661">
        <v>3</v>
      </c>
      <c r="S205" s="677">
        <v>1</v>
      </c>
      <c r="T205" s="742">
        <v>2.5</v>
      </c>
      <c r="U205" s="700">
        <v>1</v>
      </c>
    </row>
    <row r="206" spans="1:21" ht="14.4" customHeight="1" x14ac:dyDescent="0.3">
      <c r="A206" s="660">
        <v>22</v>
      </c>
      <c r="B206" s="661" t="s">
        <v>530</v>
      </c>
      <c r="C206" s="661">
        <v>89301222</v>
      </c>
      <c r="D206" s="740" t="s">
        <v>1127</v>
      </c>
      <c r="E206" s="741" t="s">
        <v>800</v>
      </c>
      <c r="F206" s="661" t="s">
        <v>786</v>
      </c>
      <c r="G206" s="661" t="s">
        <v>822</v>
      </c>
      <c r="H206" s="661" t="s">
        <v>531</v>
      </c>
      <c r="I206" s="661" t="s">
        <v>1121</v>
      </c>
      <c r="J206" s="661" t="s">
        <v>824</v>
      </c>
      <c r="K206" s="661"/>
      <c r="L206" s="662">
        <v>0</v>
      </c>
      <c r="M206" s="662">
        <v>0</v>
      </c>
      <c r="N206" s="661">
        <v>1</v>
      </c>
      <c r="O206" s="742">
        <v>1</v>
      </c>
      <c r="P206" s="662">
        <v>0</v>
      </c>
      <c r="Q206" s="677"/>
      <c r="R206" s="661">
        <v>1</v>
      </c>
      <c r="S206" s="677">
        <v>1</v>
      </c>
      <c r="T206" s="742">
        <v>1</v>
      </c>
      <c r="U206" s="700">
        <v>1</v>
      </c>
    </row>
    <row r="207" spans="1:21" ht="14.4" customHeight="1" x14ac:dyDescent="0.3">
      <c r="A207" s="660">
        <v>22</v>
      </c>
      <c r="B207" s="661" t="s">
        <v>530</v>
      </c>
      <c r="C207" s="661">
        <v>89301222</v>
      </c>
      <c r="D207" s="740" t="s">
        <v>1127</v>
      </c>
      <c r="E207" s="741" t="s">
        <v>800</v>
      </c>
      <c r="F207" s="661" t="s">
        <v>786</v>
      </c>
      <c r="G207" s="661" t="s">
        <v>801</v>
      </c>
      <c r="H207" s="661" t="s">
        <v>625</v>
      </c>
      <c r="I207" s="661" t="s">
        <v>911</v>
      </c>
      <c r="J207" s="661" t="s">
        <v>912</v>
      </c>
      <c r="K207" s="661" t="s">
        <v>913</v>
      </c>
      <c r="L207" s="662">
        <v>0</v>
      </c>
      <c r="M207" s="662">
        <v>0</v>
      </c>
      <c r="N207" s="661">
        <v>3</v>
      </c>
      <c r="O207" s="742">
        <v>2.5</v>
      </c>
      <c r="P207" s="662">
        <v>0</v>
      </c>
      <c r="Q207" s="677"/>
      <c r="R207" s="661">
        <v>2</v>
      </c>
      <c r="S207" s="677">
        <v>0.66666666666666663</v>
      </c>
      <c r="T207" s="742">
        <v>1.5</v>
      </c>
      <c r="U207" s="700">
        <v>0.6</v>
      </c>
    </row>
    <row r="208" spans="1:21" ht="14.4" customHeight="1" x14ac:dyDescent="0.3">
      <c r="A208" s="660">
        <v>22</v>
      </c>
      <c r="B208" s="661" t="s">
        <v>530</v>
      </c>
      <c r="C208" s="661">
        <v>89301222</v>
      </c>
      <c r="D208" s="740" t="s">
        <v>1127</v>
      </c>
      <c r="E208" s="741" t="s">
        <v>800</v>
      </c>
      <c r="F208" s="661" t="s">
        <v>786</v>
      </c>
      <c r="G208" s="661" t="s">
        <v>801</v>
      </c>
      <c r="H208" s="661" t="s">
        <v>625</v>
      </c>
      <c r="I208" s="661" t="s">
        <v>828</v>
      </c>
      <c r="J208" s="661" t="s">
        <v>829</v>
      </c>
      <c r="K208" s="661" t="s">
        <v>830</v>
      </c>
      <c r="L208" s="662">
        <v>0</v>
      </c>
      <c r="M208" s="662">
        <v>0</v>
      </c>
      <c r="N208" s="661">
        <v>1</v>
      </c>
      <c r="O208" s="742">
        <v>1</v>
      </c>
      <c r="P208" s="662">
        <v>0</v>
      </c>
      <c r="Q208" s="677"/>
      <c r="R208" s="661">
        <v>1</v>
      </c>
      <c r="S208" s="677">
        <v>1</v>
      </c>
      <c r="T208" s="742">
        <v>1</v>
      </c>
      <c r="U208" s="700">
        <v>1</v>
      </c>
    </row>
    <row r="209" spans="1:21" ht="14.4" customHeight="1" x14ac:dyDescent="0.3">
      <c r="A209" s="660">
        <v>22</v>
      </c>
      <c r="B209" s="661" t="s">
        <v>530</v>
      </c>
      <c r="C209" s="661">
        <v>89301222</v>
      </c>
      <c r="D209" s="740" t="s">
        <v>1127</v>
      </c>
      <c r="E209" s="741" t="s">
        <v>800</v>
      </c>
      <c r="F209" s="661" t="s">
        <v>786</v>
      </c>
      <c r="G209" s="661" t="s">
        <v>801</v>
      </c>
      <c r="H209" s="661" t="s">
        <v>625</v>
      </c>
      <c r="I209" s="661" t="s">
        <v>641</v>
      </c>
      <c r="J209" s="661" t="s">
        <v>642</v>
      </c>
      <c r="K209" s="661" t="s">
        <v>643</v>
      </c>
      <c r="L209" s="662">
        <v>103.74</v>
      </c>
      <c r="M209" s="662">
        <v>103.74</v>
      </c>
      <c r="N209" s="661">
        <v>1</v>
      </c>
      <c r="O209" s="742">
        <v>1</v>
      </c>
      <c r="P209" s="662">
        <v>103.74</v>
      </c>
      <c r="Q209" s="677">
        <v>1</v>
      </c>
      <c r="R209" s="661">
        <v>1</v>
      </c>
      <c r="S209" s="677">
        <v>1</v>
      </c>
      <c r="T209" s="742">
        <v>1</v>
      </c>
      <c r="U209" s="700">
        <v>1</v>
      </c>
    </row>
    <row r="210" spans="1:21" ht="14.4" customHeight="1" x14ac:dyDescent="0.3">
      <c r="A210" s="660">
        <v>22</v>
      </c>
      <c r="B210" s="661" t="s">
        <v>530</v>
      </c>
      <c r="C210" s="661">
        <v>89301222</v>
      </c>
      <c r="D210" s="740" t="s">
        <v>1127</v>
      </c>
      <c r="E210" s="741" t="s">
        <v>800</v>
      </c>
      <c r="F210" s="661" t="s">
        <v>786</v>
      </c>
      <c r="G210" s="661" t="s">
        <v>801</v>
      </c>
      <c r="H210" s="661" t="s">
        <v>625</v>
      </c>
      <c r="I210" s="661" t="s">
        <v>831</v>
      </c>
      <c r="J210" s="661" t="s">
        <v>632</v>
      </c>
      <c r="K210" s="661" t="s">
        <v>832</v>
      </c>
      <c r="L210" s="662">
        <v>82.99</v>
      </c>
      <c r="M210" s="662">
        <v>82.99</v>
      </c>
      <c r="N210" s="661">
        <v>1</v>
      </c>
      <c r="O210" s="742">
        <v>1</v>
      </c>
      <c r="P210" s="662"/>
      <c r="Q210" s="677">
        <v>0</v>
      </c>
      <c r="R210" s="661"/>
      <c r="S210" s="677">
        <v>0</v>
      </c>
      <c r="T210" s="742"/>
      <c r="U210" s="700">
        <v>0</v>
      </c>
    </row>
    <row r="211" spans="1:21" ht="14.4" customHeight="1" x14ac:dyDescent="0.3">
      <c r="A211" s="660">
        <v>22</v>
      </c>
      <c r="B211" s="661" t="s">
        <v>530</v>
      </c>
      <c r="C211" s="661">
        <v>89301222</v>
      </c>
      <c r="D211" s="740" t="s">
        <v>1127</v>
      </c>
      <c r="E211" s="741" t="s">
        <v>800</v>
      </c>
      <c r="F211" s="661" t="s">
        <v>786</v>
      </c>
      <c r="G211" s="661" t="s">
        <v>801</v>
      </c>
      <c r="H211" s="661" t="s">
        <v>625</v>
      </c>
      <c r="I211" s="661" t="s">
        <v>802</v>
      </c>
      <c r="J211" s="661" t="s">
        <v>642</v>
      </c>
      <c r="K211" s="661" t="s">
        <v>643</v>
      </c>
      <c r="L211" s="662">
        <v>103.74</v>
      </c>
      <c r="M211" s="662">
        <v>311.21999999999997</v>
      </c>
      <c r="N211" s="661">
        <v>3</v>
      </c>
      <c r="O211" s="742">
        <v>2.5</v>
      </c>
      <c r="P211" s="662"/>
      <c r="Q211" s="677">
        <v>0</v>
      </c>
      <c r="R211" s="661"/>
      <c r="S211" s="677">
        <v>0</v>
      </c>
      <c r="T211" s="742"/>
      <c r="U211" s="700">
        <v>0</v>
      </c>
    </row>
    <row r="212" spans="1:21" ht="14.4" customHeight="1" x14ac:dyDescent="0.3">
      <c r="A212" s="660">
        <v>22</v>
      </c>
      <c r="B212" s="661" t="s">
        <v>530</v>
      </c>
      <c r="C212" s="661">
        <v>89301222</v>
      </c>
      <c r="D212" s="740" t="s">
        <v>1127</v>
      </c>
      <c r="E212" s="741" t="s">
        <v>800</v>
      </c>
      <c r="F212" s="661" t="s">
        <v>786</v>
      </c>
      <c r="G212" s="661" t="s">
        <v>801</v>
      </c>
      <c r="H212" s="661" t="s">
        <v>625</v>
      </c>
      <c r="I212" s="661" t="s">
        <v>981</v>
      </c>
      <c r="J212" s="661" t="s">
        <v>982</v>
      </c>
      <c r="K212" s="661" t="s">
        <v>983</v>
      </c>
      <c r="L212" s="662">
        <v>62.24</v>
      </c>
      <c r="M212" s="662">
        <v>62.24</v>
      </c>
      <c r="N212" s="661">
        <v>1</v>
      </c>
      <c r="O212" s="742">
        <v>1</v>
      </c>
      <c r="P212" s="662"/>
      <c r="Q212" s="677">
        <v>0</v>
      </c>
      <c r="R212" s="661"/>
      <c r="S212" s="677">
        <v>0</v>
      </c>
      <c r="T212" s="742"/>
      <c r="U212" s="700">
        <v>0</v>
      </c>
    </row>
    <row r="213" spans="1:21" ht="14.4" customHeight="1" x14ac:dyDescent="0.3">
      <c r="A213" s="660">
        <v>22</v>
      </c>
      <c r="B213" s="661" t="s">
        <v>530</v>
      </c>
      <c r="C213" s="661">
        <v>89301222</v>
      </c>
      <c r="D213" s="740" t="s">
        <v>1127</v>
      </c>
      <c r="E213" s="741" t="s">
        <v>800</v>
      </c>
      <c r="F213" s="661" t="s">
        <v>786</v>
      </c>
      <c r="G213" s="661" t="s">
        <v>801</v>
      </c>
      <c r="H213" s="661" t="s">
        <v>625</v>
      </c>
      <c r="I213" s="661" t="s">
        <v>803</v>
      </c>
      <c r="J213" s="661" t="s">
        <v>804</v>
      </c>
      <c r="K213" s="661" t="s">
        <v>805</v>
      </c>
      <c r="L213" s="662">
        <v>124.49</v>
      </c>
      <c r="M213" s="662">
        <v>1618.37</v>
      </c>
      <c r="N213" s="661">
        <v>13</v>
      </c>
      <c r="O213" s="742">
        <v>9.5</v>
      </c>
      <c r="P213" s="662">
        <v>373.46999999999997</v>
      </c>
      <c r="Q213" s="677">
        <v>0.23076923076923075</v>
      </c>
      <c r="R213" s="661">
        <v>3</v>
      </c>
      <c r="S213" s="677">
        <v>0.23076923076923078</v>
      </c>
      <c r="T213" s="742">
        <v>2</v>
      </c>
      <c r="U213" s="700">
        <v>0.21052631578947367</v>
      </c>
    </row>
    <row r="214" spans="1:21" ht="14.4" customHeight="1" x14ac:dyDescent="0.3">
      <c r="A214" s="660">
        <v>22</v>
      </c>
      <c r="B214" s="661" t="s">
        <v>530</v>
      </c>
      <c r="C214" s="661">
        <v>89301222</v>
      </c>
      <c r="D214" s="740" t="s">
        <v>1127</v>
      </c>
      <c r="E214" s="741" t="s">
        <v>800</v>
      </c>
      <c r="F214" s="661" t="s">
        <v>786</v>
      </c>
      <c r="G214" s="661" t="s">
        <v>801</v>
      </c>
      <c r="H214" s="661" t="s">
        <v>625</v>
      </c>
      <c r="I214" s="661" t="s">
        <v>631</v>
      </c>
      <c r="J214" s="661" t="s">
        <v>632</v>
      </c>
      <c r="K214" s="661" t="s">
        <v>768</v>
      </c>
      <c r="L214" s="662">
        <v>82.99</v>
      </c>
      <c r="M214" s="662">
        <v>746.91</v>
      </c>
      <c r="N214" s="661">
        <v>9</v>
      </c>
      <c r="O214" s="742">
        <v>5.5</v>
      </c>
      <c r="P214" s="662">
        <v>165.98</v>
      </c>
      <c r="Q214" s="677">
        <v>0.22222222222222221</v>
      </c>
      <c r="R214" s="661">
        <v>2</v>
      </c>
      <c r="S214" s="677">
        <v>0.22222222222222221</v>
      </c>
      <c r="T214" s="742">
        <v>1.5</v>
      </c>
      <c r="U214" s="700">
        <v>0.27272727272727271</v>
      </c>
    </row>
    <row r="215" spans="1:21" ht="14.4" customHeight="1" x14ac:dyDescent="0.3">
      <c r="A215" s="660">
        <v>22</v>
      </c>
      <c r="B215" s="661" t="s">
        <v>530</v>
      </c>
      <c r="C215" s="661">
        <v>89301222</v>
      </c>
      <c r="D215" s="740" t="s">
        <v>1127</v>
      </c>
      <c r="E215" s="741" t="s">
        <v>800</v>
      </c>
      <c r="F215" s="661" t="s">
        <v>786</v>
      </c>
      <c r="G215" s="661" t="s">
        <v>801</v>
      </c>
      <c r="H215" s="661" t="s">
        <v>625</v>
      </c>
      <c r="I215" s="661" t="s">
        <v>635</v>
      </c>
      <c r="J215" s="661" t="s">
        <v>769</v>
      </c>
      <c r="K215" s="661" t="s">
        <v>770</v>
      </c>
      <c r="L215" s="662">
        <v>48.37</v>
      </c>
      <c r="M215" s="662">
        <v>48.37</v>
      </c>
      <c r="N215" s="661">
        <v>1</v>
      </c>
      <c r="O215" s="742">
        <v>1</v>
      </c>
      <c r="P215" s="662"/>
      <c r="Q215" s="677">
        <v>0</v>
      </c>
      <c r="R215" s="661"/>
      <c r="S215" s="677">
        <v>0</v>
      </c>
      <c r="T215" s="742"/>
      <c r="U215" s="700">
        <v>0</v>
      </c>
    </row>
    <row r="216" spans="1:21" ht="14.4" customHeight="1" x14ac:dyDescent="0.3">
      <c r="A216" s="660">
        <v>22</v>
      </c>
      <c r="B216" s="661" t="s">
        <v>530</v>
      </c>
      <c r="C216" s="661">
        <v>89301222</v>
      </c>
      <c r="D216" s="740" t="s">
        <v>1127</v>
      </c>
      <c r="E216" s="741" t="s">
        <v>800</v>
      </c>
      <c r="F216" s="661" t="s">
        <v>786</v>
      </c>
      <c r="G216" s="661" t="s">
        <v>801</v>
      </c>
      <c r="H216" s="661" t="s">
        <v>625</v>
      </c>
      <c r="I216" s="661" t="s">
        <v>849</v>
      </c>
      <c r="J216" s="661" t="s">
        <v>850</v>
      </c>
      <c r="K216" s="661" t="s">
        <v>805</v>
      </c>
      <c r="L216" s="662">
        <v>124.49</v>
      </c>
      <c r="M216" s="662">
        <v>124.49</v>
      </c>
      <c r="N216" s="661">
        <v>1</v>
      </c>
      <c r="O216" s="742">
        <v>1</v>
      </c>
      <c r="P216" s="662"/>
      <c r="Q216" s="677">
        <v>0</v>
      </c>
      <c r="R216" s="661"/>
      <c r="S216" s="677">
        <v>0</v>
      </c>
      <c r="T216" s="742"/>
      <c r="U216" s="700">
        <v>0</v>
      </c>
    </row>
    <row r="217" spans="1:21" ht="14.4" customHeight="1" x14ac:dyDescent="0.3">
      <c r="A217" s="660">
        <v>22</v>
      </c>
      <c r="B217" s="661" t="s">
        <v>530</v>
      </c>
      <c r="C217" s="661">
        <v>89301222</v>
      </c>
      <c r="D217" s="740" t="s">
        <v>1127</v>
      </c>
      <c r="E217" s="741" t="s">
        <v>800</v>
      </c>
      <c r="F217" s="661" t="s">
        <v>786</v>
      </c>
      <c r="G217" s="661" t="s">
        <v>801</v>
      </c>
      <c r="H217" s="661" t="s">
        <v>531</v>
      </c>
      <c r="I217" s="661" t="s">
        <v>851</v>
      </c>
      <c r="J217" s="661" t="s">
        <v>852</v>
      </c>
      <c r="K217" s="661" t="s">
        <v>853</v>
      </c>
      <c r="L217" s="662">
        <v>82.99</v>
      </c>
      <c r="M217" s="662">
        <v>331.96</v>
      </c>
      <c r="N217" s="661">
        <v>4</v>
      </c>
      <c r="O217" s="742">
        <v>3.5</v>
      </c>
      <c r="P217" s="662">
        <v>82.99</v>
      </c>
      <c r="Q217" s="677">
        <v>0.25</v>
      </c>
      <c r="R217" s="661">
        <v>1</v>
      </c>
      <c r="S217" s="677">
        <v>0.25</v>
      </c>
      <c r="T217" s="742">
        <v>0.5</v>
      </c>
      <c r="U217" s="700">
        <v>0.14285714285714285</v>
      </c>
    </row>
    <row r="218" spans="1:21" ht="14.4" customHeight="1" thickBot="1" x14ac:dyDescent="0.35">
      <c r="A218" s="666">
        <v>22</v>
      </c>
      <c r="B218" s="667" t="s">
        <v>530</v>
      </c>
      <c r="C218" s="667">
        <v>89301222</v>
      </c>
      <c r="D218" s="743" t="s">
        <v>1127</v>
      </c>
      <c r="E218" s="744" t="s">
        <v>800</v>
      </c>
      <c r="F218" s="667" t="s">
        <v>786</v>
      </c>
      <c r="G218" s="667" t="s">
        <v>1122</v>
      </c>
      <c r="H218" s="667" t="s">
        <v>531</v>
      </c>
      <c r="I218" s="667" t="s">
        <v>1123</v>
      </c>
      <c r="J218" s="667" t="s">
        <v>1124</v>
      </c>
      <c r="K218" s="667" t="s">
        <v>1125</v>
      </c>
      <c r="L218" s="668">
        <v>0</v>
      </c>
      <c r="M218" s="668">
        <v>0</v>
      </c>
      <c r="N218" s="667">
        <v>1</v>
      </c>
      <c r="O218" s="745">
        <v>0.5</v>
      </c>
      <c r="P218" s="668"/>
      <c r="Q218" s="678"/>
      <c r="R218" s="667"/>
      <c r="S218" s="678">
        <v>0</v>
      </c>
      <c r="T218" s="745"/>
      <c r="U218" s="701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1129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336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162</v>
      </c>
      <c r="C3" s="518"/>
      <c r="D3" s="519" t="s">
        <v>161</v>
      </c>
      <c r="E3" s="518"/>
      <c r="F3" s="105" t="s">
        <v>3</v>
      </c>
    </row>
    <row r="4" spans="1:6" ht="14.4" customHeight="1" thickBot="1" x14ac:dyDescent="0.35">
      <c r="A4" s="746" t="s">
        <v>214</v>
      </c>
      <c r="B4" s="673" t="s">
        <v>14</v>
      </c>
      <c r="C4" s="674" t="s">
        <v>2</v>
      </c>
      <c r="D4" s="673" t="s">
        <v>14</v>
      </c>
      <c r="E4" s="674" t="s">
        <v>2</v>
      </c>
      <c r="F4" s="675" t="s">
        <v>14</v>
      </c>
    </row>
    <row r="5" spans="1:6" ht="14.4" customHeight="1" x14ac:dyDescent="0.3">
      <c r="A5" s="748" t="s">
        <v>791</v>
      </c>
      <c r="B5" s="229">
        <v>1896.0099999999998</v>
      </c>
      <c r="C5" s="739">
        <v>0.15182752612124359</v>
      </c>
      <c r="D5" s="229">
        <v>10591.909999999996</v>
      </c>
      <c r="E5" s="739">
        <v>0.84817247387875638</v>
      </c>
      <c r="F5" s="747">
        <v>12487.919999999996</v>
      </c>
    </row>
    <row r="6" spans="1:6" ht="14.4" customHeight="1" x14ac:dyDescent="0.3">
      <c r="A6" s="687" t="s">
        <v>794</v>
      </c>
      <c r="B6" s="664">
        <v>1525.22</v>
      </c>
      <c r="C6" s="677">
        <v>0.11841071489570493</v>
      </c>
      <c r="D6" s="664">
        <v>11355.539999999999</v>
      </c>
      <c r="E6" s="677">
        <v>0.88158928510429513</v>
      </c>
      <c r="F6" s="665">
        <v>12880.759999999998</v>
      </c>
    </row>
    <row r="7" spans="1:6" ht="14.4" customHeight="1" x14ac:dyDescent="0.3">
      <c r="A7" s="687" t="s">
        <v>792</v>
      </c>
      <c r="B7" s="664">
        <v>1327.84</v>
      </c>
      <c r="C7" s="677">
        <v>0.12108754827443133</v>
      </c>
      <c r="D7" s="664">
        <v>9638.1099999999969</v>
      </c>
      <c r="E7" s="677">
        <v>0.87891245172556864</v>
      </c>
      <c r="F7" s="665">
        <v>10965.949999999997</v>
      </c>
    </row>
    <row r="8" spans="1:6" ht="14.4" customHeight="1" x14ac:dyDescent="0.3">
      <c r="A8" s="687" t="s">
        <v>800</v>
      </c>
      <c r="B8" s="664">
        <v>1224.1299999999999</v>
      </c>
      <c r="C8" s="677">
        <v>0.16397423841787023</v>
      </c>
      <c r="D8" s="664">
        <v>6241.2499999999991</v>
      </c>
      <c r="E8" s="677">
        <v>0.83602576158212971</v>
      </c>
      <c r="F8" s="665">
        <v>7465.3799999999992</v>
      </c>
    </row>
    <row r="9" spans="1:6" ht="14.4" customHeight="1" x14ac:dyDescent="0.3">
      <c r="A9" s="687" t="s">
        <v>797</v>
      </c>
      <c r="B9" s="664">
        <v>796.05</v>
      </c>
      <c r="C9" s="677">
        <v>5.1965965735951143E-2</v>
      </c>
      <c r="D9" s="664">
        <v>14522.63</v>
      </c>
      <c r="E9" s="677">
        <v>0.94803403426404886</v>
      </c>
      <c r="F9" s="665">
        <v>15318.679999999998</v>
      </c>
    </row>
    <row r="10" spans="1:6" ht="14.4" customHeight="1" x14ac:dyDescent="0.3">
      <c r="A10" s="687" t="s">
        <v>799</v>
      </c>
      <c r="B10" s="664">
        <v>518.68999999999994</v>
      </c>
      <c r="C10" s="677">
        <v>0.13430849342168291</v>
      </c>
      <c r="D10" s="664">
        <v>3343.2400000000002</v>
      </c>
      <c r="E10" s="677">
        <v>0.86569150657831706</v>
      </c>
      <c r="F10" s="665">
        <v>3861.9300000000003</v>
      </c>
    </row>
    <row r="11" spans="1:6" ht="14.4" customHeight="1" x14ac:dyDescent="0.3">
      <c r="A11" s="687" t="s">
        <v>796</v>
      </c>
      <c r="B11" s="664">
        <v>82.99</v>
      </c>
      <c r="C11" s="677">
        <v>0.25</v>
      </c>
      <c r="D11" s="664">
        <v>248.96999999999997</v>
      </c>
      <c r="E11" s="677">
        <v>0.75</v>
      </c>
      <c r="F11" s="665">
        <v>331.96</v>
      </c>
    </row>
    <row r="12" spans="1:6" ht="14.4" customHeight="1" thickBot="1" x14ac:dyDescent="0.35">
      <c r="A12" s="688" t="s">
        <v>798</v>
      </c>
      <c r="B12" s="679"/>
      <c r="C12" s="680">
        <v>0</v>
      </c>
      <c r="D12" s="679">
        <v>955.62000000000012</v>
      </c>
      <c r="E12" s="680">
        <v>1</v>
      </c>
      <c r="F12" s="681">
        <v>955.62000000000012</v>
      </c>
    </row>
    <row r="13" spans="1:6" ht="14.4" customHeight="1" thickBot="1" x14ac:dyDescent="0.35">
      <c r="A13" s="682" t="s">
        <v>3</v>
      </c>
      <c r="B13" s="683">
        <v>7370.9299999999994</v>
      </c>
      <c r="C13" s="684">
        <v>0.11469015780743821</v>
      </c>
      <c r="D13" s="683">
        <v>56897.26999999999</v>
      </c>
      <c r="E13" s="684">
        <v>0.88530984219256181</v>
      </c>
      <c r="F13" s="685">
        <v>64268.19999999999</v>
      </c>
    </row>
    <row r="14" spans="1:6" ht="14.4" customHeight="1" thickBot="1" x14ac:dyDescent="0.35"/>
    <row r="15" spans="1:6" ht="14.4" customHeight="1" x14ac:dyDescent="0.3">
      <c r="A15" s="748" t="s">
        <v>764</v>
      </c>
      <c r="B15" s="229">
        <v>6867.4599999999982</v>
      </c>
      <c r="C15" s="739">
        <v>0.11295110598979052</v>
      </c>
      <c r="D15" s="229">
        <v>53932.82999999998</v>
      </c>
      <c r="E15" s="739">
        <v>0.88704889401020948</v>
      </c>
      <c r="F15" s="747">
        <v>60800.289999999979</v>
      </c>
    </row>
    <row r="16" spans="1:6" ht="14.4" customHeight="1" x14ac:dyDescent="0.3">
      <c r="A16" s="687" t="s">
        <v>1130</v>
      </c>
      <c r="B16" s="664">
        <v>294.90999999999997</v>
      </c>
      <c r="C16" s="677">
        <v>1</v>
      </c>
      <c r="D16" s="664"/>
      <c r="E16" s="677">
        <v>0</v>
      </c>
      <c r="F16" s="665">
        <v>294.90999999999997</v>
      </c>
    </row>
    <row r="17" spans="1:6" ht="14.4" customHeight="1" x14ac:dyDescent="0.3">
      <c r="A17" s="687" t="s">
        <v>1131</v>
      </c>
      <c r="B17" s="664">
        <v>111.72</v>
      </c>
      <c r="C17" s="677">
        <v>1</v>
      </c>
      <c r="D17" s="664"/>
      <c r="E17" s="677">
        <v>0</v>
      </c>
      <c r="F17" s="665">
        <v>111.72</v>
      </c>
    </row>
    <row r="18" spans="1:6" ht="14.4" customHeight="1" x14ac:dyDescent="0.3">
      <c r="A18" s="687" t="s">
        <v>1132</v>
      </c>
      <c r="B18" s="664">
        <v>96.84</v>
      </c>
      <c r="C18" s="677">
        <v>1</v>
      </c>
      <c r="D18" s="664"/>
      <c r="E18" s="677">
        <v>0</v>
      </c>
      <c r="F18" s="665">
        <v>96.84</v>
      </c>
    </row>
    <row r="19" spans="1:6" ht="14.4" customHeight="1" x14ac:dyDescent="0.3">
      <c r="A19" s="687" t="s">
        <v>761</v>
      </c>
      <c r="B19" s="664"/>
      <c r="C19" s="677"/>
      <c r="D19" s="664">
        <v>0</v>
      </c>
      <c r="E19" s="677"/>
      <c r="F19" s="665">
        <v>0</v>
      </c>
    </row>
    <row r="20" spans="1:6" ht="14.4" customHeight="1" x14ac:dyDescent="0.3">
      <c r="A20" s="687" t="s">
        <v>1133</v>
      </c>
      <c r="B20" s="664"/>
      <c r="C20" s="677">
        <v>0</v>
      </c>
      <c r="D20" s="664">
        <v>186.87</v>
      </c>
      <c r="E20" s="677">
        <v>1</v>
      </c>
      <c r="F20" s="665">
        <v>186.87</v>
      </c>
    </row>
    <row r="21" spans="1:6" ht="14.4" customHeight="1" x14ac:dyDescent="0.3">
      <c r="A21" s="687" t="s">
        <v>1134</v>
      </c>
      <c r="B21" s="664"/>
      <c r="C21" s="677">
        <v>0</v>
      </c>
      <c r="D21" s="664">
        <v>291.82</v>
      </c>
      <c r="E21" s="677">
        <v>1</v>
      </c>
      <c r="F21" s="665">
        <v>291.82</v>
      </c>
    </row>
    <row r="22" spans="1:6" ht="14.4" customHeight="1" x14ac:dyDescent="0.3">
      <c r="A22" s="687" t="s">
        <v>1135</v>
      </c>
      <c r="B22" s="664"/>
      <c r="C22" s="677">
        <v>0</v>
      </c>
      <c r="D22" s="664">
        <v>239.4</v>
      </c>
      <c r="E22" s="677">
        <v>1</v>
      </c>
      <c r="F22" s="665">
        <v>239.4</v>
      </c>
    </row>
    <row r="23" spans="1:6" ht="14.4" customHeight="1" x14ac:dyDescent="0.3">
      <c r="A23" s="687" t="s">
        <v>1136</v>
      </c>
      <c r="B23" s="664"/>
      <c r="C23" s="677"/>
      <c r="D23" s="664">
        <v>0</v>
      </c>
      <c r="E23" s="677"/>
      <c r="F23" s="665">
        <v>0</v>
      </c>
    </row>
    <row r="24" spans="1:6" ht="14.4" customHeight="1" x14ac:dyDescent="0.3">
      <c r="A24" s="687" t="s">
        <v>765</v>
      </c>
      <c r="B24" s="664"/>
      <c r="C24" s="677">
        <v>0</v>
      </c>
      <c r="D24" s="664">
        <v>300.68</v>
      </c>
      <c r="E24" s="677">
        <v>1</v>
      </c>
      <c r="F24" s="665">
        <v>300.68</v>
      </c>
    </row>
    <row r="25" spans="1:6" ht="14.4" customHeight="1" x14ac:dyDescent="0.3">
      <c r="A25" s="687" t="s">
        <v>1137</v>
      </c>
      <c r="B25" s="664"/>
      <c r="C25" s="677">
        <v>0</v>
      </c>
      <c r="D25" s="664">
        <v>851.88000000000011</v>
      </c>
      <c r="E25" s="677">
        <v>1</v>
      </c>
      <c r="F25" s="665">
        <v>851.88000000000011</v>
      </c>
    </row>
    <row r="26" spans="1:6" ht="14.4" customHeight="1" x14ac:dyDescent="0.3">
      <c r="A26" s="687" t="s">
        <v>1138</v>
      </c>
      <c r="B26" s="664"/>
      <c r="C26" s="677">
        <v>0</v>
      </c>
      <c r="D26" s="664">
        <v>264</v>
      </c>
      <c r="E26" s="677">
        <v>1</v>
      </c>
      <c r="F26" s="665">
        <v>264</v>
      </c>
    </row>
    <row r="27" spans="1:6" ht="14.4" customHeight="1" x14ac:dyDescent="0.3">
      <c r="A27" s="687" t="s">
        <v>1139</v>
      </c>
      <c r="B27" s="664"/>
      <c r="C27" s="677">
        <v>0</v>
      </c>
      <c r="D27" s="664">
        <v>267.88</v>
      </c>
      <c r="E27" s="677">
        <v>1</v>
      </c>
      <c r="F27" s="665">
        <v>267.88</v>
      </c>
    </row>
    <row r="28" spans="1:6" ht="14.4" customHeight="1" x14ac:dyDescent="0.3">
      <c r="A28" s="687" t="s">
        <v>1140</v>
      </c>
      <c r="B28" s="664"/>
      <c r="C28" s="677">
        <v>0</v>
      </c>
      <c r="D28" s="664">
        <v>407.55</v>
      </c>
      <c r="E28" s="677">
        <v>1</v>
      </c>
      <c r="F28" s="665">
        <v>407.55</v>
      </c>
    </row>
    <row r="29" spans="1:6" ht="14.4" customHeight="1" thickBot="1" x14ac:dyDescent="0.35">
      <c r="A29" s="688" t="s">
        <v>1141</v>
      </c>
      <c r="B29" s="679"/>
      <c r="C29" s="680">
        <v>0</v>
      </c>
      <c r="D29" s="679">
        <v>154.36000000000001</v>
      </c>
      <c r="E29" s="680">
        <v>1</v>
      </c>
      <c r="F29" s="681">
        <v>154.36000000000001</v>
      </c>
    </row>
    <row r="30" spans="1:6" ht="14.4" customHeight="1" thickBot="1" x14ac:dyDescent="0.35">
      <c r="A30" s="682" t="s">
        <v>3</v>
      </c>
      <c r="B30" s="683">
        <v>7370.9299999999985</v>
      </c>
      <c r="C30" s="684">
        <v>0.11469015780743823</v>
      </c>
      <c r="D30" s="683">
        <v>56897.269999999982</v>
      </c>
      <c r="E30" s="684">
        <v>0.88530984219256181</v>
      </c>
      <c r="F30" s="685">
        <v>64268.199999999975</v>
      </c>
    </row>
  </sheetData>
  <mergeCells count="3">
    <mergeCell ref="A1:F1"/>
    <mergeCell ref="B3:C3"/>
    <mergeCell ref="D3:E3"/>
  </mergeCells>
  <conditionalFormatting sqref="C5:C1048576">
    <cfRule type="cellIs" dxfId="39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{6683B33C-E9B1-4156-956F-67B22E2D6611}</x14:id>
        </ext>
      </extLst>
    </cfRule>
  </conditionalFormatting>
  <conditionalFormatting sqref="F15:F2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{2FB08521-2E9A-40D9-83EF-29DD50F48352}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83B33C-E9B1-4156-956F-67B22E2D661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2FB08521-2E9A-40D9-83EF-29DD50F483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F15:F29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1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7" customWidth="1"/>
    <col min="7" max="7" width="10" style="337" customWidth="1"/>
    <col min="8" max="8" width="6.77734375" style="340" customWidth="1"/>
    <col min="9" max="9" width="6.6640625" style="337" customWidth="1"/>
    <col min="10" max="10" width="10" style="337" customWidth="1"/>
    <col min="11" max="11" width="6.77734375" style="340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1154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336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102</v>
      </c>
      <c r="G3" s="47">
        <f>SUBTOTAL(9,G6:G1048576)</f>
        <v>7370.9299999999994</v>
      </c>
      <c r="H3" s="48">
        <f>IF(M3=0,0,G3/M3)</f>
        <v>0.11469015780743821</v>
      </c>
      <c r="I3" s="47">
        <f>SUBTOTAL(9,I6:I1048576)</f>
        <v>579</v>
      </c>
      <c r="J3" s="47">
        <f>SUBTOTAL(9,J6:J1048576)</f>
        <v>56897.27</v>
      </c>
      <c r="K3" s="48">
        <f>IF(M3=0,0,J3/M3)</f>
        <v>0.88530984219256192</v>
      </c>
      <c r="L3" s="47">
        <f>SUBTOTAL(9,L6:L1048576)</f>
        <v>681</v>
      </c>
      <c r="M3" s="49">
        <f>SUBTOTAL(9,M6:M1048576)</f>
        <v>64268.19999999999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162</v>
      </c>
      <c r="G4" s="521"/>
      <c r="H4" s="522"/>
      <c r="I4" s="523" t="s">
        <v>161</v>
      </c>
      <c r="J4" s="521"/>
      <c r="K4" s="522"/>
      <c r="L4" s="524" t="s">
        <v>3</v>
      </c>
      <c r="M4" s="525"/>
    </row>
    <row r="5" spans="1:13" ht="14.4" customHeight="1" thickBot="1" x14ac:dyDescent="0.35">
      <c r="A5" s="746" t="s">
        <v>168</v>
      </c>
      <c r="B5" s="749" t="s">
        <v>164</v>
      </c>
      <c r="C5" s="749" t="s">
        <v>90</v>
      </c>
      <c r="D5" s="749" t="s">
        <v>165</v>
      </c>
      <c r="E5" s="749" t="s">
        <v>166</v>
      </c>
      <c r="F5" s="691" t="s">
        <v>28</v>
      </c>
      <c r="G5" s="691" t="s">
        <v>14</v>
      </c>
      <c r="H5" s="674" t="s">
        <v>167</v>
      </c>
      <c r="I5" s="673" t="s">
        <v>28</v>
      </c>
      <c r="J5" s="691" t="s">
        <v>14</v>
      </c>
      <c r="K5" s="674" t="s">
        <v>167</v>
      </c>
      <c r="L5" s="673" t="s">
        <v>28</v>
      </c>
      <c r="M5" s="692" t="s">
        <v>14</v>
      </c>
    </row>
    <row r="6" spans="1:13" ht="14.4" customHeight="1" x14ac:dyDescent="0.3">
      <c r="A6" s="733" t="s">
        <v>791</v>
      </c>
      <c r="B6" s="734" t="s">
        <v>1142</v>
      </c>
      <c r="C6" s="734" t="s">
        <v>901</v>
      </c>
      <c r="D6" s="734" t="s">
        <v>902</v>
      </c>
      <c r="E6" s="734" t="s">
        <v>903</v>
      </c>
      <c r="F6" s="229"/>
      <c r="G6" s="229"/>
      <c r="H6" s="739">
        <v>0</v>
      </c>
      <c r="I6" s="229">
        <v>1</v>
      </c>
      <c r="J6" s="229">
        <v>186.87</v>
      </c>
      <c r="K6" s="739">
        <v>1</v>
      </c>
      <c r="L6" s="229">
        <v>1</v>
      </c>
      <c r="M6" s="747">
        <v>186.87</v>
      </c>
    </row>
    <row r="7" spans="1:13" ht="14.4" customHeight="1" x14ac:dyDescent="0.3">
      <c r="A7" s="660" t="s">
        <v>791</v>
      </c>
      <c r="B7" s="661" t="s">
        <v>1143</v>
      </c>
      <c r="C7" s="661" t="s">
        <v>920</v>
      </c>
      <c r="D7" s="661" t="s">
        <v>921</v>
      </c>
      <c r="E7" s="661" t="s">
        <v>922</v>
      </c>
      <c r="F7" s="664"/>
      <c r="G7" s="664"/>
      <c r="H7" s="677"/>
      <c r="I7" s="664">
        <v>1</v>
      </c>
      <c r="J7" s="664">
        <v>0</v>
      </c>
      <c r="K7" s="677"/>
      <c r="L7" s="664">
        <v>1</v>
      </c>
      <c r="M7" s="665">
        <v>0</v>
      </c>
    </row>
    <row r="8" spans="1:13" ht="14.4" customHeight="1" x14ac:dyDescent="0.3">
      <c r="A8" s="660" t="s">
        <v>791</v>
      </c>
      <c r="B8" s="661" t="s">
        <v>767</v>
      </c>
      <c r="C8" s="661" t="s">
        <v>908</v>
      </c>
      <c r="D8" s="661" t="s">
        <v>909</v>
      </c>
      <c r="E8" s="661" t="s">
        <v>910</v>
      </c>
      <c r="F8" s="664"/>
      <c r="G8" s="664"/>
      <c r="H8" s="677"/>
      <c r="I8" s="664">
        <v>1</v>
      </c>
      <c r="J8" s="664">
        <v>0</v>
      </c>
      <c r="K8" s="677"/>
      <c r="L8" s="664">
        <v>1</v>
      </c>
      <c r="M8" s="665">
        <v>0</v>
      </c>
    </row>
    <row r="9" spans="1:13" ht="14.4" customHeight="1" x14ac:dyDescent="0.3">
      <c r="A9" s="660" t="s">
        <v>791</v>
      </c>
      <c r="B9" s="661" t="s">
        <v>767</v>
      </c>
      <c r="C9" s="661" t="s">
        <v>911</v>
      </c>
      <c r="D9" s="661" t="s">
        <v>912</v>
      </c>
      <c r="E9" s="661" t="s">
        <v>913</v>
      </c>
      <c r="F9" s="664"/>
      <c r="G9" s="664"/>
      <c r="H9" s="677"/>
      <c r="I9" s="664">
        <v>2</v>
      </c>
      <c r="J9" s="664">
        <v>0</v>
      </c>
      <c r="K9" s="677"/>
      <c r="L9" s="664">
        <v>2</v>
      </c>
      <c r="M9" s="665">
        <v>0</v>
      </c>
    </row>
    <row r="10" spans="1:13" ht="14.4" customHeight="1" x14ac:dyDescent="0.3">
      <c r="A10" s="660" t="s">
        <v>791</v>
      </c>
      <c r="B10" s="661" t="s">
        <v>767</v>
      </c>
      <c r="C10" s="661" t="s">
        <v>825</v>
      </c>
      <c r="D10" s="661" t="s">
        <v>826</v>
      </c>
      <c r="E10" s="661" t="s">
        <v>827</v>
      </c>
      <c r="F10" s="664">
        <v>1</v>
      </c>
      <c r="G10" s="664">
        <v>0</v>
      </c>
      <c r="H10" s="677"/>
      <c r="I10" s="664"/>
      <c r="J10" s="664"/>
      <c r="K10" s="677"/>
      <c r="L10" s="664">
        <v>1</v>
      </c>
      <c r="M10" s="665">
        <v>0</v>
      </c>
    </row>
    <row r="11" spans="1:13" ht="14.4" customHeight="1" x14ac:dyDescent="0.3">
      <c r="A11" s="660" t="s">
        <v>791</v>
      </c>
      <c r="B11" s="661" t="s">
        <v>767</v>
      </c>
      <c r="C11" s="661" t="s">
        <v>828</v>
      </c>
      <c r="D11" s="661" t="s">
        <v>829</v>
      </c>
      <c r="E11" s="661" t="s">
        <v>830</v>
      </c>
      <c r="F11" s="664"/>
      <c r="G11" s="664"/>
      <c r="H11" s="677"/>
      <c r="I11" s="664">
        <v>5</v>
      </c>
      <c r="J11" s="664">
        <v>0</v>
      </c>
      <c r="K11" s="677"/>
      <c r="L11" s="664">
        <v>5</v>
      </c>
      <c r="M11" s="665">
        <v>0</v>
      </c>
    </row>
    <row r="12" spans="1:13" ht="14.4" customHeight="1" x14ac:dyDescent="0.3">
      <c r="A12" s="660" t="s">
        <v>791</v>
      </c>
      <c r="B12" s="661" t="s">
        <v>767</v>
      </c>
      <c r="C12" s="661" t="s">
        <v>914</v>
      </c>
      <c r="D12" s="661" t="s">
        <v>915</v>
      </c>
      <c r="E12" s="661" t="s">
        <v>853</v>
      </c>
      <c r="F12" s="664">
        <v>6</v>
      </c>
      <c r="G12" s="664">
        <v>497.93999999999994</v>
      </c>
      <c r="H12" s="677">
        <v>1</v>
      </c>
      <c r="I12" s="664"/>
      <c r="J12" s="664"/>
      <c r="K12" s="677">
        <v>0</v>
      </c>
      <c r="L12" s="664">
        <v>6</v>
      </c>
      <c r="M12" s="665">
        <v>497.93999999999994</v>
      </c>
    </row>
    <row r="13" spans="1:13" ht="14.4" customHeight="1" x14ac:dyDescent="0.3">
      <c r="A13" s="660" t="s">
        <v>791</v>
      </c>
      <c r="B13" s="661" t="s">
        <v>767</v>
      </c>
      <c r="C13" s="661" t="s">
        <v>641</v>
      </c>
      <c r="D13" s="661" t="s">
        <v>642</v>
      </c>
      <c r="E13" s="661" t="s">
        <v>643</v>
      </c>
      <c r="F13" s="664"/>
      <c r="G13" s="664"/>
      <c r="H13" s="677">
        <v>0</v>
      </c>
      <c r="I13" s="664">
        <v>2</v>
      </c>
      <c r="J13" s="664">
        <v>207.48</v>
      </c>
      <c r="K13" s="677">
        <v>1</v>
      </c>
      <c r="L13" s="664">
        <v>2</v>
      </c>
      <c r="M13" s="665">
        <v>207.48</v>
      </c>
    </row>
    <row r="14" spans="1:13" ht="14.4" customHeight="1" x14ac:dyDescent="0.3">
      <c r="A14" s="660" t="s">
        <v>791</v>
      </c>
      <c r="B14" s="661" t="s">
        <v>767</v>
      </c>
      <c r="C14" s="661" t="s">
        <v>802</v>
      </c>
      <c r="D14" s="661" t="s">
        <v>642</v>
      </c>
      <c r="E14" s="661" t="s">
        <v>643</v>
      </c>
      <c r="F14" s="664"/>
      <c r="G14" s="664"/>
      <c r="H14" s="677">
        <v>0</v>
      </c>
      <c r="I14" s="664">
        <v>7</v>
      </c>
      <c r="J14" s="664">
        <v>726.18</v>
      </c>
      <c r="K14" s="677">
        <v>1</v>
      </c>
      <c r="L14" s="664">
        <v>7</v>
      </c>
      <c r="M14" s="665">
        <v>726.18</v>
      </c>
    </row>
    <row r="15" spans="1:13" ht="14.4" customHeight="1" x14ac:dyDescent="0.3">
      <c r="A15" s="660" t="s">
        <v>791</v>
      </c>
      <c r="B15" s="661" t="s">
        <v>767</v>
      </c>
      <c r="C15" s="661" t="s">
        <v>844</v>
      </c>
      <c r="D15" s="661" t="s">
        <v>845</v>
      </c>
      <c r="E15" s="661" t="s">
        <v>846</v>
      </c>
      <c r="F15" s="664">
        <v>2</v>
      </c>
      <c r="G15" s="664">
        <v>207.48</v>
      </c>
      <c r="H15" s="677">
        <v>1</v>
      </c>
      <c r="I15" s="664"/>
      <c r="J15" s="664"/>
      <c r="K15" s="677">
        <v>0</v>
      </c>
      <c r="L15" s="664">
        <v>2</v>
      </c>
      <c r="M15" s="665">
        <v>207.48</v>
      </c>
    </row>
    <row r="16" spans="1:13" ht="14.4" customHeight="1" x14ac:dyDescent="0.3">
      <c r="A16" s="660" t="s">
        <v>791</v>
      </c>
      <c r="B16" s="661" t="s">
        <v>767</v>
      </c>
      <c r="C16" s="661" t="s">
        <v>854</v>
      </c>
      <c r="D16" s="661" t="s">
        <v>804</v>
      </c>
      <c r="E16" s="661" t="s">
        <v>855</v>
      </c>
      <c r="F16" s="664">
        <v>1</v>
      </c>
      <c r="G16" s="664">
        <v>0</v>
      </c>
      <c r="H16" s="677"/>
      <c r="I16" s="664"/>
      <c r="J16" s="664"/>
      <c r="K16" s="677"/>
      <c r="L16" s="664">
        <v>1</v>
      </c>
      <c r="M16" s="665">
        <v>0</v>
      </c>
    </row>
    <row r="17" spans="1:13" ht="14.4" customHeight="1" x14ac:dyDescent="0.3">
      <c r="A17" s="660" t="s">
        <v>791</v>
      </c>
      <c r="B17" s="661" t="s">
        <v>767</v>
      </c>
      <c r="C17" s="661" t="s">
        <v>803</v>
      </c>
      <c r="D17" s="661" t="s">
        <v>804</v>
      </c>
      <c r="E17" s="661" t="s">
        <v>805</v>
      </c>
      <c r="F17" s="664"/>
      <c r="G17" s="664"/>
      <c r="H17" s="677">
        <v>0</v>
      </c>
      <c r="I17" s="664">
        <v>43</v>
      </c>
      <c r="J17" s="664">
        <v>5353.0699999999979</v>
      </c>
      <c r="K17" s="677">
        <v>1</v>
      </c>
      <c r="L17" s="664">
        <v>43</v>
      </c>
      <c r="M17" s="665">
        <v>5353.0699999999979</v>
      </c>
    </row>
    <row r="18" spans="1:13" ht="14.4" customHeight="1" x14ac:dyDescent="0.3">
      <c r="A18" s="660" t="s">
        <v>791</v>
      </c>
      <c r="B18" s="661" t="s">
        <v>767</v>
      </c>
      <c r="C18" s="661" t="s">
        <v>916</v>
      </c>
      <c r="D18" s="661" t="s">
        <v>639</v>
      </c>
      <c r="E18" s="661" t="s">
        <v>917</v>
      </c>
      <c r="F18" s="664"/>
      <c r="G18" s="664"/>
      <c r="H18" s="677">
        <v>0</v>
      </c>
      <c r="I18" s="664">
        <v>1</v>
      </c>
      <c r="J18" s="664">
        <v>48.37</v>
      </c>
      <c r="K18" s="677">
        <v>1</v>
      </c>
      <c r="L18" s="664">
        <v>1</v>
      </c>
      <c r="M18" s="665">
        <v>48.37</v>
      </c>
    </row>
    <row r="19" spans="1:13" ht="14.4" customHeight="1" x14ac:dyDescent="0.3">
      <c r="A19" s="660" t="s">
        <v>791</v>
      </c>
      <c r="B19" s="661" t="s">
        <v>767</v>
      </c>
      <c r="C19" s="661" t="s">
        <v>631</v>
      </c>
      <c r="D19" s="661" t="s">
        <v>632</v>
      </c>
      <c r="E19" s="661" t="s">
        <v>768</v>
      </c>
      <c r="F19" s="664"/>
      <c r="G19" s="664"/>
      <c r="H19" s="677">
        <v>0</v>
      </c>
      <c r="I19" s="664">
        <v>38</v>
      </c>
      <c r="J19" s="664">
        <v>3153.62</v>
      </c>
      <c r="K19" s="677">
        <v>1</v>
      </c>
      <c r="L19" s="664">
        <v>38</v>
      </c>
      <c r="M19" s="665">
        <v>3153.62</v>
      </c>
    </row>
    <row r="20" spans="1:13" ht="14.4" customHeight="1" x14ac:dyDescent="0.3">
      <c r="A20" s="660" t="s">
        <v>791</v>
      </c>
      <c r="B20" s="661" t="s">
        <v>767</v>
      </c>
      <c r="C20" s="661" t="s">
        <v>849</v>
      </c>
      <c r="D20" s="661" t="s">
        <v>850</v>
      </c>
      <c r="E20" s="661" t="s">
        <v>805</v>
      </c>
      <c r="F20" s="664"/>
      <c r="G20" s="664"/>
      <c r="H20" s="677">
        <v>0</v>
      </c>
      <c r="I20" s="664">
        <v>4</v>
      </c>
      <c r="J20" s="664">
        <v>497.96</v>
      </c>
      <c r="K20" s="677">
        <v>1</v>
      </c>
      <c r="L20" s="664">
        <v>4</v>
      </c>
      <c r="M20" s="665">
        <v>497.96</v>
      </c>
    </row>
    <row r="21" spans="1:13" ht="14.4" customHeight="1" x14ac:dyDescent="0.3">
      <c r="A21" s="660" t="s">
        <v>791</v>
      </c>
      <c r="B21" s="661" t="s">
        <v>767</v>
      </c>
      <c r="C21" s="661" t="s">
        <v>851</v>
      </c>
      <c r="D21" s="661" t="s">
        <v>852</v>
      </c>
      <c r="E21" s="661" t="s">
        <v>853</v>
      </c>
      <c r="F21" s="664">
        <v>13</v>
      </c>
      <c r="G21" s="664">
        <v>1078.8699999999999</v>
      </c>
      <c r="H21" s="677">
        <v>1</v>
      </c>
      <c r="I21" s="664"/>
      <c r="J21" s="664"/>
      <c r="K21" s="677">
        <v>0</v>
      </c>
      <c r="L21" s="664">
        <v>13</v>
      </c>
      <c r="M21" s="665">
        <v>1078.8699999999999</v>
      </c>
    </row>
    <row r="22" spans="1:13" ht="14.4" customHeight="1" x14ac:dyDescent="0.3">
      <c r="A22" s="660" t="s">
        <v>791</v>
      </c>
      <c r="B22" s="661" t="s">
        <v>767</v>
      </c>
      <c r="C22" s="661" t="s">
        <v>918</v>
      </c>
      <c r="D22" s="661" t="s">
        <v>850</v>
      </c>
      <c r="E22" s="661" t="s">
        <v>855</v>
      </c>
      <c r="F22" s="664"/>
      <c r="G22" s="664"/>
      <c r="H22" s="677"/>
      <c r="I22" s="664">
        <v>4</v>
      </c>
      <c r="J22" s="664">
        <v>0</v>
      </c>
      <c r="K22" s="677"/>
      <c r="L22" s="664">
        <v>4</v>
      </c>
      <c r="M22" s="665">
        <v>0</v>
      </c>
    </row>
    <row r="23" spans="1:13" ht="14.4" customHeight="1" x14ac:dyDescent="0.3">
      <c r="A23" s="660" t="s">
        <v>791</v>
      </c>
      <c r="B23" s="661" t="s">
        <v>1144</v>
      </c>
      <c r="C23" s="661" t="s">
        <v>865</v>
      </c>
      <c r="D23" s="661" t="s">
        <v>866</v>
      </c>
      <c r="E23" s="661" t="s">
        <v>867</v>
      </c>
      <c r="F23" s="664"/>
      <c r="G23" s="664"/>
      <c r="H23" s="677">
        <v>0</v>
      </c>
      <c r="I23" s="664">
        <v>1</v>
      </c>
      <c r="J23" s="664">
        <v>154.36000000000001</v>
      </c>
      <c r="K23" s="677">
        <v>1</v>
      </c>
      <c r="L23" s="664">
        <v>1</v>
      </c>
      <c r="M23" s="665">
        <v>154.36000000000001</v>
      </c>
    </row>
    <row r="24" spans="1:13" ht="14.4" customHeight="1" x14ac:dyDescent="0.3">
      <c r="A24" s="660" t="s">
        <v>791</v>
      </c>
      <c r="B24" s="661" t="s">
        <v>1145</v>
      </c>
      <c r="C24" s="661" t="s">
        <v>897</v>
      </c>
      <c r="D24" s="661" t="s">
        <v>898</v>
      </c>
      <c r="E24" s="661" t="s">
        <v>899</v>
      </c>
      <c r="F24" s="664">
        <v>1</v>
      </c>
      <c r="G24" s="664">
        <v>111.72</v>
      </c>
      <c r="H24" s="677">
        <v>1</v>
      </c>
      <c r="I24" s="664"/>
      <c r="J24" s="664"/>
      <c r="K24" s="677">
        <v>0</v>
      </c>
      <c r="L24" s="664">
        <v>1</v>
      </c>
      <c r="M24" s="665">
        <v>111.72</v>
      </c>
    </row>
    <row r="25" spans="1:13" ht="14.4" customHeight="1" x14ac:dyDescent="0.3">
      <c r="A25" s="660" t="s">
        <v>791</v>
      </c>
      <c r="B25" s="661" t="s">
        <v>1146</v>
      </c>
      <c r="C25" s="661" t="s">
        <v>873</v>
      </c>
      <c r="D25" s="661" t="s">
        <v>874</v>
      </c>
      <c r="E25" s="661" t="s">
        <v>875</v>
      </c>
      <c r="F25" s="664"/>
      <c r="G25" s="664"/>
      <c r="H25" s="677">
        <v>0</v>
      </c>
      <c r="I25" s="664">
        <v>1</v>
      </c>
      <c r="J25" s="664">
        <v>264</v>
      </c>
      <c r="K25" s="677">
        <v>1</v>
      </c>
      <c r="L25" s="664">
        <v>1</v>
      </c>
      <c r="M25" s="665">
        <v>264</v>
      </c>
    </row>
    <row r="26" spans="1:13" ht="14.4" customHeight="1" x14ac:dyDescent="0.3">
      <c r="A26" s="660" t="s">
        <v>792</v>
      </c>
      <c r="B26" s="661" t="s">
        <v>767</v>
      </c>
      <c r="C26" s="661" t="s">
        <v>908</v>
      </c>
      <c r="D26" s="661" t="s">
        <v>909</v>
      </c>
      <c r="E26" s="661" t="s">
        <v>910</v>
      </c>
      <c r="F26" s="664"/>
      <c r="G26" s="664"/>
      <c r="H26" s="677"/>
      <c r="I26" s="664">
        <v>1</v>
      </c>
      <c r="J26" s="664">
        <v>0</v>
      </c>
      <c r="K26" s="677"/>
      <c r="L26" s="664">
        <v>1</v>
      </c>
      <c r="M26" s="665">
        <v>0</v>
      </c>
    </row>
    <row r="27" spans="1:13" ht="14.4" customHeight="1" x14ac:dyDescent="0.3">
      <c r="A27" s="660" t="s">
        <v>792</v>
      </c>
      <c r="B27" s="661" t="s">
        <v>767</v>
      </c>
      <c r="C27" s="661" t="s">
        <v>911</v>
      </c>
      <c r="D27" s="661" t="s">
        <v>912</v>
      </c>
      <c r="E27" s="661" t="s">
        <v>913</v>
      </c>
      <c r="F27" s="664"/>
      <c r="G27" s="664"/>
      <c r="H27" s="677"/>
      <c r="I27" s="664">
        <v>2</v>
      </c>
      <c r="J27" s="664">
        <v>0</v>
      </c>
      <c r="K27" s="677"/>
      <c r="L27" s="664">
        <v>2</v>
      </c>
      <c r="M27" s="665">
        <v>0</v>
      </c>
    </row>
    <row r="28" spans="1:13" ht="14.4" customHeight="1" x14ac:dyDescent="0.3">
      <c r="A28" s="660" t="s">
        <v>792</v>
      </c>
      <c r="B28" s="661" t="s">
        <v>767</v>
      </c>
      <c r="C28" s="661" t="s">
        <v>825</v>
      </c>
      <c r="D28" s="661" t="s">
        <v>826</v>
      </c>
      <c r="E28" s="661" t="s">
        <v>827</v>
      </c>
      <c r="F28" s="664">
        <v>4</v>
      </c>
      <c r="G28" s="664">
        <v>0</v>
      </c>
      <c r="H28" s="677"/>
      <c r="I28" s="664"/>
      <c r="J28" s="664"/>
      <c r="K28" s="677"/>
      <c r="L28" s="664">
        <v>4</v>
      </c>
      <c r="M28" s="665">
        <v>0</v>
      </c>
    </row>
    <row r="29" spans="1:13" ht="14.4" customHeight="1" x14ac:dyDescent="0.3">
      <c r="A29" s="660" t="s">
        <v>792</v>
      </c>
      <c r="B29" s="661" t="s">
        <v>767</v>
      </c>
      <c r="C29" s="661" t="s">
        <v>828</v>
      </c>
      <c r="D29" s="661" t="s">
        <v>829</v>
      </c>
      <c r="E29" s="661" t="s">
        <v>830</v>
      </c>
      <c r="F29" s="664"/>
      <c r="G29" s="664"/>
      <c r="H29" s="677"/>
      <c r="I29" s="664">
        <v>7</v>
      </c>
      <c r="J29" s="664">
        <v>0</v>
      </c>
      <c r="K29" s="677"/>
      <c r="L29" s="664">
        <v>7</v>
      </c>
      <c r="M29" s="665">
        <v>0</v>
      </c>
    </row>
    <row r="30" spans="1:13" ht="14.4" customHeight="1" x14ac:dyDescent="0.3">
      <c r="A30" s="660" t="s">
        <v>792</v>
      </c>
      <c r="B30" s="661" t="s">
        <v>767</v>
      </c>
      <c r="C30" s="661" t="s">
        <v>914</v>
      </c>
      <c r="D30" s="661" t="s">
        <v>915</v>
      </c>
      <c r="E30" s="661" t="s">
        <v>853</v>
      </c>
      <c r="F30" s="664">
        <v>8</v>
      </c>
      <c r="G30" s="664">
        <v>663.91999999999985</v>
      </c>
      <c r="H30" s="677">
        <v>1</v>
      </c>
      <c r="I30" s="664"/>
      <c r="J30" s="664"/>
      <c r="K30" s="677">
        <v>0</v>
      </c>
      <c r="L30" s="664">
        <v>8</v>
      </c>
      <c r="M30" s="665">
        <v>663.91999999999985</v>
      </c>
    </row>
    <row r="31" spans="1:13" ht="14.4" customHeight="1" x14ac:dyDescent="0.3">
      <c r="A31" s="660" t="s">
        <v>792</v>
      </c>
      <c r="B31" s="661" t="s">
        <v>767</v>
      </c>
      <c r="C31" s="661" t="s">
        <v>641</v>
      </c>
      <c r="D31" s="661" t="s">
        <v>642</v>
      </c>
      <c r="E31" s="661" t="s">
        <v>643</v>
      </c>
      <c r="F31" s="664"/>
      <c r="G31" s="664"/>
      <c r="H31" s="677">
        <v>0</v>
      </c>
      <c r="I31" s="664">
        <v>1</v>
      </c>
      <c r="J31" s="664">
        <v>103.74</v>
      </c>
      <c r="K31" s="677">
        <v>1</v>
      </c>
      <c r="L31" s="664">
        <v>1</v>
      </c>
      <c r="M31" s="665">
        <v>103.74</v>
      </c>
    </row>
    <row r="32" spans="1:13" ht="14.4" customHeight="1" x14ac:dyDescent="0.3">
      <c r="A32" s="660" t="s">
        <v>792</v>
      </c>
      <c r="B32" s="661" t="s">
        <v>767</v>
      </c>
      <c r="C32" s="661" t="s">
        <v>833</v>
      </c>
      <c r="D32" s="661" t="s">
        <v>834</v>
      </c>
      <c r="E32" s="661" t="s">
        <v>835</v>
      </c>
      <c r="F32" s="664"/>
      <c r="G32" s="664"/>
      <c r="H32" s="677">
        <v>0</v>
      </c>
      <c r="I32" s="664">
        <v>1</v>
      </c>
      <c r="J32" s="664">
        <v>62.24</v>
      </c>
      <c r="K32" s="677">
        <v>1</v>
      </c>
      <c r="L32" s="664">
        <v>1</v>
      </c>
      <c r="M32" s="665">
        <v>62.24</v>
      </c>
    </row>
    <row r="33" spans="1:13" ht="14.4" customHeight="1" x14ac:dyDescent="0.3">
      <c r="A33" s="660" t="s">
        <v>792</v>
      </c>
      <c r="B33" s="661" t="s">
        <v>767</v>
      </c>
      <c r="C33" s="661" t="s">
        <v>802</v>
      </c>
      <c r="D33" s="661" t="s">
        <v>642</v>
      </c>
      <c r="E33" s="661" t="s">
        <v>643</v>
      </c>
      <c r="F33" s="664"/>
      <c r="G33" s="664"/>
      <c r="H33" s="677">
        <v>0</v>
      </c>
      <c r="I33" s="664">
        <v>8</v>
      </c>
      <c r="J33" s="664">
        <v>829.91999999999985</v>
      </c>
      <c r="K33" s="677">
        <v>1</v>
      </c>
      <c r="L33" s="664">
        <v>8</v>
      </c>
      <c r="M33" s="665">
        <v>829.91999999999985</v>
      </c>
    </row>
    <row r="34" spans="1:13" ht="14.4" customHeight="1" x14ac:dyDescent="0.3">
      <c r="A34" s="660" t="s">
        <v>792</v>
      </c>
      <c r="B34" s="661" t="s">
        <v>767</v>
      </c>
      <c r="C34" s="661" t="s">
        <v>981</v>
      </c>
      <c r="D34" s="661" t="s">
        <v>982</v>
      </c>
      <c r="E34" s="661" t="s">
        <v>983</v>
      </c>
      <c r="F34" s="664"/>
      <c r="G34" s="664"/>
      <c r="H34" s="677">
        <v>0</v>
      </c>
      <c r="I34" s="664">
        <v>1</v>
      </c>
      <c r="J34" s="664">
        <v>62.24</v>
      </c>
      <c r="K34" s="677">
        <v>1</v>
      </c>
      <c r="L34" s="664">
        <v>1</v>
      </c>
      <c r="M34" s="665">
        <v>62.24</v>
      </c>
    </row>
    <row r="35" spans="1:13" ht="14.4" customHeight="1" x14ac:dyDescent="0.3">
      <c r="A35" s="660" t="s">
        <v>792</v>
      </c>
      <c r="B35" s="661" t="s">
        <v>767</v>
      </c>
      <c r="C35" s="661" t="s">
        <v>803</v>
      </c>
      <c r="D35" s="661" t="s">
        <v>804</v>
      </c>
      <c r="E35" s="661" t="s">
        <v>805</v>
      </c>
      <c r="F35" s="664"/>
      <c r="G35" s="664"/>
      <c r="H35" s="677">
        <v>0</v>
      </c>
      <c r="I35" s="664">
        <v>38</v>
      </c>
      <c r="J35" s="664">
        <v>4730.619999999999</v>
      </c>
      <c r="K35" s="677">
        <v>1</v>
      </c>
      <c r="L35" s="664">
        <v>38</v>
      </c>
      <c r="M35" s="665">
        <v>4730.619999999999</v>
      </c>
    </row>
    <row r="36" spans="1:13" ht="14.4" customHeight="1" x14ac:dyDescent="0.3">
      <c r="A36" s="660" t="s">
        <v>792</v>
      </c>
      <c r="B36" s="661" t="s">
        <v>767</v>
      </c>
      <c r="C36" s="661" t="s">
        <v>916</v>
      </c>
      <c r="D36" s="661" t="s">
        <v>639</v>
      </c>
      <c r="E36" s="661" t="s">
        <v>917</v>
      </c>
      <c r="F36" s="664"/>
      <c r="G36" s="664"/>
      <c r="H36" s="677">
        <v>0</v>
      </c>
      <c r="I36" s="664">
        <v>2</v>
      </c>
      <c r="J36" s="664">
        <v>96.74</v>
      </c>
      <c r="K36" s="677">
        <v>1</v>
      </c>
      <c r="L36" s="664">
        <v>2</v>
      </c>
      <c r="M36" s="665">
        <v>96.74</v>
      </c>
    </row>
    <row r="37" spans="1:13" ht="14.4" customHeight="1" x14ac:dyDescent="0.3">
      <c r="A37" s="660" t="s">
        <v>792</v>
      </c>
      <c r="B37" s="661" t="s">
        <v>767</v>
      </c>
      <c r="C37" s="661" t="s">
        <v>631</v>
      </c>
      <c r="D37" s="661" t="s">
        <v>632</v>
      </c>
      <c r="E37" s="661" t="s">
        <v>768</v>
      </c>
      <c r="F37" s="664"/>
      <c r="G37" s="664"/>
      <c r="H37" s="677">
        <v>0</v>
      </c>
      <c r="I37" s="664">
        <v>38</v>
      </c>
      <c r="J37" s="664">
        <v>3153.62</v>
      </c>
      <c r="K37" s="677">
        <v>1</v>
      </c>
      <c r="L37" s="664">
        <v>38</v>
      </c>
      <c r="M37" s="665">
        <v>3153.62</v>
      </c>
    </row>
    <row r="38" spans="1:13" ht="14.4" customHeight="1" x14ac:dyDescent="0.3">
      <c r="A38" s="660" t="s">
        <v>792</v>
      </c>
      <c r="B38" s="661" t="s">
        <v>767</v>
      </c>
      <c r="C38" s="661" t="s">
        <v>635</v>
      </c>
      <c r="D38" s="661" t="s">
        <v>769</v>
      </c>
      <c r="E38" s="661" t="s">
        <v>770</v>
      </c>
      <c r="F38" s="664"/>
      <c r="G38" s="664"/>
      <c r="H38" s="677">
        <v>0</v>
      </c>
      <c r="I38" s="664">
        <v>1</v>
      </c>
      <c r="J38" s="664">
        <v>48.37</v>
      </c>
      <c r="K38" s="677">
        <v>1</v>
      </c>
      <c r="L38" s="664">
        <v>1</v>
      </c>
      <c r="M38" s="665">
        <v>48.37</v>
      </c>
    </row>
    <row r="39" spans="1:13" ht="14.4" customHeight="1" x14ac:dyDescent="0.3">
      <c r="A39" s="660" t="s">
        <v>792</v>
      </c>
      <c r="B39" s="661" t="s">
        <v>767</v>
      </c>
      <c r="C39" s="661" t="s">
        <v>849</v>
      </c>
      <c r="D39" s="661" t="s">
        <v>850</v>
      </c>
      <c r="E39" s="661" t="s">
        <v>805</v>
      </c>
      <c r="F39" s="664"/>
      <c r="G39" s="664"/>
      <c r="H39" s="677">
        <v>0</v>
      </c>
      <c r="I39" s="664">
        <v>2</v>
      </c>
      <c r="J39" s="664">
        <v>248.98</v>
      </c>
      <c r="K39" s="677">
        <v>1</v>
      </c>
      <c r="L39" s="664">
        <v>2</v>
      </c>
      <c r="M39" s="665">
        <v>248.98</v>
      </c>
    </row>
    <row r="40" spans="1:13" ht="14.4" customHeight="1" x14ac:dyDescent="0.3">
      <c r="A40" s="660" t="s">
        <v>792</v>
      </c>
      <c r="B40" s="661" t="s">
        <v>767</v>
      </c>
      <c r="C40" s="661" t="s">
        <v>851</v>
      </c>
      <c r="D40" s="661" t="s">
        <v>852</v>
      </c>
      <c r="E40" s="661" t="s">
        <v>853</v>
      </c>
      <c r="F40" s="664">
        <v>8</v>
      </c>
      <c r="G40" s="664">
        <v>663.92</v>
      </c>
      <c r="H40" s="677">
        <v>1</v>
      </c>
      <c r="I40" s="664"/>
      <c r="J40" s="664"/>
      <c r="K40" s="677">
        <v>0</v>
      </c>
      <c r="L40" s="664">
        <v>8</v>
      </c>
      <c r="M40" s="665">
        <v>663.92</v>
      </c>
    </row>
    <row r="41" spans="1:13" ht="14.4" customHeight="1" x14ac:dyDescent="0.3">
      <c r="A41" s="660" t="s">
        <v>792</v>
      </c>
      <c r="B41" s="661" t="s">
        <v>767</v>
      </c>
      <c r="C41" s="661" t="s">
        <v>979</v>
      </c>
      <c r="D41" s="661" t="s">
        <v>834</v>
      </c>
      <c r="E41" s="661" t="s">
        <v>980</v>
      </c>
      <c r="F41" s="664"/>
      <c r="G41" s="664"/>
      <c r="H41" s="677">
        <v>0</v>
      </c>
      <c r="I41" s="664">
        <v>1</v>
      </c>
      <c r="J41" s="664">
        <v>62.24</v>
      </c>
      <c r="K41" s="677">
        <v>1</v>
      </c>
      <c r="L41" s="664">
        <v>1</v>
      </c>
      <c r="M41" s="665">
        <v>62.24</v>
      </c>
    </row>
    <row r="42" spans="1:13" ht="14.4" customHeight="1" x14ac:dyDescent="0.3">
      <c r="A42" s="660" t="s">
        <v>792</v>
      </c>
      <c r="B42" s="661" t="s">
        <v>767</v>
      </c>
      <c r="C42" s="661" t="s">
        <v>918</v>
      </c>
      <c r="D42" s="661" t="s">
        <v>850</v>
      </c>
      <c r="E42" s="661" t="s">
        <v>855</v>
      </c>
      <c r="F42" s="664"/>
      <c r="G42" s="664"/>
      <c r="H42" s="677"/>
      <c r="I42" s="664">
        <v>3</v>
      </c>
      <c r="J42" s="664">
        <v>0</v>
      </c>
      <c r="K42" s="677"/>
      <c r="L42" s="664">
        <v>3</v>
      </c>
      <c r="M42" s="665">
        <v>0</v>
      </c>
    </row>
    <row r="43" spans="1:13" ht="14.4" customHeight="1" x14ac:dyDescent="0.3">
      <c r="A43" s="660" t="s">
        <v>792</v>
      </c>
      <c r="B43" s="661" t="s">
        <v>1147</v>
      </c>
      <c r="C43" s="661" t="s">
        <v>957</v>
      </c>
      <c r="D43" s="661" t="s">
        <v>958</v>
      </c>
      <c r="E43" s="661" t="s">
        <v>959</v>
      </c>
      <c r="F43" s="664"/>
      <c r="G43" s="664"/>
      <c r="H43" s="677">
        <v>0</v>
      </c>
      <c r="I43" s="664">
        <v>2</v>
      </c>
      <c r="J43" s="664">
        <v>239.4</v>
      </c>
      <c r="K43" s="677">
        <v>1</v>
      </c>
      <c r="L43" s="664">
        <v>2</v>
      </c>
      <c r="M43" s="665">
        <v>239.4</v>
      </c>
    </row>
    <row r="44" spans="1:13" ht="14.4" customHeight="1" x14ac:dyDescent="0.3">
      <c r="A44" s="660" t="s">
        <v>792</v>
      </c>
      <c r="B44" s="661" t="s">
        <v>771</v>
      </c>
      <c r="C44" s="661" t="s">
        <v>985</v>
      </c>
      <c r="D44" s="661" t="s">
        <v>986</v>
      </c>
      <c r="E44" s="661" t="s">
        <v>987</v>
      </c>
      <c r="F44" s="664"/>
      <c r="G44" s="664"/>
      <c r="H44" s="677"/>
      <c r="I44" s="664">
        <v>1</v>
      </c>
      <c r="J44" s="664">
        <v>0</v>
      </c>
      <c r="K44" s="677"/>
      <c r="L44" s="664">
        <v>1</v>
      </c>
      <c r="M44" s="665">
        <v>0</v>
      </c>
    </row>
    <row r="45" spans="1:13" ht="14.4" customHeight="1" x14ac:dyDescent="0.3">
      <c r="A45" s="660" t="s">
        <v>794</v>
      </c>
      <c r="B45" s="661" t="s">
        <v>1148</v>
      </c>
      <c r="C45" s="661" t="s">
        <v>1019</v>
      </c>
      <c r="D45" s="661" t="s">
        <v>1020</v>
      </c>
      <c r="E45" s="661" t="s">
        <v>1021</v>
      </c>
      <c r="F45" s="664">
        <v>1</v>
      </c>
      <c r="G45" s="664">
        <v>210.66</v>
      </c>
      <c r="H45" s="677">
        <v>1</v>
      </c>
      <c r="I45" s="664"/>
      <c r="J45" s="664"/>
      <c r="K45" s="677">
        <v>0</v>
      </c>
      <c r="L45" s="664">
        <v>1</v>
      </c>
      <c r="M45" s="665">
        <v>210.66</v>
      </c>
    </row>
    <row r="46" spans="1:13" ht="14.4" customHeight="1" x14ac:dyDescent="0.3">
      <c r="A46" s="660" t="s">
        <v>794</v>
      </c>
      <c r="B46" s="661" t="s">
        <v>1148</v>
      </c>
      <c r="C46" s="661" t="s">
        <v>1022</v>
      </c>
      <c r="D46" s="661" t="s">
        <v>1023</v>
      </c>
      <c r="E46" s="661" t="s">
        <v>1024</v>
      </c>
      <c r="F46" s="664">
        <v>1</v>
      </c>
      <c r="G46" s="664">
        <v>35.11</v>
      </c>
      <c r="H46" s="677">
        <v>1</v>
      </c>
      <c r="I46" s="664"/>
      <c r="J46" s="664"/>
      <c r="K46" s="677">
        <v>0</v>
      </c>
      <c r="L46" s="664">
        <v>1</v>
      </c>
      <c r="M46" s="665">
        <v>35.11</v>
      </c>
    </row>
    <row r="47" spans="1:13" ht="14.4" customHeight="1" x14ac:dyDescent="0.3">
      <c r="A47" s="660" t="s">
        <v>794</v>
      </c>
      <c r="B47" s="661" t="s">
        <v>1149</v>
      </c>
      <c r="C47" s="661" t="s">
        <v>1066</v>
      </c>
      <c r="D47" s="661" t="s">
        <v>1067</v>
      </c>
      <c r="E47" s="661" t="s">
        <v>1068</v>
      </c>
      <c r="F47" s="664"/>
      <c r="G47" s="664"/>
      <c r="H47" s="677">
        <v>0</v>
      </c>
      <c r="I47" s="664">
        <v>1</v>
      </c>
      <c r="J47" s="664">
        <v>291.82</v>
      </c>
      <c r="K47" s="677">
        <v>1</v>
      </c>
      <c r="L47" s="664">
        <v>1</v>
      </c>
      <c r="M47" s="665">
        <v>291.82</v>
      </c>
    </row>
    <row r="48" spans="1:13" ht="14.4" customHeight="1" x14ac:dyDescent="0.3">
      <c r="A48" s="660" t="s">
        <v>794</v>
      </c>
      <c r="B48" s="661" t="s">
        <v>767</v>
      </c>
      <c r="C48" s="661" t="s">
        <v>908</v>
      </c>
      <c r="D48" s="661" t="s">
        <v>909</v>
      </c>
      <c r="E48" s="661" t="s">
        <v>910</v>
      </c>
      <c r="F48" s="664"/>
      <c r="G48" s="664"/>
      <c r="H48" s="677"/>
      <c r="I48" s="664">
        <v>1</v>
      </c>
      <c r="J48" s="664">
        <v>0</v>
      </c>
      <c r="K48" s="677"/>
      <c r="L48" s="664">
        <v>1</v>
      </c>
      <c r="M48" s="665">
        <v>0</v>
      </c>
    </row>
    <row r="49" spans="1:13" ht="14.4" customHeight="1" x14ac:dyDescent="0.3">
      <c r="A49" s="660" t="s">
        <v>794</v>
      </c>
      <c r="B49" s="661" t="s">
        <v>767</v>
      </c>
      <c r="C49" s="661" t="s">
        <v>911</v>
      </c>
      <c r="D49" s="661" t="s">
        <v>912</v>
      </c>
      <c r="E49" s="661" t="s">
        <v>913</v>
      </c>
      <c r="F49" s="664"/>
      <c r="G49" s="664"/>
      <c r="H49" s="677"/>
      <c r="I49" s="664">
        <v>1</v>
      </c>
      <c r="J49" s="664">
        <v>0</v>
      </c>
      <c r="K49" s="677"/>
      <c r="L49" s="664">
        <v>1</v>
      </c>
      <c r="M49" s="665">
        <v>0</v>
      </c>
    </row>
    <row r="50" spans="1:13" ht="14.4" customHeight="1" x14ac:dyDescent="0.3">
      <c r="A50" s="660" t="s">
        <v>794</v>
      </c>
      <c r="B50" s="661" t="s">
        <v>767</v>
      </c>
      <c r="C50" s="661" t="s">
        <v>825</v>
      </c>
      <c r="D50" s="661" t="s">
        <v>826</v>
      </c>
      <c r="E50" s="661" t="s">
        <v>827</v>
      </c>
      <c r="F50" s="664">
        <v>3</v>
      </c>
      <c r="G50" s="664">
        <v>0</v>
      </c>
      <c r="H50" s="677"/>
      <c r="I50" s="664"/>
      <c r="J50" s="664"/>
      <c r="K50" s="677"/>
      <c r="L50" s="664">
        <v>3</v>
      </c>
      <c r="M50" s="665">
        <v>0</v>
      </c>
    </row>
    <row r="51" spans="1:13" ht="14.4" customHeight="1" x14ac:dyDescent="0.3">
      <c r="A51" s="660" t="s">
        <v>794</v>
      </c>
      <c r="B51" s="661" t="s">
        <v>767</v>
      </c>
      <c r="C51" s="661" t="s">
        <v>914</v>
      </c>
      <c r="D51" s="661" t="s">
        <v>915</v>
      </c>
      <c r="E51" s="661" t="s">
        <v>853</v>
      </c>
      <c r="F51" s="664">
        <v>9</v>
      </c>
      <c r="G51" s="664">
        <v>746.91</v>
      </c>
      <c r="H51" s="677">
        <v>1</v>
      </c>
      <c r="I51" s="664"/>
      <c r="J51" s="664"/>
      <c r="K51" s="677">
        <v>0</v>
      </c>
      <c r="L51" s="664">
        <v>9</v>
      </c>
      <c r="M51" s="665">
        <v>746.91</v>
      </c>
    </row>
    <row r="52" spans="1:13" ht="14.4" customHeight="1" x14ac:dyDescent="0.3">
      <c r="A52" s="660" t="s">
        <v>794</v>
      </c>
      <c r="B52" s="661" t="s">
        <v>767</v>
      </c>
      <c r="C52" s="661" t="s">
        <v>833</v>
      </c>
      <c r="D52" s="661" t="s">
        <v>834</v>
      </c>
      <c r="E52" s="661" t="s">
        <v>835</v>
      </c>
      <c r="F52" s="664"/>
      <c r="G52" s="664"/>
      <c r="H52" s="677">
        <v>0</v>
      </c>
      <c r="I52" s="664">
        <v>1</v>
      </c>
      <c r="J52" s="664">
        <v>62.24</v>
      </c>
      <c r="K52" s="677">
        <v>1</v>
      </c>
      <c r="L52" s="664">
        <v>1</v>
      </c>
      <c r="M52" s="665">
        <v>62.24</v>
      </c>
    </row>
    <row r="53" spans="1:13" ht="14.4" customHeight="1" x14ac:dyDescent="0.3">
      <c r="A53" s="660" t="s">
        <v>794</v>
      </c>
      <c r="B53" s="661" t="s">
        <v>767</v>
      </c>
      <c r="C53" s="661" t="s">
        <v>802</v>
      </c>
      <c r="D53" s="661" t="s">
        <v>642</v>
      </c>
      <c r="E53" s="661" t="s">
        <v>643</v>
      </c>
      <c r="F53" s="664"/>
      <c r="G53" s="664"/>
      <c r="H53" s="677">
        <v>0</v>
      </c>
      <c r="I53" s="664">
        <v>13</v>
      </c>
      <c r="J53" s="664">
        <v>1348.62</v>
      </c>
      <c r="K53" s="677">
        <v>1</v>
      </c>
      <c r="L53" s="664">
        <v>13</v>
      </c>
      <c r="M53" s="665">
        <v>1348.62</v>
      </c>
    </row>
    <row r="54" spans="1:13" ht="14.4" customHeight="1" x14ac:dyDescent="0.3">
      <c r="A54" s="660" t="s">
        <v>794</v>
      </c>
      <c r="B54" s="661" t="s">
        <v>767</v>
      </c>
      <c r="C54" s="661" t="s">
        <v>844</v>
      </c>
      <c r="D54" s="661" t="s">
        <v>845</v>
      </c>
      <c r="E54" s="661" t="s">
        <v>846</v>
      </c>
      <c r="F54" s="664">
        <v>1</v>
      </c>
      <c r="G54" s="664">
        <v>103.74</v>
      </c>
      <c r="H54" s="677">
        <v>1</v>
      </c>
      <c r="I54" s="664"/>
      <c r="J54" s="664"/>
      <c r="K54" s="677">
        <v>0</v>
      </c>
      <c r="L54" s="664">
        <v>1</v>
      </c>
      <c r="M54" s="665">
        <v>103.74</v>
      </c>
    </row>
    <row r="55" spans="1:13" ht="14.4" customHeight="1" x14ac:dyDescent="0.3">
      <c r="A55" s="660" t="s">
        <v>794</v>
      </c>
      <c r="B55" s="661" t="s">
        <v>767</v>
      </c>
      <c r="C55" s="661" t="s">
        <v>803</v>
      </c>
      <c r="D55" s="661" t="s">
        <v>804</v>
      </c>
      <c r="E55" s="661" t="s">
        <v>805</v>
      </c>
      <c r="F55" s="664"/>
      <c r="G55" s="664"/>
      <c r="H55" s="677">
        <v>0</v>
      </c>
      <c r="I55" s="664">
        <v>40</v>
      </c>
      <c r="J55" s="664">
        <v>4979.6000000000004</v>
      </c>
      <c r="K55" s="677">
        <v>1</v>
      </c>
      <c r="L55" s="664">
        <v>40</v>
      </c>
      <c r="M55" s="665">
        <v>4979.6000000000004</v>
      </c>
    </row>
    <row r="56" spans="1:13" ht="14.4" customHeight="1" x14ac:dyDescent="0.3">
      <c r="A56" s="660" t="s">
        <v>794</v>
      </c>
      <c r="B56" s="661" t="s">
        <v>767</v>
      </c>
      <c r="C56" s="661" t="s">
        <v>631</v>
      </c>
      <c r="D56" s="661" t="s">
        <v>632</v>
      </c>
      <c r="E56" s="661" t="s">
        <v>768</v>
      </c>
      <c r="F56" s="664"/>
      <c r="G56" s="664"/>
      <c r="H56" s="677">
        <v>0</v>
      </c>
      <c r="I56" s="664">
        <v>42</v>
      </c>
      <c r="J56" s="664">
        <v>3485.58</v>
      </c>
      <c r="K56" s="677">
        <v>1</v>
      </c>
      <c r="L56" s="664">
        <v>42</v>
      </c>
      <c r="M56" s="665">
        <v>3485.58</v>
      </c>
    </row>
    <row r="57" spans="1:13" ht="14.4" customHeight="1" x14ac:dyDescent="0.3">
      <c r="A57" s="660" t="s">
        <v>794</v>
      </c>
      <c r="B57" s="661" t="s">
        <v>767</v>
      </c>
      <c r="C57" s="661" t="s">
        <v>635</v>
      </c>
      <c r="D57" s="661" t="s">
        <v>769</v>
      </c>
      <c r="E57" s="661" t="s">
        <v>770</v>
      </c>
      <c r="F57" s="664"/>
      <c r="G57" s="664"/>
      <c r="H57" s="677">
        <v>0</v>
      </c>
      <c r="I57" s="664">
        <v>1</v>
      </c>
      <c r="J57" s="664">
        <v>48.37</v>
      </c>
      <c r="K57" s="677">
        <v>1</v>
      </c>
      <c r="L57" s="664">
        <v>1</v>
      </c>
      <c r="M57" s="665">
        <v>48.37</v>
      </c>
    </row>
    <row r="58" spans="1:13" ht="14.4" customHeight="1" x14ac:dyDescent="0.3">
      <c r="A58" s="660" t="s">
        <v>794</v>
      </c>
      <c r="B58" s="661" t="s">
        <v>767</v>
      </c>
      <c r="C58" s="661" t="s">
        <v>849</v>
      </c>
      <c r="D58" s="661" t="s">
        <v>850</v>
      </c>
      <c r="E58" s="661" t="s">
        <v>805</v>
      </c>
      <c r="F58" s="664"/>
      <c r="G58" s="664"/>
      <c r="H58" s="677">
        <v>0</v>
      </c>
      <c r="I58" s="664">
        <v>7</v>
      </c>
      <c r="J58" s="664">
        <v>871.43</v>
      </c>
      <c r="K58" s="677">
        <v>1</v>
      </c>
      <c r="L58" s="664">
        <v>7</v>
      </c>
      <c r="M58" s="665">
        <v>871.43</v>
      </c>
    </row>
    <row r="59" spans="1:13" ht="14.4" customHeight="1" x14ac:dyDescent="0.3">
      <c r="A59" s="660" t="s">
        <v>794</v>
      </c>
      <c r="B59" s="661" t="s">
        <v>767</v>
      </c>
      <c r="C59" s="661" t="s">
        <v>851</v>
      </c>
      <c r="D59" s="661" t="s">
        <v>852</v>
      </c>
      <c r="E59" s="661" t="s">
        <v>853</v>
      </c>
      <c r="F59" s="664">
        <v>4</v>
      </c>
      <c r="G59" s="664">
        <v>331.96</v>
      </c>
      <c r="H59" s="677">
        <v>1</v>
      </c>
      <c r="I59" s="664"/>
      <c r="J59" s="664"/>
      <c r="K59" s="677">
        <v>0</v>
      </c>
      <c r="L59" s="664">
        <v>4</v>
      </c>
      <c r="M59" s="665">
        <v>331.96</v>
      </c>
    </row>
    <row r="60" spans="1:13" ht="14.4" customHeight="1" x14ac:dyDescent="0.3">
      <c r="A60" s="660" t="s">
        <v>794</v>
      </c>
      <c r="B60" s="661" t="s">
        <v>1150</v>
      </c>
      <c r="C60" s="661" t="s">
        <v>1054</v>
      </c>
      <c r="D60" s="661" t="s">
        <v>1055</v>
      </c>
      <c r="E60" s="661" t="s">
        <v>1056</v>
      </c>
      <c r="F60" s="664">
        <v>2</v>
      </c>
      <c r="G60" s="664">
        <v>96.84</v>
      </c>
      <c r="H60" s="677">
        <v>1</v>
      </c>
      <c r="I60" s="664"/>
      <c r="J60" s="664"/>
      <c r="K60" s="677">
        <v>0</v>
      </c>
      <c r="L60" s="664">
        <v>2</v>
      </c>
      <c r="M60" s="665">
        <v>96.84</v>
      </c>
    </row>
    <row r="61" spans="1:13" ht="14.4" customHeight="1" x14ac:dyDescent="0.3">
      <c r="A61" s="660" t="s">
        <v>794</v>
      </c>
      <c r="B61" s="661" t="s">
        <v>1151</v>
      </c>
      <c r="C61" s="661" t="s">
        <v>1074</v>
      </c>
      <c r="D61" s="661" t="s">
        <v>1075</v>
      </c>
      <c r="E61" s="661" t="s">
        <v>1076</v>
      </c>
      <c r="F61" s="664"/>
      <c r="G61" s="664"/>
      <c r="H61" s="677">
        <v>0</v>
      </c>
      <c r="I61" s="664">
        <v>2</v>
      </c>
      <c r="J61" s="664">
        <v>267.88</v>
      </c>
      <c r="K61" s="677">
        <v>1</v>
      </c>
      <c r="L61" s="664">
        <v>2</v>
      </c>
      <c r="M61" s="665">
        <v>267.88</v>
      </c>
    </row>
    <row r="62" spans="1:13" ht="14.4" customHeight="1" x14ac:dyDescent="0.3">
      <c r="A62" s="660" t="s">
        <v>796</v>
      </c>
      <c r="B62" s="661" t="s">
        <v>767</v>
      </c>
      <c r="C62" s="661" t="s">
        <v>911</v>
      </c>
      <c r="D62" s="661" t="s">
        <v>912</v>
      </c>
      <c r="E62" s="661" t="s">
        <v>913</v>
      </c>
      <c r="F62" s="664"/>
      <c r="G62" s="664"/>
      <c r="H62" s="677"/>
      <c r="I62" s="664">
        <v>1</v>
      </c>
      <c r="J62" s="664">
        <v>0</v>
      </c>
      <c r="K62" s="677"/>
      <c r="L62" s="664">
        <v>1</v>
      </c>
      <c r="M62" s="665">
        <v>0</v>
      </c>
    </row>
    <row r="63" spans="1:13" ht="14.4" customHeight="1" x14ac:dyDescent="0.3">
      <c r="A63" s="660" t="s">
        <v>796</v>
      </c>
      <c r="B63" s="661" t="s">
        <v>767</v>
      </c>
      <c r="C63" s="661" t="s">
        <v>641</v>
      </c>
      <c r="D63" s="661" t="s">
        <v>642</v>
      </c>
      <c r="E63" s="661" t="s">
        <v>643</v>
      </c>
      <c r="F63" s="664"/>
      <c r="G63" s="664"/>
      <c r="H63" s="677">
        <v>0</v>
      </c>
      <c r="I63" s="664">
        <v>1</v>
      </c>
      <c r="J63" s="664">
        <v>103.74</v>
      </c>
      <c r="K63" s="677">
        <v>1</v>
      </c>
      <c r="L63" s="664">
        <v>1</v>
      </c>
      <c r="M63" s="665">
        <v>103.74</v>
      </c>
    </row>
    <row r="64" spans="1:13" ht="14.4" customHeight="1" x14ac:dyDescent="0.3">
      <c r="A64" s="660" t="s">
        <v>796</v>
      </c>
      <c r="B64" s="661" t="s">
        <v>767</v>
      </c>
      <c r="C64" s="661" t="s">
        <v>981</v>
      </c>
      <c r="D64" s="661" t="s">
        <v>982</v>
      </c>
      <c r="E64" s="661" t="s">
        <v>983</v>
      </c>
      <c r="F64" s="664"/>
      <c r="G64" s="664"/>
      <c r="H64" s="677">
        <v>0</v>
      </c>
      <c r="I64" s="664">
        <v>1</v>
      </c>
      <c r="J64" s="664">
        <v>62.24</v>
      </c>
      <c r="K64" s="677">
        <v>1</v>
      </c>
      <c r="L64" s="664">
        <v>1</v>
      </c>
      <c r="M64" s="665">
        <v>62.24</v>
      </c>
    </row>
    <row r="65" spans="1:13" ht="14.4" customHeight="1" x14ac:dyDescent="0.3">
      <c r="A65" s="660" t="s">
        <v>796</v>
      </c>
      <c r="B65" s="661" t="s">
        <v>767</v>
      </c>
      <c r="C65" s="661" t="s">
        <v>631</v>
      </c>
      <c r="D65" s="661" t="s">
        <v>632</v>
      </c>
      <c r="E65" s="661" t="s">
        <v>768</v>
      </c>
      <c r="F65" s="664"/>
      <c r="G65" s="664"/>
      <c r="H65" s="677">
        <v>0</v>
      </c>
      <c r="I65" s="664">
        <v>1</v>
      </c>
      <c r="J65" s="664">
        <v>82.99</v>
      </c>
      <c r="K65" s="677">
        <v>1</v>
      </c>
      <c r="L65" s="664">
        <v>1</v>
      </c>
      <c r="M65" s="665">
        <v>82.99</v>
      </c>
    </row>
    <row r="66" spans="1:13" ht="14.4" customHeight="1" x14ac:dyDescent="0.3">
      <c r="A66" s="660" t="s">
        <v>796</v>
      </c>
      <c r="B66" s="661" t="s">
        <v>767</v>
      </c>
      <c r="C66" s="661" t="s">
        <v>1083</v>
      </c>
      <c r="D66" s="661" t="s">
        <v>915</v>
      </c>
      <c r="E66" s="661" t="s">
        <v>853</v>
      </c>
      <c r="F66" s="664">
        <v>1</v>
      </c>
      <c r="G66" s="664">
        <v>82.99</v>
      </c>
      <c r="H66" s="677">
        <v>1</v>
      </c>
      <c r="I66" s="664"/>
      <c r="J66" s="664"/>
      <c r="K66" s="677">
        <v>0</v>
      </c>
      <c r="L66" s="664">
        <v>1</v>
      </c>
      <c r="M66" s="665">
        <v>82.99</v>
      </c>
    </row>
    <row r="67" spans="1:13" ht="14.4" customHeight="1" x14ac:dyDescent="0.3">
      <c r="A67" s="660" t="s">
        <v>800</v>
      </c>
      <c r="B67" s="661" t="s">
        <v>767</v>
      </c>
      <c r="C67" s="661" t="s">
        <v>911</v>
      </c>
      <c r="D67" s="661" t="s">
        <v>912</v>
      </c>
      <c r="E67" s="661" t="s">
        <v>913</v>
      </c>
      <c r="F67" s="664"/>
      <c r="G67" s="664"/>
      <c r="H67" s="677"/>
      <c r="I67" s="664">
        <v>3</v>
      </c>
      <c r="J67" s="664">
        <v>0</v>
      </c>
      <c r="K67" s="677"/>
      <c r="L67" s="664">
        <v>3</v>
      </c>
      <c r="M67" s="665">
        <v>0</v>
      </c>
    </row>
    <row r="68" spans="1:13" ht="14.4" customHeight="1" x14ac:dyDescent="0.3">
      <c r="A68" s="660" t="s">
        <v>800</v>
      </c>
      <c r="B68" s="661" t="s">
        <v>767</v>
      </c>
      <c r="C68" s="661" t="s">
        <v>840</v>
      </c>
      <c r="D68" s="661" t="s">
        <v>826</v>
      </c>
      <c r="E68" s="661" t="s">
        <v>841</v>
      </c>
      <c r="F68" s="664">
        <v>1</v>
      </c>
      <c r="G68" s="664">
        <v>166</v>
      </c>
      <c r="H68" s="677">
        <v>1</v>
      </c>
      <c r="I68" s="664"/>
      <c r="J68" s="664"/>
      <c r="K68" s="677">
        <v>0</v>
      </c>
      <c r="L68" s="664">
        <v>1</v>
      </c>
      <c r="M68" s="665">
        <v>166</v>
      </c>
    </row>
    <row r="69" spans="1:13" ht="14.4" customHeight="1" x14ac:dyDescent="0.3">
      <c r="A69" s="660" t="s">
        <v>800</v>
      </c>
      <c r="B69" s="661" t="s">
        <v>767</v>
      </c>
      <c r="C69" s="661" t="s">
        <v>828</v>
      </c>
      <c r="D69" s="661" t="s">
        <v>829</v>
      </c>
      <c r="E69" s="661" t="s">
        <v>830</v>
      </c>
      <c r="F69" s="664"/>
      <c r="G69" s="664"/>
      <c r="H69" s="677"/>
      <c r="I69" s="664">
        <v>2</v>
      </c>
      <c r="J69" s="664">
        <v>0</v>
      </c>
      <c r="K69" s="677"/>
      <c r="L69" s="664">
        <v>2</v>
      </c>
      <c r="M69" s="665">
        <v>0</v>
      </c>
    </row>
    <row r="70" spans="1:13" ht="14.4" customHeight="1" x14ac:dyDescent="0.3">
      <c r="A70" s="660" t="s">
        <v>800</v>
      </c>
      <c r="B70" s="661" t="s">
        <v>767</v>
      </c>
      <c r="C70" s="661" t="s">
        <v>842</v>
      </c>
      <c r="D70" s="661" t="s">
        <v>829</v>
      </c>
      <c r="E70" s="661" t="s">
        <v>843</v>
      </c>
      <c r="F70" s="664"/>
      <c r="G70" s="664"/>
      <c r="H70" s="677">
        <v>0</v>
      </c>
      <c r="I70" s="664">
        <v>1</v>
      </c>
      <c r="J70" s="664">
        <v>113.7</v>
      </c>
      <c r="K70" s="677">
        <v>1</v>
      </c>
      <c r="L70" s="664">
        <v>1</v>
      </c>
      <c r="M70" s="665">
        <v>113.7</v>
      </c>
    </row>
    <row r="71" spans="1:13" ht="14.4" customHeight="1" x14ac:dyDescent="0.3">
      <c r="A71" s="660" t="s">
        <v>800</v>
      </c>
      <c r="B71" s="661" t="s">
        <v>767</v>
      </c>
      <c r="C71" s="661" t="s">
        <v>641</v>
      </c>
      <c r="D71" s="661" t="s">
        <v>642</v>
      </c>
      <c r="E71" s="661" t="s">
        <v>643</v>
      </c>
      <c r="F71" s="664"/>
      <c r="G71" s="664"/>
      <c r="H71" s="677">
        <v>0</v>
      </c>
      <c r="I71" s="664">
        <v>2</v>
      </c>
      <c r="J71" s="664">
        <v>207.48</v>
      </c>
      <c r="K71" s="677">
        <v>1</v>
      </c>
      <c r="L71" s="664">
        <v>2</v>
      </c>
      <c r="M71" s="665">
        <v>207.48</v>
      </c>
    </row>
    <row r="72" spans="1:13" ht="14.4" customHeight="1" x14ac:dyDescent="0.3">
      <c r="A72" s="660" t="s">
        <v>800</v>
      </c>
      <c r="B72" s="661" t="s">
        <v>767</v>
      </c>
      <c r="C72" s="661" t="s">
        <v>831</v>
      </c>
      <c r="D72" s="661" t="s">
        <v>632</v>
      </c>
      <c r="E72" s="661" t="s">
        <v>832</v>
      </c>
      <c r="F72" s="664"/>
      <c r="G72" s="664"/>
      <c r="H72" s="677">
        <v>0</v>
      </c>
      <c r="I72" s="664">
        <v>2</v>
      </c>
      <c r="J72" s="664">
        <v>165.98</v>
      </c>
      <c r="K72" s="677">
        <v>1</v>
      </c>
      <c r="L72" s="664">
        <v>2</v>
      </c>
      <c r="M72" s="665">
        <v>165.98</v>
      </c>
    </row>
    <row r="73" spans="1:13" ht="14.4" customHeight="1" x14ac:dyDescent="0.3">
      <c r="A73" s="660" t="s">
        <v>800</v>
      </c>
      <c r="B73" s="661" t="s">
        <v>767</v>
      </c>
      <c r="C73" s="661" t="s">
        <v>802</v>
      </c>
      <c r="D73" s="661" t="s">
        <v>642</v>
      </c>
      <c r="E73" s="661" t="s">
        <v>643</v>
      </c>
      <c r="F73" s="664"/>
      <c r="G73" s="664"/>
      <c r="H73" s="677">
        <v>0</v>
      </c>
      <c r="I73" s="664">
        <v>6</v>
      </c>
      <c r="J73" s="664">
        <v>622.43999999999994</v>
      </c>
      <c r="K73" s="677">
        <v>1</v>
      </c>
      <c r="L73" s="664">
        <v>6</v>
      </c>
      <c r="M73" s="665">
        <v>622.43999999999994</v>
      </c>
    </row>
    <row r="74" spans="1:13" ht="14.4" customHeight="1" x14ac:dyDescent="0.3">
      <c r="A74" s="660" t="s">
        <v>800</v>
      </c>
      <c r="B74" s="661" t="s">
        <v>767</v>
      </c>
      <c r="C74" s="661" t="s">
        <v>981</v>
      </c>
      <c r="D74" s="661" t="s">
        <v>982</v>
      </c>
      <c r="E74" s="661" t="s">
        <v>983</v>
      </c>
      <c r="F74" s="664"/>
      <c r="G74" s="664"/>
      <c r="H74" s="677">
        <v>0</v>
      </c>
      <c r="I74" s="664">
        <v>1</v>
      </c>
      <c r="J74" s="664">
        <v>62.24</v>
      </c>
      <c r="K74" s="677">
        <v>1</v>
      </c>
      <c r="L74" s="664">
        <v>1</v>
      </c>
      <c r="M74" s="665">
        <v>62.24</v>
      </c>
    </row>
    <row r="75" spans="1:13" ht="14.4" customHeight="1" x14ac:dyDescent="0.3">
      <c r="A75" s="660" t="s">
        <v>800</v>
      </c>
      <c r="B75" s="661" t="s">
        <v>767</v>
      </c>
      <c r="C75" s="661" t="s">
        <v>844</v>
      </c>
      <c r="D75" s="661" t="s">
        <v>845</v>
      </c>
      <c r="E75" s="661" t="s">
        <v>846</v>
      </c>
      <c r="F75" s="664">
        <v>3</v>
      </c>
      <c r="G75" s="664">
        <v>311.21999999999997</v>
      </c>
      <c r="H75" s="677">
        <v>1</v>
      </c>
      <c r="I75" s="664"/>
      <c r="J75" s="664"/>
      <c r="K75" s="677">
        <v>0</v>
      </c>
      <c r="L75" s="664">
        <v>3</v>
      </c>
      <c r="M75" s="665">
        <v>311.21999999999997</v>
      </c>
    </row>
    <row r="76" spans="1:13" ht="14.4" customHeight="1" x14ac:dyDescent="0.3">
      <c r="A76" s="660" t="s">
        <v>800</v>
      </c>
      <c r="B76" s="661" t="s">
        <v>767</v>
      </c>
      <c r="C76" s="661" t="s">
        <v>854</v>
      </c>
      <c r="D76" s="661" t="s">
        <v>804</v>
      </c>
      <c r="E76" s="661" t="s">
        <v>855</v>
      </c>
      <c r="F76" s="664">
        <v>1</v>
      </c>
      <c r="G76" s="664">
        <v>0</v>
      </c>
      <c r="H76" s="677"/>
      <c r="I76" s="664"/>
      <c r="J76" s="664"/>
      <c r="K76" s="677"/>
      <c r="L76" s="664">
        <v>1</v>
      </c>
      <c r="M76" s="665">
        <v>0</v>
      </c>
    </row>
    <row r="77" spans="1:13" ht="14.4" customHeight="1" x14ac:dyDescent="0.3">
      <c r="A77" s="660" t="s">
        <v>800</v>
      </c>
      <c r="B77" s="661" t="s">
        <v>767</v>
      </c>
      <c r="C77" s="661" t="s">
        <v>803</v>
      </c>
      <c r="D77" s="661" t="s">
        <v>804</v>
      </c>
      <c r="E77" s="661" t="s">
        <v>805</v>
      </c>
      <c r="F77" s="664"/>
      <c r="G77" s="664"/>
      <c r="H77" s="677">
        <v>0</v>
      </c>
      <c r="I77" s="664">
        <v>25</v>
      </c>
      <c r="J77" s="664">
        <v>3112.2499999999991</v>
      </c>
      <c r="K77" s="677">
        <v>1</v>
      </c>
      <c r="L77" s="664">
        <v>25</v>
      </c>
      <c r="M77" s="665">
        <v>3112.2499999999991</v>
      </c>
    </row>
    <row r="78" spans="1:13" ht="14.4" customHeight="1" x14ac:dyDescent="0.3">
      <c r="A78" s="660" t="s">
        <v>800</v>
      </c>
      <c r="B78" s="661" t="s">
        <v>767</v>
      </c>
      <c r="C78" s="661" t="s">
        <v>631</v>
      </c>
      <c r="D78" s="661" t="s">
        <v>632</v>
      </c>
      <c r="E78" s="661" t="s">
        <v>768</v>
      </c>
      <c r="F78" s="664"/>
      <c r="G78" s="664"/>
      <c r="H78" s="677">
        <v>0</v>
      </c>
      <c r="I78" s="664">
        <v>17</v>
      </c>
      <c r="J78" s="664">
        <v>1410.83</v>
      </c>
      <c r="K78" s="677">
        <v>1</v>
      </c>
      <c r="L78" s="664">
        <v>17</v>
      </c>
      <c r="M78" s="665">
        <v>1410.83</v>
      </c>
    </row>
    <row r="79" spans="1:13" ht="14.4" customHeight="1" x14ac:dyDescent="0.3">
      <c r="A79" s="660" t="s">
        <v>800</v>
      </c>
      <c r="B79" s="661" t="s">
        <v>767</v>
      </c>
      <c r="C79" s="661" t="s">
        <v>635</v>
      </c>
      <c r="D79" s="661" t="s">
        <v>769</v>
      </c>
      <c r="E79" s="661" t="s">
        <v>770</v>
      </c>
      <c r="F79" s="664"/>
      <c r="G79" s="664"/>
      <c r="H79" s="677">
        <v>0</v>
      </c>
      <c r="I79" s="664">
        <v>1</v>
      </c>
      <c r="J79" s="664">
        <v>48.37</v>
      </c>
      <c r="K79" s="677">
        <v>1</v>
      </c>
      <c r="L79" s="664">
        <v>1</v>
      </c>
      <c r="M79" s="665">
        <v>48.37</v>
      </c>
    </row>
    <row r="80" spans="1:13" ht="14.4" customHeight="1" x14ac:dyDescent="0.3">
      <c r="A80" s="660" t="s">
        <v>800</v>
      </c>
      <c r="B80" s="661" t="s">
        <v>767</v>
      </c>
      <c r="C80" s="661" t="s">
        <v>847</v>
      </c>
      <c r="D80" s="661" t="s">
        <v>769</v>
      </c>
      <c r="E80" s="661" t="s">
        <v>848</v>
      </c>
      <c r="F80" s="664"/>
      <c r="G80" s="664"/>
      <c r="H80" s="677"/>
      <c r="I80" s="664">
        <v>1</v>
      </c>
      <c r="J80" s="664">
        <v>0</v>
      </c>
      <c r="K80" s="677"/>
      <c r="L80" s="664">
        <v>1</v>
      </c>
      <c r="M80" s="665">
        <v>0</v>
      </c>
    </row>
    <row r="81" spans="1:13" ht="14.4" customHeight="1" x14ac:dyDescent="0.3">
      <c r="A81" s="660" t="s">
        <v>800</v>
      </c>
      <c r="B81" s="661" t="s">
        <v>767</v>
      </c>
      <c r="C81" s="661" t="s">
        <v>849</v>
      </c>
      <c r="D81" s="661" t="s">
        <v>850</v>
      </c>
      <c r="E81" s="661" t="s">
        <v>805</v>
      </c>
      <c r="F81" s="664"/>
      <c r="G81" s="664"/>
      <c r="H81" s="677">
        <v>0</v>
      </c>
      <c r="I81" s="664">
        <v>4</v>
      </c>
      <c r="J81" s="664">
        <v>497.96</v>
      </c>
      <c r="K81" s="677">
        <v>1</v>
      </c>
      <c r="L81" s="664">
        <v>4</v>
      </c>
      <c r="M81" s="665">
        <v>497.96</v>
      </c>
    </row>
    <row r="82" spans="1:13" ht="14.4" customHeight="1" x14ac:dyDescent="0.3">
      <c r="A82" s="660" t="s">
        <v>800</v>
      </c>
      <c r="B82" s="661" t="s">
        <v>767</v>
      </c>
      <c r="C82" s="661" t="s">
        <v>851</v>
      </c>
      <c r="D82" s="661" t="s">
        <v>852</v>
      </c>
      <c r="E82" s="661" t="s">
        <v>853</v>
      </c>
      <c r="F82" s="664">
        <v>9</v>
      </c>
      <c r="G82" s="664">
        <v>746.91</v>
      </c>
      <c r="H82" s="677">
        <v>1</v>
      </c>
      <c r="I82" s="664"/>
      <c r="J82" s="664"/>
      <c r="K82" s="677">
        <v>0</v>
      </c>
      <c r="L82" s="664">
        <v>9</v>
      </c>
      <c r="M82" s="665">
        <v>746.91</v>
      </c>
    </row>
    <row r="83" spans="1:13" ht="14.4" customHeight="1" x14ac:dyDescent="0.3">
      <c r="A83" s="660" t="s">
        <v>800</v>
      </c>
      <c r="B83" s="661" t="s">
        <v>767</v>
      </c>
      <c r="C83" s="661" t="s">
        <v>1121</v>
      </c>
      <c r="D83" s="661" t="s">
        <v>824</v>
      </c>
      <c r="E83" s="661"/>
      <c r="F83" s="664">
        <v>1</v>
      </c>
      <c r="G83" s="664">
        <v>0</v>
      </c>
      <c r="H83" s="677"/>
      <c r="I83" s="664"/>
      <c r="J83" s="664"/>
      <c r="K83" s="677"/>
      <c r="L83" s="664">
        <v>1</v>
      </c>
      <c r="M83" s="665">
        <v>0</v>
      </c>
    </row>
    <row r="84" spans="1:13" ht="14.4" customHeight="1" x14ac:dyDescent="0.3">
      <c r="A84" s="660" t="s">
        <v>797</v>
      </c>
      <c r="B84" s="661" t="s">
        <v>1148</v>
      </c>
      <c r="C84" s="661" t="s">
        <v>1088</v>
      </c>
      <c r="D84" s="661" t="s">
        <v>1089</v>
      </c>
      <c r="E84" s="661" t="s">
        <v>1090</v>
      </c>
      <c r="F84" s="664">
        <v>3</v>
      </c>
      <c r="G84" s="664">
        <v>49.14</v>
      </c>
      <c r="H84" s="677">
        <v>1</v>
      </c>
      <c r="I84" s="664"/>
      <c r="J84" s="664"/>
      <c r="K84" s="677">
        <v>0</v>
      </c>
      <c r="L84" s="664">
        <v>3</v>
      </c>
      <c r="M84" s="665">
        <v>49.14</v>
      </c>
    </row>
    <row r="85" spans="1:13" ht="14.4" customHeight="1" x14ac:dyDescent="0.3">
      <c r="A85" s="660" t="s">
        <v>797</v>
      </c>
      <c r="B85" s="661" t="s">
        <v>767</v>
      </c>
      <c r="C85" s="661" t="s">
        <v>908</v>
      </c>
      <c r="D85" s="661" t="s">
        <v>909</v>
      </c>
      <c r="E85" s="661" t="s">
        <v>910</v>
      </c>
      <c r="F85" s="664"/>
      <c r="G85" s="664"/>
      <c r="H85" s="677"/>
      <c r="I85" s="664">
        <v>3</v>
      </c>
      <c r="J85" s="664">
        <v>0</v>
      </c>
      <c r="K85" s="677"/>
      <c r="L85" s="664">
        <v>3</v>
      </c>
      <c r="M85" s="665">
        <v>0</v>
      </c>
    </row>
    <row r="86" spans="1:13" ht="14.4" customHeight="1" x14ac:dyDescent="0.3">
      <c r="A86" s="660" t="s">
        <v>797</v>
      </c>
      <c r="B86" s="661" t="s">
        <v>767</v>
      </c>
      <c r="C86" s="661" t="s">
        <v>1098</v>
      </c>
      <c r="D86" s="661" t="s">
        <v>909</v>
      </c>
      <c r="E86" s="661" t="s">
        <v>1099</v>
      </c>
      <c r="F86" s="664"/>
      <c r="G86" s="664"/>
      <c r="H86" s="677">
        <v>0</v>
      </c>
      <c r="I86" s="664">
        <v>2</v>
      </c>
      <c r="J86" s="664">
        <v>146.06</v>
      </c>
      <c r="K86" s="677">
        <v>1</v>
      </c>
      <c r="L86" s="664">
        <v>2</v>
      </c>
      <c r="M86" s="665">
        <v>146.06</v>
      </c>
    </row>
    <row r="87" spans="1:13" ht="14.4" customHeight="1" x14ac:dyDescent="0.3">
      <c r="A87" s="660" t="s">
        <v>797</v>
      </c>
      <c r="B87" s="661" t="s">
        <v>767</v>
      </c>
      <c r="C87" s="661" t="s">
        <v>911</v>
      </c>
      <c r="D87" s="661" t="s">
        <v>912</v>
      </c>
      <c r="E87" s="661" t="s">
        <v>913</v>
      </c>
      <c r="F87" s="664"/>
      <c r="G87" s="664"/>
      <c r="H87" s="677"/>
      <c r="I87" s="664">
        <v>2</v>
      </c>
      <c r="J87" s="664">
        <v>0</v>
      </c>
      <c r="K87" s="677"/>
      <c r="L87" s="664">
        <v>2</v>
      </c>
      <c r="M87" s="665">
        <v>0</v>
      </c>
    </row>
    <row r="88" spans="1:13" ht="14.4" customHeight="1" x14ac:dyDescent="0.3">
      <c r="A88" s="660" t="s">
        <v>797</v>
      </c>
      <c r="B88" s="661" t="s">
        <v>767</v>
      </c>
      <c r="C88" s="661" t="s">
        <v>825</v>
      </c>
      <c r="D88" s="661" t="s">
        <v>826</v>
      </c>
      <c r="E88" s="661" t="s">
        <v>827</v>
      </c>
      <c r="F88" s="664">
        <v>2</v>
      </c>
      <c r="G88" s="664">
        <v>0</v>
      </c>
      <c r="H88" s="677"/>
      <c r="I88" s="664"/>
      <c r="J88" s="664"/>
      <c r="K88" s="677"/>
      <c r="L88" s="664">
        <v>2</v>
      </c>
      <c r="M88" s="665">
        <v>0</v>
      </c>
    </row>
    <row r="89" spans="1:13" ht="14.4" customHeight="1" x14ac:dyDescent="0.3">
      <c r="A89" s="660" t="s">
        <v>797</v>
      </c>
      <c r="B89" s="661" t="s">
        <v>767</v>
      </c>
      <c r="C89" s="661" t="s">
        <v>828</v>
      </c>
      <c r="D89" s="661" t="s">
        <v>829</v>
      </c>
      <c r="E89" s="661" t="s">
        <v>830</v>
      </c>
      <c r="F89" s="664"/>
      <c r="G89" s="664"/>
      <c r="H89" s="677"/>
      <c r="I89" s="664">
        <v>4</v>
      </c>
      <c r="J89" s="664">
        <v>0</v>
      </c>
      <c r="K89" s="677"/>
      <c r="L89" s="664">
        <v>4</v>
      </c>
      <c r="M89" s="665">
        <v>0</v>
      </c>
    </row>
    <row r="90" spans="1:13" ht="14.4" customHeight="1" x14ac:dyDescent="0.3">
      <c r="A90" s="660" t="s">
        <v>797</v>
      </c>
      <c r="B90" s="661" t="s">
        <v>767</v>
      </c>
      <c r="C90" s="661" t="s">
        <v>842</v>
      </c>
      <c r="D90" s="661" t="s">
        <v>829</v>
      </c>
      <c r="E90" s="661" t="s">
        <v>843</v>
      </c>
      <c r="F90" s="664"/>
      <c r="G90" s="664"/>
      <c r="H90" s="677">
        <v>0</v>
      </c>
      <c r="I90" s="664">
        <v>4</v>
      </c>
      <c r="J90" s="664">
        <v>454.8</v>
      </c>
      <c r="K90" s="677">
        <v>1</v>
      </c>
      <c r="L90" s="664">
        <v>4</v>
      </c>
      <c r="M90" s="665">
        <v>454.8</v>
      </c>
    </row>
    <row r="91" spans="1:13" ht="14.4" customHeight="1" x14ac:dyDescent="0.3">
      <c r="A91" s="660" t="s">
        <v>797</v>
      </c>
      <c r="B91" s="661" t="s">
        <v>767</v>
      </c>
      <c r="C91" s="661" t="s">
        <v>914</v>
      </c>
      <c r="D91" s="661" t="s">
        <v>915</v>
      </c>
      <c r="E91" s="661" t="s">
        <v>853</v>
      </c>
      <c r="F91" s="664">
        <v>3</v>
      </c>
      <c r="G91" s="664">
        <v>248.96999999999997</v>
      </c>
      <c r="H91" s="677">
        <v>1</v>
      </c>
      <c r="I91" s="664"/>
      <c r="J91" s="664"/>
      <c r="K91" s="677">
        <v>0</v>
      </c>
      <c r="L91" s="664">
        <v>3</v>
      </c>
      <c r="M91" s="665">
        <v>248.96999999999997</v>
      </c>
    </row>
    <row r="92" spans="1:13" ht="14.4" customHeight="1" x14ac:dyDescent="0.3">
      <c r="A92" s="660" t="s">
        <v>797</v>
      </c>
      <c r="B92" s="661" t="s">
        <v>767</v>
      </c>
      <c r="C92" s="661" t="s">
        <v>641</v>
      </c>
      <c r="D92" s="661" t="s">
        <v>642</v>
      </c>
      <c r="E92" s="661" t="s">
        <v>643</v>
      </c>
      <c r="F92" s="664"/>
      <c r="G92" s="664"/>
      <c r="H92" s="677">
        <v>0</v>
      </c>
      <c r="I92" s="664">
        <v>1</v>
      </c>
      <c r="J92" s="664">
        <v>103.74</v>
      </c>
      <c r="K92" s="677">
        <v>1</v>
      </c>
      <c r="L92" s="664">
        <v>1</v>
      </c>
      <c r="M92" s="665">
        <v>103.74</v>
      </c>
    </row>
    <row r="93" spans="1:13" ht="14.4" customHeight="1" x14ac:dyDescent="0.3">
      <c r="A93" s="660" t="s">
        <v>797</v>
      </c>
      <c r="B93" s="661" t="s">
        <v>767</v>
      </c>
      <c r="C93" s="661" t="s">
        <v>831</v>
      </c>
      <c r="D93" s="661" t="s">
        <v>632</v>
      </c>
      <c r="E93" s="661" t="s">
        <v>832</v>
      </c>
      <c r="F93" s="664"/>
      <c r="G93" s="664"/>
      <c r="H93" s="677">
        <v>0</v>
      </c>
      <c r="I93" s="664">
        <v>1</v>
      </c>
      <c r="J93" s="664">
        <v>82.99</v>
      </c>
      <c r="K93" s="677">
        <v>1</v>
      </c>
      <c r="L93" s="664">
        <v>1</v>
      </c>
      <c r="M93" s="665">
        <v>82.99</v>
      </c>
    </row>
    <row r="94" spans="1:13" ht="14.4" customHeight="1" x14ac:dyDescent="0.3">
      <c r="A94" s="660" t="s">
        <v>797</v>
      </c>
      <c r="B94" s="661" t="s">
        <v>767</v>
      </c>
      <c r="C94" s="661" t="s">
        <v>833</v>
      </c>
      <c r="D94" s="661" t="s">
        <v>834</v>
      </c>
      <c r="E94" s="661" t="s">
        <v>835</v>
      </c>
      <c r="F94" s="664"/>
      <c r="G94" s="664"/>
      <c r="H94" s="677">
        <v>0</v>
      </c>
      <c r="I94" s="664">
        <v>7</v>
      </c>
      <c r="J94" s="664">
        <v>435.68</v>
      </c>
      <c r="K94" s="677">
        <v>1</v>
      </c>
      <c r="L94" s="664">
        <v>7</v>
      </c>
      <c r="M94" s="665">
        <v>435.68</v>
      </c>
    </row>
    <row r="95" spans="1:13" ht="14.4" customHeight="1" x14ac:dyDescent="0.3">
      <c r="A95" s="660" t="s">
        <v>797</v>
      </c>
      <c r="B95" s="661" t="s">
        <v>767</v>
      </c>
      <c r="C95" s="661" t="s">
        <v>802</v>
      </c>
      <c r="D95" s="661" t="s">
        <v>642</v>
      </c>
      <c r="E95" s="661" t="s">
        <v>643</v>
      </c>
      <c r="F95" s="664"/>
      <c r="G95" s="664"/>
      <c r="H95" s="677">
        <v>0</v>
      </c>
      <c r="I95" s="664">
        <v>30</v>
      </c>
      <c r="J95" s="664">
        <v>3112.2</v>
      </c>
      <c r="K95" s="677">
        <v>1</v>
      </c>
      <c r="L95" s="664">
        <v>30</v>
      </c>
      <c r="M95" s="665">
        <v>3112.2</v>
      </c>
    </row>
    <row r="96" spans="1:13" ht="14.4" customHeight="1" x14ac:dyDescent="0.3">
      <c r="A96" s="660" t="s">
        <v>797</v>
      </c>
      <c r="B96" s="661" t="s">
        <v>767</v>
      </c>
      <c r="C96" s="661" t="s">
        <v>803</v>
      </c>
      <c r="D96" s="661" t="s">
        <v>804</v>
      </c>
      <c r="E96" s="661" t="s">
        <v>805</v>
      </c>
      <c r="F96" s="664"/>
      <c r="G96" s="664"/>
      <c r="H96" s="677">
        <v>0</v>
      </c>
      <c r="I96" s="664">
        <v>47</v>
      </c>
      <c r="J96" s="664">
        <v>5851.03</v>
      </c>
      <c r="K96" s="677">
        <v>1</v>
      </c>
      <c r="L96" s="664">
        <v>47</v>
      </c>
      <c r="M96" s="665">
        <v>5851.03</v>
      </c>
    </row>
    <row r="97" spans="1:13" ht="14.4" customHeight="1" x14ac:dyDescent="0.3">
      <c r="A97" s="660" t="s">
        <v>797</v>
      </c>
      <c r="B97" s="661" t="s">
        <v>767</v>
      </c>
      <c r="C97" s="661" t="s">
        <v>916</v>
      </c>
      <c r="D97" s="661" t="s">
        <v>639</v>
      </c>
      <c r="E97" s="661" t="s">
        <v>917</v>
      </c>
      <c r="F97" s="664"/>
      <c r="G97" s="664"/>
      <c r="H97" s="677">
        <v>0</v>
      </c>
      <c r="I97" s="664">
        <v>1</v>
      </c>
      <c r="J97" s="664">
        <v>48.37</v>
      </c>
      <c r="K97" s="677">
        <v>1</v>
      </c>
      <c r="L97" s="664">
        <v>1</v>
      </c>
      <c r="M97" s="665">
        <v>48.37</v>
      </c>
    </row>
    <row r="98" spans="1:13" ht="14.4" customHeight="1" x14ac:dyDescent="0.3">
      <c r="A98" s="660" t="s">
        <v>797</v>
      </c>
      <c r="B98" s="661" t="s">
        <v>767</v>
      </c>
      <c r="C98" s="661" t="s">
        <v>631</v>
      </c>
      <c r="D98" s="661" t="s">
        <v>632</v>
      </c>
      <c r="E98" s="661" t="s">
        <v>768</v>
      </c>
      <c r="F98" s="664"/>
      <c r="G98" s="664"/>
      <c r="H98" s="677">
        <v>0</v>
      </c>
      <c r="I98" s="664">
        <v>43</v>
      </c>
      <c r="J98" s="664">
        <v>3568.5699999999997</v>
      </c>
      <c r="K98" s="677">
        <v>1</v>
      </c>
      <c r="L98" s="664">
        <v>43</v>
      </c>
      <c r="M98" s="665">
        <v>3568.5699999999997</v>
      </c>
    </row>
    <row r="99" spans="1:13" ht="14.4" customHeight="1" x14ac:dyDescent="0.3">
      <c r="A99" s="660" t="s">
        <v>797</v>
      </c>
      <c r="B99" s="661" t="s">
        <v>767</v>
      </c>
      <c r="C99" s="661" t="s">
        <v>635</v>
      </c>
      <c r="D99" s="661" t="s">
        <v>769</v>
      </c>
      <c r="E99" s="661" t="s">
        <v>770</v>
      </c>
      <c r="F99" s="664"/>
      <c r="G99" s="664"/>
      <c r="H99" s="677">
        <v>0</v>
      </c>
      <c r="I99" s="664">
        <v>2</v>
      </c>
      <c r="J99" s="664">
        <v>96.74</v>
      </c>
      <c r="K99" s="677">
        <v>1</v>
      </c>
      <c r="L99" s="664">
        <v>2</v>
      </c>
      <c r="M99" s="665">
        <v>96.74</v>
      </c>
    </row>
    <row r="100" spans="1:13" ht="14.4" customHeight="1" x14ac:dyDescent="0.3">
      <c r="A100" s="660" t="s">
        <v>797</v>
      </c>
      <c r="B100" s="661" t="s">
        <v>767</v>
      </c>
      <c r="C100" s="661" t="s">
        <v>849</v>
      </c>
      <c r="D100" s="661" t="s">
        <v>850</v>
      </c>
      <c r="E100" s="661" t="s">
        <v>805</v>
      </c>
      <c r="F100" s="664"/>
      <c r="G100" s="664"/>
      <c r="H100" s="677">
        <v>0</v>
      </c>
      <c r="I100" s="664">
        <v>5</v>
      </c>
      <c r="J100" s="664">
        <v>622.44999999999993</v>
      </c>
      <c r="K100" s="677">
        <v>1</v>
      </c>
      <c r="L100" s="664">
        <v>5</v>
      </c>
      <c r="M100" s="665">
        <v>622.44999999999993</v>
      </c>
    </row>
    <row r="101" spans="1:13" ht="14.4" customHeight="1" x14ac:dyDescent="0.3">
      <c r="A101" s="660" t="s">
        <v>797</v>
      </c>
      <c r="B101" s="661" t="s">
        <v>767</v>
      </c>
      <c r="C101" s="661" t="s">
        <v>851</v>
      </c>
      <c r="D101" s="661" t="s">
        <v>852</v>
      </c>
      <c r="E101" s="661" t="s">
        <v>853</v>
      </c>
      <c r="F101" s="664">
        <v>6</v>
      </c>
      <c r="G101" s="664">
        <v>497.93999999999994</v>
      </c>
      <c r="H101" s="677">
        <v>1</v>
      </c>
      <c r="I101" s="664"/>
      <c r="J101" s="664"/>
      <c r="K101" s="677">
        <v>0</v>
      </c>
      <c r="L101" s="664">
        <v>6</v>
      </c>
      <c r="M101" s="665">
        <v>497.93999999999994</v>
      </c>
    </row>
    <row r="102" spans="1:13" ht="14.4" customHeight="1" x14ac:dyDescent="0.3">
      <c r="A102" s="660" t="s">
        <v>798</v>
      </c>
      <c r="B102" s="661" t="s">
        <v>1152</v>
      </c>
      <c r="C102" s="661" t="s">
        <v>1103</v>
      </c>
      <c r="D102" s="661" t="s">
        <v>1104</v>
      </c>
      <c r="E102" s="661" t="s">
        <v>1105</v>
      </c>
      <c r="F102" s="664"/>
      <c r="G102" s="664"/>
      <c r="H102" s="677">
        <v>0</v>
      </c>
      <c r="I102" s="664">
        <v>1</v>
      </c>
      <c r="J102" s="664">
        <v>208.19</v>
      </c>
      <c r="K102" s="677">
        <v>1</v>
      </c>
      <c r="L102" s="664">
        <v>1</v>
      </c>
      <c r="M102" s="665">
        <v>208.19</v>
      </c>
    </row>
    <row r="103" spans="1:13" ht="14.4" customHeight="1" x14ac:dyDescent="0.3">
      <c r="A103" s="660" t="s">
        <v>798</v>
      </c>
      <c r="B103" s="661" t="s">
        <v>1152</v>
      </c>
      <c r="C103" s="661" t="s">
        <v>1106</v>
      </c>
      <c r="D103" s="661" t="s">
        <v>1107</v>
      </c>
      <c r="E103" s="661" t="s">
        <v>1108</v>
      </c>
      <c r="F103" s="664"/>
      <c r="G103" s="664"/>
      <c r="H103" s="677">
        <v>0</v>
      </c>
      <c r="I103" s="664">
        <v>1</v>
      </c>
      <c r="J103" s="664">
        <v>643.69000000000005</v>
      </c>
      <c r="K103" s="677">
        <v>1</v>
      </c>
      <c r="L103" s="664">
        <v>1</v>
      </c>
      <c r="M103" s="665">
        <v>643.69000000000005</v>
      </c>
    </row>
    <row r="104" spans="1:13" ht="14.4" customHeight="1" x14ac:dyDescent="0.3">
      <c r="A104" s="660" t="s">
        <v>798</v>
      </c>
      <c r="B104" s="661" t="s">
        <v>767</v>
      </c>
      <c r="C104" s="661" t="s">
        <v>802</v>
      </c>
      <c r="D104" s="661" t="s">
        <v>642</v>
      </c>
      <c r="E104" s="661" t="s">
        <v>643</v>
      </c>
      <c r="F104" s="664"/>
      <c r="G104" s="664"/>
      <c r="H104" s="677">
        <v>0</v>
      </c>
      <c r="I104" s="664">
        <v>1</v>
      </c>
      <c r="J104" s="664">
        <v>103.74</v>
      </c>
      <c r="K104" s="677">
        <v>1</v>
      </c>
      <c r="L104" s="664">
        <v>1</v>
      </c>
      <c r="M104" s="665">
        <v>103.74</v>
      </c>
    </row>
    <row r="105" spans="1:13" ht="14.4" customHeight="1" x14ac:dyDescent="0.3">
      <c r="A105" s="660" t="s">
        <v>799</v>
      </c>
      <c r="B105" s="661" t="s">
        <v>1153</v>
      </c>
      <c r="C105" s="661" t="s">
        <v>1112</v>
      </c>
      <c r="D105" s="661" t="s">
        <v>1113</v>
      </c>
      <c r="E105" s="661" t="s">
        <v>1114</v>
      </c>
      <c r="F105" s="664"/>
      <c r="G105" s="664"/>
      <c r="H105" s="677">
        <v>0</v>
      </c>
      <c r="I105" s="664">
        <v>1</v>
      </c>
      <c r="J105" s="664">
        <v>407.55</v>
      </c>
      <c r="K105" s="677">
        <v>1</v>
      </c>
      <c r="L105" s="664">
        <v>1</v>
      </c>
      <c r="M105" s="665">
        <v>407.55</v>
      </c>
    </row>
    <row r="106" spans="1:13" ht="14.4" customHeight="1" x14ac:dyDescent="0.3">
      <c r="A106" s="660" t="s">
        <v>799</v>
      </c>
      <c r="B106" s="661" t="s">
        <v>767</v>
      </c>
      <c r="C106" s="661" t="s">
        <v>825</v>
      </c>
      <c r="D106" s="661" t="s">
        <v>826</v>
      </c>
      <c r="E106" s="661" t="s">
        <v>827</v>
      </c>
      <c r="F106" s="664">
        <v>1</v>
      </c>
      <c r="G106" s="664">
        <v>0</v>
      </c>
      <c r="H106" s="677"/>
      <c r="I106" s="664"/>
      <c r="J106" s="664"/>
      <c r="K106" s="677"/>
      <c r="L106" s="664">
        <v>1</v>
      </c>
      <c r="M106" s="665">
        <v>0</v>
      </c>
    </row>
    <row r="107" spans="1:13" ht="14.4" customHeight="1" x14ac:dyDescent="0.3">
      <c r="A107" s="660" t="s">
        <v>799</v>
      </c>
      <c r="B107" s="661" t="s">
        <v>767</v>
      </c>
      <c r="C107" s="661" t="s">
        <v>802</v>
      </c>
      <c r="D107" s="661" t="s">
        <v>642</v>
      </c>
      <c r="E107" s="661" t="s">
        <v>643</v>
      </c>
      <c r="F107" s="664"/>
      <c r="G107" s="664"/>
      <c r="H107" s="677">
        <v>0</v>
      </c>
      <c r="I107" s="664">
        <v>1</v>
      </c>
      <c r="J107" s="664">
        <v>103.74</v>
      </c>
      <c r="K107" s="677">
        <v>1</v>
      </c>
      <c r="L107" s="664">
        <v>1</v>
      </c>
      <c r="M107" s="665">
        <v>103.74</v>
      </c>
    </row>
    <row r="108" spans="1:13" ht="14.4" customHeight="1" x14ac:dyDescent="0.3">
      <c r="A108" s="660" t="s">
        <v>799</v>
      </c>
      <c r="B108" s="661" t="s">
        <v>767</v>
      </c>
      <c r="C108" s="661" t="s">
        <v>844</v>
      </c>
      <c r="D108" s="661" t="s">
        <v>845</v>
      </c>
      <c r="E108" s="661" t="s">
        <v>846</v>
      </c>
      <c r="F108" s="664">
        <v>1</v>
      </c>
      <c r="G108" s="664">
        <v>103.74</v>
      </c>
      <c r="H108" s="677">
        <v>1</v>
      </c>
      <c r="I108" s="664"/>
      <c r="J108" s="664"/>
      <c r="K108" s="677">
        <v>0</v>
      </c>
      <c r="L108" s="664">
        <v>1</v>
      </c>
      <c r="M108" s="665">
        <v>103.74</v>
      </c>
    </row>
    <row r="109" spans="1:13" ht="14.4" customHeight="1" x14ac:dyDescent="0.3">
      <c r="A109" s="660" t="s">
        <v>799</v>
      </c>
      <c r="B109" s="661" t="s">
        <v>767</v>
      </c>
      <c r="C109" s="661" t="s">
        <v>803</v>
      </c>
      <c r="D109" s="661" t="s">
        <v>804</v>
      </c>
      <c r="E109" s="661" t="s">
        <v>805</v>
      </c>
      <c r="F109" s="664"/>
      <c r="G109" s="664"/>
      <c r="H109" s="677">
        <v>0</v>
      </c>
      <c r="I109" s="664">
        <v>14</v>
      </c>
      <c r="J109" s="664">
        <v>1742.86</v>
      </c>
      <c r="K109" s="677">
        <v>1</v>
      </c>
      <c r="L109" s="664">
        <v>14</v>
      </c>
      <c r="M109" s="665">
        <v>1742.86</v>
      </c>
    </row>
    <row r="110" spans="1:13" ht="14.4" customHeight="1" x14ac:dyDescent="0.3">
      <c r="A110" s="660" t="s">
        <v>799</v>
      </c>
      <c r="B110" s="661" t="s">
        <v>767</v>
      </c>
      <c r="C110" s="661" t="s">
        <v>631</v>
      </c>
      <c r="D110" s="661" t="s">
        <v>632</v>
      </c>
      <c r="E110" s="661" t="s">
        <v>768</v>
      </c>
      <c r="F110" s="664"/>
      <c r="G110" s="664"/>
      <c r="H110" s="677">
        <v>0</v>
      </c>
      <c r="I110" s="664">
        <v>8</v>
      </c>
      <c r="J110" s="664">
        <v>663.92</v>
      </c>
      <c r="K110" s="677">
        <v>1</v>
      </c>
      <c r="L110" s="664">
        <v>8</v>
      </c>
      <c r="M110" s="665">
        <v>663.92</v>
      </c>
    </row>
    <row r="111" spans="1:13" ht="14.4" customHeight="1" x14ac:dyDescent="0.3">
      <c r="A111" s="660" t="s">
        <v>799</v>
      </c>
      <c r="B111" s="661" t="s">
        <v>767</v>
      </c>
      <c r="C111" s="661" t="s">
        <v>849</v>
      </c>
      <c r="D111" s="661" t="s">
        <v>850</v>
      </c>
      <c r="E111" s="661" t="s">
        <v>805</v>
      </c>
      <c r="F111" s="664"/>
      <c r="G111" s="664"/>
      <c r="H111" s="677">
        <v>0</v>
      </c>
      <c r="I111" s="664">
        <v>1</v>
      </c>
      <c r="J111" s="664">
        <v>124.49</v>
      </c>
      <c r="K111" s="677">
        <v>1</v>
      </c>
      <c r="L111" s="664">
        <v>1</v>
      </c>
      <c r="M111" s="665">
        <v>124.49</v>
      </c>
    </row>
    <row r="112" spans="1:13" ht="14.4" customHeight="1" x14ac:dyDescent="0.3">
      <c r="A112" s="660" t="s">
        <v>799</v>
      </c>
      <c r="B112" s="661" t="s">
        <v>767</v>
      </c>
      <c r="C112" s="661" t="s">
        <v>851</v>
      </c>
      <c r="D112" s="661" t="s">
        <v>852</v>
      </c>
      <c r="E112" s="661" t="s">
        <v>853</v>
      </c>
      <c r="F112" s="664">
        <v>5</v>
      </c>
      <c r="G112" s="664">
        <v>414.95</v>
      </c>
      <c r="H112" s="677">
        <v>1</v>
      </c>
      <c r="I112" s="664"/>
      <c r="J112" s="664"/>
      <c r="K112" s="677">
        <v>0</v>
      </c>
      <c r="L112" s="664">
        <v>5</v>
      </c>
      <c r="M112" s="665">
        <v>414.95</v>
      </c>
    </row>
    <row r="113" spans="1:13" ht="14.4" customHeight="1" thickBot="1" x14ac:dyDescent="0.35">
      <c r="A113" s="666" t="s">
        <v>799</v>
      </c>
      <c r="B113" s="667" t="s">
        <v>777</v>
      </c>
      <c r="C113" s="667" t="s">
        <v>1116</v>
      </c>
      <c r="D113" s="667" t="s">
        <v>1117</v>
      </c>
      <c r="E113" s="667" t="s">
        <v>1118</v>
      </c>
      <c r="F113" s="670"/>
      <c r="G113" s="670"/>
      <c r="H113" s="678">
        <v>0</v>
      </c>
      <c r="I113" s="670">
        <v>1</v>
      </c>
      <c r="J113" s="670">
        <v>300.68</v>
      </c>
      <c r="K113" s="678">
        <v>1</v>
      </c>
      <c r="L113" s="670">
        <v>1</v>
      </c>
      <c r="M113" s="671">
        <v>300.68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179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336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292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4" t="s">
        <v>529</v>
      </c>
      <c r="B5" s="645" t="s">
        <v>530</v>
      </c>
      <c r="C5" s="646" t="s">
        <v>531</v>
      </c>
      <c r="D5" s="646" t="s">
        <v>531</v>
      </c>
      <c r="E5" s="646"/>
      <c r="F5" s="646" t="s">
        <v>531</v>
      </c>
      <c r="G5" s="646" t="s">
        <v>531</v>
      </c>
      <c r="H5" s="646" t="s">
        <v>531</v>
      </c>
      <c r="I5" s="647" t="s">
        <v>531</v>
      </c>
      <c r="J5" s="648" t="s">
        <v>74</v>
      </c>
    </row>
    <row r="6" spans="1:10" ht="14.4" customHeight="1" x14ac:dyDescent="0.3">
      <c r="A6" s="644" t="s">
        <v>529</v>
      </c>
      <c r="B6" s="645" t="s">
        <v>356</v>
      </c>
      <c r="C6" s="646">
        <v>0</v>
      </c>
      <c r="D6" s="646">
        <v>0.19558</v>
      </c>
      <c r="E6" s="646"/>
      <c r="F6" s="646">
        <v>0</v>
      </c>
      <c r="G6" s="646">
        <v>0.2499999921255</v>
      </c>
      <c r="H6" s="646">
        <v>-0.2499999921255</v>
      </c>
      <c r="I6" s="647">
        <v>0</v>
      </c>
      <c r="J6" s="648" t="s">
        <v>1</v>
      </c>
    </row>
    <row r="7" spans="1:10" ht="14.4" customHeight="1" x14ac:dyDescent="0.3">
      <c r="A7" s="644" t="s">
        <v>529</v>
      </c>
      <c r="B7" s="645" t="s">
        <v>357</v>
      </c>
      <c r="C7" s="646" t="s">
        <v>531</v>
      </c>
      <c r="D7" s="646">
        <v>0</v>
      </c>
      <c r="E7" s="646"/>
      <c r="F7" s="646">
        <v>0</v>
      </c>
      <c r="G7" s="646">
        <v>0.19030749400575003</v>
      </c>
      <c r="H7" s="646">
        <v>-0.19030749400575003</v>
      </c>
      <c r="I7" s="647">
        <v>0</v>
      </c>
      <c r="J7" s="648" t="s">
        <v>1</v>
      </c>
    </row>
    <row r="8" spans="1:10" ht="14.4" customHeight="1" x14ac:dyDescent="0.3">
      <c r="A8" s="644" t="s">
        <v>529</v>
      </c>
      <c r="B8" s="645" t="s">
        <v>358</v>
      </c>
      <c r="C8" s="646">
        <v>4.4826100000000002</v>
      </c>
      <c r="D8" s="646">
        <v>2.07172</v>
      </c>
      <c r="E8" s="646"/>
      <c r="F8" s="646">
        <v>7.9733499999999999</v>
      </c>
      <c r="G8" s="646">
        <v>6.4999997952654995</v>
      </c>
      <c r="H8" s="646">
        <v>1.4733502047345004</v>
      </c>
      <c r="I8" s="647">
        <v>1.2266692694063877</v>
      </c>
      <c r="J8" s="648" t="s">
        <v>1</v>
      </c>
    </row>
    <row r="9" spans="1:10" ht="14.4" customHeight="1" x14ac:dyDescent="0.3">
      <c r="A9" s="644" t="s">
        <v>529</v>
      </c>
      <c r="B9" s="645" t="s">
        <v>359</v>
      </c>
      <c r="C9" s="646">
        <v>354.30592999999999</v>
      </c>
      <c r="D9" s="646">
        <v>323.50454999999999</v>
      </c>
      <c r="E9" s="646"/>
      <c r="F9" s="646">
        <v>340.55028000000004</v>
      </c>
      <c r="G9" s="646">
        <v>353.749988857733</v>
      </c>
      <c r="H9" s="646">
        <v>-13.199708857732958</v>
      </c>
      <c r="I9" s="647">
        <v>0.96268633420921046</v>
      </c>
      <c r="J9" s="648" t="s">
        <v>1</v>
      </c>
    </row>
    <row r="10" spans="1:10" ht="14.4" customHeight="1" x14ac:dyDescent="0.3">
      <c r="A10" s="644" t="s">
        <v>529</v>
      </c>
      <c r="B10" s="645" t="s">
        <v>360</v>
      </c>
      <c r="C10" s="646">
        <v>0</v>
      </c>
      <c r="D10" s="646">
        <v>0</v>
      </c>
      <c r="E10" s="646"/>
      <c r="F10" s="646" t="s">
        <v>531</v>
      </c>
      <c r="G10" s="646" t="s">
        <v>531</v>
      </c>
      <c r="H10" s="646" t="s">
        <v>531</v>
      </c>
      <c r="I10" s="647" t="s">
        <v>531</v>
      </c>
      <c r="J10" s="648" t="s">
        <v>1</v>
      </c>
    </row>
    <row r="11" spans="1:10" ht="14.4" customHeight="1" x14ac:dyDescent="0.3">
      <c r="A11" s="644" t="s">
        <v>529</v>
      </c>
      <c r="B11" s="645" t="s">
        <v>361</v>
      </c>
      <c r="C11" s="646">
        <v>0.83099999999999996</v>
      </c>
      <c r="D11" s="646">
        <v>0.21</v>
      </c>
      <c r="E11" s="646"/>
      <c r="F11" s="646">
        <v>1.6680000000000001</v>
      </c>
      <c r="G11" s="646">
        <v>1.749999944879</v>
      </c>
      <c r="H11" s="646">
        <v>-8.1999944878999864E-2</v>
      </c>
      <c r="I11" s="647">
        <v>0.95314288716467954</v>
      </c>
      <c r="J11" s="648" t="s">
        <v>1</v>
      </c>
    </row>
    <row r="12" spans="1:10" ht="14.4" customHeight="1" x14ac:dyDescent="0.3">
      <c r="A12" s="644" t="s">
        <v>529</v>
      </c>
      <c r="B12" s="645" t="s">
        <v>362</v>
      </c>
      <c r="C12" s="646">
        <v>7.306</v>
      </c>
      <c r="D12" s="646">
        <v>7.5367499999999996</v>
      </c>
      <c r="E12" s="646"/>
      <c r="F12" s="646">
        <v>13.940399999999999</v>
      </c>
      <c r="G12" s="646">
        <v>15.49999951178725</v>
      </c>
      <c r="H12" s="646">
        <v>-1.5595995117872512</v>
      </c>
      <c r="I12" s="647">
        <v>0.89938067348962003</v>
      </c>
      <c r="J12" s="648" t="s">
        <v>1</v>
      </c>
    </row>
    <row r="13" spans="1:10" ht="14.4" customHeight="1" x14ac:dyDescent="0.3">
      <c r="A13" s="644" t="s">
        <v>529</v>
      </c>
      <c r="B13" s="645" t="s">
        <v>532</v>
      </c>
      <c r="C13" s="646">
        <v>366.92554000000001</v>
      </c>
      <c r="D13" s="646">
        <v>333.51859999999994</v>
      </c>
      <c r="E13" s="646"/>
      <c r="F13" s="646">
        <v>364.13203000000004</v>
      </c>
      <c r="G13" s="646">
        <v>377.94029559579599</v>
      </c>
      <c r="H13" s="646">
        <v>-13.808265595795945</v>
      </c>
      <c r="I13" s="647">
        <v>0.96346442610987482</v>
      </c>
      <c r="J13" s="648" t="s">
        <v>533</v>
      </c>
    </row>
    <row r="15" spans="1:10" ht="14.4" customHeight="1" x14ac:dyDescent="0.3">
      <c r="A15" s="644" t="s">
        <v>529</v>
      </c>
      <c r="B15" s="645" t="s">
        <v>530</v>
      </c>
      <c r="C15" s="646" t="s">
        <v>531</v>
      </c>
      <c r="D15" s="646" t="s">
        <v>531</v>
      </c>
      <c r="E15" s="646"/>
      <c r="F15" s="646" t="s">
        <v>531</v>
      </c>
      <c r="G15" s="646" t="s">
        <v>531</v>
      </c>
      <c r="H15" s="646" t="s">
        <v>531</v>
      </c>
      <c r="I15" s="647" t="s">
        <v>531</v>
      </c>
      <c r="J15" s="648" t="s">
        <v>74</v>
      </c>
    </row>
    <row r="16" spans="1:10" ht="14.4" customHeight="1" x14ac:dyDescent="0.3">
      <c r="A16" s="644" t="s">
        <v>534</v>
      </c>
      <c r="B16" s="645" t="s">
        <v>535</v>
      </c>
      <c r="C16" s="646" t="s">
        <v>531</v>
      </c>
      <c r="D16" s="646" t="s">
        <v>531</v>
      </c>
      <c r="E16" s="646"/>
      <c r="F16" s="646" t="s">
        <v>531</v>
      </c>
      <c r="G16" s="646" t="s">
        <v>531</v>
      </c>
      <c r="H16" s="646" t="s">
        <v>531</v>
      </c>
      <c r="I16" s="647" t="s">
        <v>531</v>
      </c>
      <c r="J16" s="648" t="s">
        <v>0</v>
      </c>
    </row>
    <row r="17" spans="1:10" ht="14.4" customHeight="1" x14ac:dyDescent="0.3">
      <c r="A17" s="644" t="s">
        <v>534</v>
      </c>
      <c r="B17" s="645" t="s">
        <v>358</v>
      </c>
      <c r="C17" s="646">
        <v>0</v>
      </c>
      <c r="D17" s="646">
        <v>0.44062999999999997</v>
      </c>
      <c r="E17" s="646"/>
      <c r="F17" s="646">
        <v>0.50917999999999997</v>
      </c>
      <c r="G17" s="646">
        <v>0.35476963957375002</v>
      </c>
      <c r="H17" s="646">
        <v>0.15441036042624995</v>
      </c>
      <c r="I17" s="647">
        <v>1.4352411909084766</v>
      </c>
      <c r="J17" s="648" t="s">
        <v>1</v>
      </c>
    </row>
    <row r="18" spans="1:10" ht="14.4" customHeight="1" x14ac:dyDescent="0.3">
      <c r="A18" s="644" t="s">
        <v>534</v>
      </c>
      <c r="B18" s="645" t="s">
        <v>359</v>
      </c>
      <c r="C18" s="646">
        <v>3.2255000000000003</v>
      </c>
      <c r="D18" s="646">
        <v>3.2850000000000001</v>
      </c>
      <c r="E18" s="646"/>
      <c r="F18" s="646">
        <v>2.6189999999999998</v>
      </c>
      <c r="G18" s="646">
        <v>4.1998277437232501</v>
      </c>
      <c r="H18" s="646">
        <v>-1.5808277437232503</v>
      </c>
      <c r="I18" s="647">
        <v>0.62359700440432642</v>
      </c>
      <c r="J18" s="648" t="s">
        <v>1</v>
      </c>
    </row>
    <row r="19" spans="1:10" ht="14.4" customHeight="1" x14ac:dyDescent="0.3">
      <c r="A19" s="644" t="s">
        <v>534</v>
      </c>
      <c r="B19" s="645" t="s">
        <v>361</v>
      </c>
      <c r="C19" s="646">
        <v>0.43</v>
      </c>
      <c r="D19" s="646">
        <v>0</v>
      </c>
      <c r="E19" s="646"/>
      <c r="F19" s="646">
        <v>1.0680000000000001</v>
      </c>
      <c r="G19" s="646">
        <v>0.65458013205400001</v>
      </c>
      <c r="H19" s="646">
        <v>0.41341986794600005</v>
      </c>
      <c r="I19" s="647">
        <v>1.6315802263181045</v>
      </c>
      <c r="J19" s="648" t="s">
        <v>1</v>
      </c>
    </row>
    <row r="20" spans="1:10" ht="14.4" customHeight="1" x14ac:dyDescent="0.3">
      <c r="A20" s="644" t="s">
        <v>534</v>
      </c>
      <c r="B20" s="645" t="s">
        <v>362</v>
      </c>
      <c r="C20" s="646">
        <v>1.32</v>
      </c>
      <c r="D20" s="646">
        <v>0.39</v>
      </c>
      <c r="E20" s="646"/>
      <c r="F20" s="646">
        <v>1.704</v>
      </c>
      <c r="G20" s="646">
        <v>1.5683921554337501</v>
      </c>
      <c r="H20" s="646">
        <v>0.13560784456624986</v>
      </c>
      <c r="I20" s="647">
        <v>1.0864629704353159</v>
      </c>
      <c r="J20" s="648" t="s">
        <v>1</v>
      </c>
    </row>
    <row r="21" spans="1:10" ht="14.4" customHeight="1" x14ac:dyDescent="0.3">
      <c r="A21" s="644" t="s">
        <v>534</v>
      </c>
      <c r="B21" s="645" t="s">
        <v>536</v>
      </c>
      <c r="C21" s="646">
        <v>4.9755000000000003</v>
      </c>
      <c r="D21" s="646">
        <v>4.1156300000000003</v>
      </c>
      <c r="E21" s="646"/>
      <c r="F21" s="646">
        <v>5.9001799999999998</v>
      </c>
      <c r="G21" s="646">
        <v>6.7775696707847501</v>
      </c>
      <c r="H21" s="646">
        <v>-0.87738967078475039</v>
      </c>
      <c r="I21" s="647">
        <v>0.8705450901424433</v>
      </c>
      <c r="J21" s="648" t="s">
        <v>537</v>
      </c>
    </row>
    <row r="22" spans="1:10" ht="14.4" customHeight="1" x14ac:dyDescent="0.3">
      <c r="A22" s="644" t="s">
        <v>531</v>
      </c>
      <c r="B22" s="645" t="s">
        <v>531</v>
      </c>
      <c r="C22" s="646" t="s">
        <v>531</v>
      </c>
      <c r="D22" s="646" t="s">
        <v>531</v>
      </c>
      <c r="E22" s="646"/>
      <c r="F22" s="646" t="s">
        <v>531</v>
      </c>
      <c r="G22" s="646" t="s">
        <v>531</v>
      </c>
      <c r="H22" s="646" t="s">
        <v>531</v>
      </c>
      <c r="I22" s="647" t="s">
        <v>531</v>
      </c>
      <c r="J22" s="648" t="s">
        <v>538</v>
      </c>
    </row>
    <row r="23" spans="1:10" ht="14.4" customHeight="1" x14ac:dyDescent="0.3">
      <c r="A23" s="644" t="s">
        <v>539</v>
      </c>
      <c r="B23" s="645" t="s">
        <v>540</v>
      </c>
      <c r="C23" s="646" t="s">
        <v>531</v>
      </c>
      <c r="D23" s="646" t="s">
        <v>531</v>
      </c>
      <c r="E23" s="646"/>
      <c r="F23" s="646" t="s">
        <v>531</v>
      </c>
      <c r="G23" s="646" t="s">
        <v>531</v>
      </c>
      <c r="H23" s="646" t="s">
        <v>531</v>
      </c>
      <c r="I23" s="647" t="s">
        <v>531</v>
      </c>
      <c r="J23" s="648" t="s">
        <v>0</v>
      </c>
    </row>
    <row r="24" spans="1:10" ht="14.4" customHeight="1" x14ac:dyDescent="0.3">
      <c r="A24" s="644" t="s">
        <v>539</v>
      </c>
      <c r="B24" s="645" t="s">
        <v>358</v>
      </c>
      <c r="C24" s="646">
        <v>0.93162999999999996</v>
      </c>
      <c r="D24" s="646">
        <v>0.51590000000000003</v>
      </c>
      <c r="E24" s="646"/>
      <c r="F24" s="646">
        <v>2.4834800000000001</v>
      </c>
      <c r="G24" s="646">
        <v>0.7987478180305001</v>
      </c>
      <c r="H24" s="646">
        <v>1.6847321819695</v>
      </c>
      <c r="I24" s="647">
        <v>3.1092166312561602</v>
      </c>
      <c r="J24" s="648" t="s">
        <v>1</v>
      </c>
    </row>
    <row r="25" spans="1:10" ht="14.4" customHeight="1" x14ac:dyDescent="0.3">
      <c r="A25" s="644" t="s">
        <v>539</v>
      </c>
      <c r="B25" s="645" t="s">
        <v>359</v>
      </c>
      <c r="C25" s="646">
        <v>22.793219999999998</v>
      </c>
      <c r="D25" s="646">
        <v>17.802320000000002</v>
      </c>
      <c r="E25" s="646"/>
      <c r="F25" s="646">
        <v>24.629480000000001</v>
      </c>
      <c r="G25" s="646">
        <v>29.582712315216249</v>
      </c>
      <c r="H25" s="646">
        <v>-4.9532323152162476</v>
      </c>
      <c r="I25" s="647">
        <v>0.83256328011990677</v>
      </c>
      <c r="J25" s="648" t="s">
        <v>1</v>
      </c>
    </row>
    <row r="26" spans="1:10" ht="14.4" customHeight="1" x14ac:dyDescent="0.3">
      <c r="A26" s="644" t="s">
        <v>539</v>
      </c>
      <c r="B26" s="645" t="s">
        <v>361</v>
      </c>
      <c r="C26" s="646">
        <v>0.14499999999999999</v>
      </c>
      <c r="D26" s="646">
        <v>0</v>
      </c>
      <c r="E26" s="646"/>
      <c r="F26" s="646">
        <v>0.6</v>
      </c>
      <c r="G26" s="646">
        <v>0.37571563702075</v>
      </c>
      <c r="H26" s="646">
        <v>0.22428436297924997</v>
      </c>
      <c r="I26" s="647">
        <v>1.5969524312528498</v>
      </c>
      <c r="J26" s="648" t="s">
        <v>1</v>
      </c>
    </row>
    <row r="27" spans="1:10" ht="14.4" customHeight="1" x14ac:dyDescent="0.3">
      <c r="A27" s="644" t="s">
        <v>539</v>
      </c>
      <c r="B27" s="645" t="s">
        <v>362</v>
      </c>
      <c r="C27" s="646">
        <v>0.73</v>
      </c>
      <c r="D27" s="646">
        <v>2.9295499999999999</v>
      </c>
      <c r="E27" s="646"/>
      <c r="F27" s="646">
        <v>5.1959999999999997</v>
      </c>
      <c r="G27" s="646">
        <v>3.99874461291525</v>
      </c>
      <c r="H27" s="646">
        <v>1.1972553870847498</v>
      </c>
      <c r="I27" s="647">
        <v>1.2994078149471768</v>
      </c>
      <c r="J27" s="648" t="s">
        <v>1</v>
      </c>
    </row>
    <row r="28" spans="1:10" ht="14.4" customHeight="1" x14ac:dyDescent="0.3">
      <c r="A28" s="644" t="s">
        <v>539</v>
      </c>
      <c r="B28" s="645" t="s">
        <v>541</v>
      </c>
      <c r="C28" s="646">
        <v>24.599849999999996</v>
      </c>
      <c r="D28" s="646">
        <v>21.247769999999999</v>
      </c>
      <c r="E28" s="646"/>
      <c r="F28" s="646">
        <v>32.90896</v>
      </c>
      <c r="G28" s="646">
        <v>34.755920383182747</v>
      </c>
      <c r="H28" s="646">
        <v>-1.846960383182747</v>
      </c>
      <c r="I28" s="647">
        <v>0.94685911456753047</v>
      </c>
      <c r="J28" s="648" t="s">
        <v>537</v>
      </c>
    </row>
    <row r="29" spans="1:10" ht="14.4" customHeight="1" x14ac:dyDescent="0.3">
      <c r="A29" s="644" t="s">
        <v>531</v>
      </c>
      <c r="B29" s="645" t="s">
        <v>531</v>
      </c>
      <c r="C29" s="646" t="s">
        <v>531</v>
      </c>
      <c r="D29" s="646" t="s">
        <v>531</v>
      </c>
      <c r="E29" s="646"/>
      <c r="F29" s="646" t="s">
        <v>531</v>
      </c>
      <c r="G29" s="646" t="s">
        <v>531</v>
      </c>
      <c r="H29" s="646" t="s">
        <v>531</v>
      </c>
      <c r="I29" s="647" t="s">
        <v>531</v>
      </c>
      <c r="J29" s="648" t="s">
        <v>538</v>
      </c>
    </row>
    <row r="30" spans="1:10" ht="14.4" customHeight="1" x14ac:dyDescent="0.3">
      <c r="A30" s="644" t="s">
        <v>542</v>
      </c>
      <c r="B30" s="645" t="s">
        <v>543</v>
      </c>
      <c r="C30" s="646" t="s">
        <v>531</v>
      </c>
      <c r="D30" s="646" t="s">
        <v>531</v>
      </c>
      <c r="E30" s="646"/>
      <c r="F30" s="646" t="s">
        <v>531</v>
      </c>
      <c r="G30" s="646" t="s">
        <v>531</v>
      </c>
      <c r="H30" s="646" t="s">
        <v>531</v>
      </c>
      <c r="I30" s="647" t="s">
        <v>531</v>
      </c>
      <c r="J30" s="648" t="s">
        <v>0</v>
      </c>
    </row>
    <row r="31" spans="1:10" ht="14.4" customHeight="1" x14ac:dyDescent="0.3">
      <c r="A31" s="644" t="s">
        <v>542</v>
      </c>
      <c r="B31" s="645" t="s">
        <v>356</v>
      </c>
      <c r="C31" s="646">
        <v>0</v>
      </c>
      <c r="D31" s="646">
        <v>0.19558</v>
      </c>
      <c r="E31" s="646"/>
      <c r="F31" s="646">
        <v>0</v>
      </c>
      <c r="G31" s="646">
        <v>0.2499999921255</v>
      </c>
      <c r="H31" s="646">
        <v>-0.2499999921255</v>
      </c>
      <c r="I31" s="647">
        <v>0</v>
      </c>
      <c r="J31" s="648" t="s">
        <v>1</v>
      </c>
    </row>
    <row r="32" spans="1:10" ht="14.4" customHeight="1" x14ac:dyDescent="0.3">
      <c r="A32" s="644" t="s">
        <v>542</v>
      </c>
      <c r="B32" s="645" t="s">
        <v>357</v>
      </c>
      <c r="C32" s="646" t="s">
        <v>531</v>
      </c>
      <c r="D32" s="646">
        <v>0</v>
      </c>
      <c r="E32" s="646"/>
      <c r="F32" s="646">
        <v>0</v>
      </c>
      <c r="G32" s="646">
        <v>0.19030749400575003</v>
      </c>
      <c r="H32" s="646">
        <v>-0.19030749400575003</v>
      </c>
      <c r="I32" s="647">
        <v>0</v>
      </c>
      <c r="J32" s="648" t="s">
        <v>1</v>
      </c>
    </row>
    <row r="33" spans="1:10" ht="14.4" customHeight="1" x14ac:dyDescent="0.3">
      <c r="A33" s="644" t="s">
        <v>542</v>
      </c>
      <c r="B33" s="645" t="s">
        <v>358</v>
      </c>
      <c r="C33" s="646">
        <v>0.52059999999999995</v>
      </c>
      <c r="D33" s="646">
        <v>7.2660000000000002E-2</v>
      </c>
      <c r="E33" s="646"/>
      <c r="F33" s="646">
        <v>1.3929</v>
      </c>
      <c r="G33" s="646">
        <v>1.94815233085E-2</v>
      </c>
      <c r="H33" s="646">
        <v>1.3734184766915001</v>
      </c>
      <c r="I33" s="647">
        <v>71.498515693188253</v>
      </c>
      <c r="J33" s="648" t="s">
        <v>1</v>
      </c>
    </row>
    <row r="34" spans="1:10" ht="14.4" customHeight="1" x14ac:dyDescent="0.3">
      <c r="A34" s="644" t="s">
        <v>542</v>
      </c>
      <c r="B34" s="645" t="s">
        <v>359</v>
      </c>
      <c r="C34" s="646">
        <v>1.514</v>
      </c>
      <c r="D34" s="646">
        <v>2.3049999999999997</v>
      </c>
      <c r="E34" s="646"/>
      <c r="F34" s="646">
        <v>0</v>
      </c>
      <c r="G34" s="646">
        <v>1.8718771634035001</v>
      </c>
      <c r="H34" s="646">
        <v>-1.8718771634035001</v>
      </c>
      <c r="I34" s="647">
        <v>0</v>
      </c>
      <c r="J34" s="648" t="s">
        <v>1</v>
      </c>
    </row>
    <row r="35" spans="1:10" ht="14.4" customHeight="1" x14ac:dyDescent="0.3">
      <c r="A35" s="644" t="s">
        <v>542</v>
      </c>
      <c r="B35" s="645" t="s">
        <v>361</v>
      </c>
      <c r="C35" s="646">
        <v>5.8000000000000003E-2</v>
      </c>
      <c r="D35" s="646">
        <v>0</v>
      </c>
      <c r="E35" s="646"/>
      <c r="F35" s="646">
        <v>0</v>
      </c>
      <c r="G35" s="646">
        <v>0.3439885387835</v>
      </c>
      <c r="H35" s="646">
        <v>-0.3439885387835</v>
      </c>
      <c r="I35" s="647">
        <v>0</v>
      </c>
      <c r="J35" s="648" t="s">
        <v>1</v>
      </c>
    </row>
    <row r="36" spans="1:10" ht="14.4" customHeight="1" x14ac:dyDescent="0.3">
      <c r="A36" s="644" t="s">
        <v>542</v>
      </c>
      <c r="B36" s="645" t="s">
        <v>362</v>
      </c>
      <c r="C36" s="646">
        <v>1.3239999999999998</v>
      </c>
      <c r="D36" s="646">
        <v>0.46800000000000003</v>
      </c>
      <c r="E36" s="646"/>
      <c r="F36" s="646">
        <v>1.8459999999999999</v>
      </c>
      <c r="G36" s="646">
        <v>2.5006190952427501</v>
      </c>
      <c r="H36" s="646">
        <v>-0.65461909524275019</v>
      </c>
      <c r="I36" s="647">
        <v>0.73821718929999514</v>
      </c>
      <c r="J36" s="648" t="s">
        <v>1</v>
      </c>
    </row>
    <row r="37" spans="1:10" ht="14.4" customHeight="1" x14ac:dyDescent="0.3">
      <c r="A37" s="644" t="s">
        <v>542</v>
      </c>
      <c r="B37" s="645" t="s">
        <v>544</v>
      </c>
      <c r="C37" s="646">
        <v>3.4165999999999999</v>
      </c>
      <c r="D37" s="646">
        <v>3.0412399999999997</v>
      </c>
      <c r="E37" s="646"/>
      <c r="F37" s="646">
        <v>3.2389000000000001</v>
      </c>
      <c r="G37" s="646">
        <v>5.1762738068695002</v>
      </c>
      <c r="H37" s="646">
        <v>-1.9373738068695001</v>
      </c>
      <c r="I37" s="647">
        <v>0.6257203774077047</v>
      </c>
      <c r="J37" s="648" t="s">
        <v>537</v>
      </c>
    </row>
    <row r="38" spans="1:10" ht="14.4" customHeight="1" x14ac:dyDescent="0.3">
      <c r="A38" s="644" t="s">
        <v>531</v>
      </c>
      <c r="B38" s="645" t="s">
        <v>531</v>
      </c>
      <c r="C38" s="646" t="s">
        <v>531</v>
      </c>
      <c r="D38" s="646" t="s">
        <v>531</v>
      </c>
      <c r="E38" s="646"/>
      <c r="F38" s="646" t="s">
        <v>531</v>
      </c>
      <c r="G38" s="646" t="s">
        <v>531</v>
      </c>
      <c r="H38" s="646" t="s">
        <v>531</v>
      </c>
      <c r="I38" s="647" t="s">
        <v>531</v>
      </c>
      <c r="J38" s="648" t="s">
        <v>538</v>
      </c>
    </row>
    <row r="39" spans="1:10" ht="14.4" customHeight="1" x14ac:dyDescent="0.3">
      <c r="A39" s="644" t="s">
        <v>545</v>
      </c>
      <c r="B39" s="645" t="s">
        <v>546</v>
      </c>
      <c r="C39" s="646" t="s">
        <v>531</v>
      </c>
      <c r="D39" s="646" t="s">
        <v>531</v>
      </c>
      <c r="E39" s="646"/>
      <c r="F39" s="646" t="s">
        <v>531</v>
      </c>
      <c r="G39" s="646" t="s">
        <v>531</v>
      </c>
      <c r="H39" s="646" t="s">
        <v>531</v>
      </c>
      <c r="I39" s="647" t="s">
        <v>531</v>
      </c>
      <c r="J39" s="648" t="s">
        <v>0</v>
      </c>
    </row>
    <row r="40" spans="1:10" ht="14.4" customHeight="1" x14ac:dyDescent="0.3">
      <c r="A40" s="644" t="s">
        <v>545</v>
      </c>
      <c r="B40" s="645" t="s">
        <v>356</v>
      </c>
      <c r="C40" s="646">
        <v>0</v>
      </c>
      <c r="D40" s="646" t="s">
        <v>531</v>
      </c>
      <c r="E40" s="646"/>
      <c r="F40" s="646" t="s">
        <v>531</v>
      </c>
      <c r="G40" s="646" t="s">
        <v>531</v>
      </c>
      <c r="H40" s="646" t="s">
        <v>531</v>
      </c>
      <c r="I40" s="647" t="s">
        <v>531</v>
      </c>
      <c r="J40" s="648" t="s">
        <v>1</v>
      </c>
    </row>
    <row r="41" spans="1:10" ht="14.4" customHeight="1" x14ac:dyDescent="0.3">
      <c r="A41" s="644" t="s">
        <v>545</v>
      </c>
      <c r="B41" s="645" t="s">
        <v>358</v>
      </c>
      <c r="C41" s="646">
        <v>3.0303800000000001</v>
      </c>
      <c r="D41" s="646">
        <v>1.04253</v>
      </c>
      <c r="E41" s="646"/>
      <c r="F41" s="646">
        <v>3.58779</v>
      </c>
      <c r="G41" s="646">
        <v>5.3270008143527496</v>
      </c>
      <c r="H41" s="646">
        <v>-1.7392108143527496</v>
      </c>
      <c r="I41" s="647">
        <v>0.67351031566078889</v>
      </c>
      <c r="J41" s="648" t="s">
        <v>1</v>
      </c>
    </row>
    <row r="42" spans="1:10" ht="14.4" customHeight="1" x14ac:dyDescent="0.3">
      <c r="A42" s="644" t="s">
        <v>545</v>
      </c>
      <c r="B42" s="645" t="s">
        <v>359</v>
      </c>
      <c r="C42" s="646">
        <v>326.77321000000001</v>
      </c>
      <c r="D42" s="646">
        <v>300.11223000000001</v>
      </c>
      <c r="E42" s="646"/>
      <c r="F42" s="646">
        <v>313.30180000000001</v>
      </c>
      <c r="G42" s="646">
        <v>318.09557163539</v>
      </c>
      <c r="H42" s="646">
        <v>-4.7937716353899873</v>
      </c>
      <c r="I42" s="647">
        <v>0.98492977563081341</v>
      </c>
      <c r="J42" s="648" t="s">
        <v>1</v>
      </c>
    </row>
    <row r="43" spans="1:10" ht="14.4" customHeight="1" x14ac:dyDescent="0.3">
      <c r="A43" s="644" t="s">
        <v>545</v>
      </c>
      <c r="B43" s="645" t="s">
        <v>360</v>
      </c>
      <c r="C43" s="646">
        <v>0</v>
      </c>
      <c r="D43" s="646">
        <v>0</v>
      </c>
      <c r="E43" s="646"/>
      <c r="F43" s="646" t="s">
        <v>531</v>
      </c>
      <c r="G43" s="646" t="s">
        <v>531</v>
      </c>
      <c r="H43" s="646" t="s">
        <v>531</v>
      </c>
      <c r="I43" s="647" t="s">
        <v>531</v>
      </c>
      <c r="J43" s="648" t="s">
        <v>1</v>
      </c>
    </row>
    <row r="44" spans="1:10" ht="14.4" customHeight="1" x14ac:dyDescent="0.3">
      <c r="A44" s="644" t="s">
        <v>545</v>
      </c>
      <c r="B44" s="645" t="s">
        <v>361</v>
      </c>
      <c r="C44" s="646">
        <v>0.19800000000000001</v>
      </c>
      <c r="D44" s="646">
        <v>0.21</v>
      </c>
      <c r="E44" s="646"/>
      <c r="F44" s="646">
        <v>0</v>
      </c>
      <c r="G44" s="646">
        <v>0.37571563702075</v>
      </c>
      <c r="H44" s="646">
        <v>-0.37571563702075</v>
      </c>
      <c r="I44" s="647">
        <v>0</v>
      </c>
      <c r="J44" s="648" t="s">
        <v>1</v>
      </c>
    </row>
    <row r="45" spans="1:10" ht="14.4" customHeight="1" x14ac:dyDescent="0.3">
      <c r="A45" s="644" t="s">
        <v>545</v>
      </c>
      <c r="B45" s="645" t="s">
        <v>362</v>
      </c>
      <c r="C45" s="646">
        <v>3.9320000000000004</v>
      </c>
      <c r="D45" s="646">
        <v>3.7492000000000001</v>
      </c>
      <c r="E45" s="646"/>
      <c r="F45" s="646">
        <v>5.1943999999999999</v>
      </c>
      <c r="G45" s="646">
        <v>7.4322436481955005</v>
      </c>
      <c r="H45" s="646">
        <v>-2.2378436481955006</v>
      </c>
      <c r="I45" s="647">
        <v>0.69890066121031513</v>
      </c>
      <c r="J45" s="648" t="s">
        <v>1</v>
      </c>
    </row>
    <row r="46" spans="1:10" ht="14.4" customHeight="1" x14ac:dyDescent="0.3">
      <c r="A46" s="644" t="s">
        <v>545</v>
      </c>
      <c r="B46" s="645" t="s">
        <v>547</v>
      </c>
      <c r="C46" s="646">
        <v>333.93358999999998</v>
      </c>
      <c r="D46" s="646">
        <v>305.11395999999996</v>
      </c>
      <c r="E46" s="646"/>
      <c r="F46" s="646">
        <v>322.08398999999997</v>
      </c>
      <c r="G46" s="646">
        <v>331.23053173495896</v>
      </c>
      <c r="H46" s="646">
        <v>-9.146541734958987</v>
      </c>
      <c r="I46" s="647">
        <v>0.97238617561294804</v>
      </c>
      <c r="J46" s="648" t="s">
        <v>537</v>
      </c>
    </row>
    <row r="47" spans="1:10" ht="14.4" customHeight="1" x14ac:dyDescent="0.3">
      <c r="A47" s="644" t="s">
        <v>531</v>
      </c>
      <c r="B47" s="645" t="s">
        <v>531</v>
      </c>
      <c r="C47" s="646" t="s">
        <v>531</v>
      </c>
      <c r="D47" s="646" t="s">
        <v>531</v>
      </c>
      <c r="E47" s="646"/>
      <c r="F47" s="646" t="s">
        <v>531</v>
      </c>
      <c r="G47" s="646" t="s">
        <v>531</v>
      </c>
      <c r="H47" s="646" t="s">
        <v>531</v>
      </c>
      <c r="I47" s="647" t="s">
        <v>531</v>
      </c>
      <c r="J47" s="648" t="s">
        <v>538</v>
      </c>
    </row>
    <row r="48" spans="1:10" ht="14.4" customHeight="1" x14ac:dyDescent="0.3">
      <c r="A48" s="644" t="s">
        <v>529</v>
      </c>
      <c r="B48" s="645" t="s">
        <v>532</v>
      </c>
      <c r="C48" s="646">
        <v>366.92554000000001</v>
      </c>
      <c r="D48" s="646">
        <v>333.51859999999994</v>
      </c>
      <c r="E48" s="646"/>
      <c r="F48" s="646">
        <v>364.13202999999999</v>
      </c>
      <c r="G48" s="646">
        <v>377.94029559579599</v>
      </c>
      <c r="H48" s="646">
        <v>-13.808265595796001</v>
      </c>
      <c r="I48" s="647">
        <v>0.96346442610987471</v>
      </c>
      <c r="J48" s="648" t="s">
        <v>533</v>
      </c>
    </row>
  </sheetData>
  <mergeCells count="3">
    <mergeCell ref="A1:I1"/>
    <mergeCell ref="F3:I3"/>
    <mergeCell ref="C4:D4"/>
  </mergeCells>
  <conditionalFormatting sqref="F14 F49:F65537">
    <cfRule type="cellIs" dxfId="38" priority="18" stopIfTrue="1" operator="greaterThan">
      <formula>1</formula>
    </cfRule>
  </conditionalFormatting>
  <conditionalFormatting sqref="H5:H13">
    <cfRule type="expression" dxfId="37" priority="14">
      <formula>$H5&gt;0</formula>
    </cfRule>
  </conditionalFormatting>
  <conditionalFormatting sqref="I5:I13">
    <cfRule type="expression" dxfId="36" priority="15">
      <formula>$I5&gt;1</formula>
    </cfRule>
  </conditionalFormatting>
  <conditionalFormatting sqref="B5:B13">
    <cfRule type="expression" dxfId="35" priority="11">
      <formula>OR($J5="NS",$J5="SumaNS",$J5="Účet")</formula>
    </cfRule>
  </conditionalFormatting>
  <conditionalFormatting sqref="F5:I13 B5:D13">
    <cfRule type="expression" dxfId="34" priority="17">
      <formula>AND($J5&lt;&gt;"",$J5&lt;&gt;"mezeraKL")</formula>
    </cfRule>
  </conditionalFormatting>
  <conditionalFormatting sqref="B5:D13 F5:I13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32" priority="13">
      <formula>OR($J5="SumaNS",$J5="NS")</formula>
    </cfRule>
  </conditionalFormatting>
  <conditionalFormatting sqref="A5:A13">
    <cfRule type="expression" dxfId="31" priority="9">
      <formula>AND($J5&lt;&gt;"mezeraKL",$J5&lt;&gt;"")</formula>
    </cfRule>
  </conditionalFormatting>
  <conditionalFormatting sqref="A5:A13">
    <cfRule type="expression" dxfId="30" priority="10">
      <formula>AND($J5&lt;&gt;"",$J5&lt;&gt;"mezeraKL")</formula>
    </cfRule>
  </conditionalFormatting>
  <conditionalFormatting sqref="H15:H48">
    <cfRule type="expression" dxfId="29" priority="5">
      <formula>$H15&gt;0</formula>
    </cfRule>
  </conditionalFormatting>
  <conditionalFormatting sqref="A15:A48">
    <cfRule type="expression" dxfId="28" priority="2">
      <formula>AND($J15&lt;&gt;"mezeraKL",$J15&lt;&gt;"")</formula>
    </cfRule>
  </conditionalFormatting>
  <conditionalFormatting sqref="I15:I48">
    <cfRule type="expression" dxfId="27" priority="6">
      <formula>$I15&gt;1</formula>
    </cfRule>
  </conditionalFormatting>
  <conditionalFormatting sqref="B15:B48">
    <cfRule type="expression" dxfId="26" priority="1">
      <formula>OR($J15="NS",$J15="SumaNS",$J15="Účet")</formula>
    </cfRule>
  </conditionalFormatting>
  <conditionalFormatting sqref="A15:D48 F15:I48">
    <cfRule type="expression" dxfId="25" priority="8">
      <formula>AND($J15&lt;&gt;"",$J15&lt;&gt;"mezeraKL")</formula>
    </cfRule>
  </conditionalFormatting>
  <conditionalFormatting sqref="B15:D48 F15:I48">
    <cfRule type="expression" dxfId="24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8 F15:I48">
    <cfRule type="expression" dxfId="23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12.44140625" style="339" hidden="1" customWidth="1" outlineLevel="1"/>
    <col min="8" max="8" width="25.77734375" style="339" customWidth="1" collapsed="1"/>
    <col min="9" max="9" width="7.77734375" style="337" customWidth="1"/>
    <col min="10" max="10" width="10" style="337" customWidth="1"/>
    <col min="11" max="11" width="11.109375" style="337" customWidth="1"/>
    <col min="12" max="16384" width="8.88671875" style="254"/>
  </cols>
  <sheetData>
    <row r="1" spans="1:11" ht="18.600000000000001" customHeight="1" thickBot="1" x14ac:dyDescent="0.4">
      <c r="A1" s="514" t="s">
        <v>1245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3" t="s">
        <v>336</v>
      </c>
      <c r="B2" s="66"/>
      <c r="C2" s="341"/>
      <c r="D2" s="341"/>
      <c r="E2" s="341"/>
      <c r="F2" s="341"/>
      <c r="G2" s="341"/>
      <c r="H2" s="341"/>
      <c r="I2" s="342"/>
      <c r="J2" s="342"/>
      <c r="K2" s="342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160</v>
      </c>
      <c r="I3" s="207">
        <f>IF(J3&lt;&gt;0,K3/J3,0)</f>
        <v>9.5295079950799515</v>
      </c>
      <c r="J3" s="207">
        <f>SUBTOTAL(9,J5:J1048576)</f>
        <v>38211</v>
      </c>
      <c r="K3" s="208">
        <f>SUBTOTAL(9,K5:K1048576)</f>
        <v>364132.03</v>
      </c>
    </row>
    <row r="4" spans="1:11" s="338" customFormat="1" ht="14.4" customHeight="1" thickBot="1" x14ac:dyDescent="0.35">
      <c r="A4" s="750" t="s">
        <v>4</v>
      </c>
      <c r="B4" s="751" t="s">
        <v>5</v>
      </c>
      <c r="C4" s="751" t="s">
        <v>0</v>
      </c>
      <c r="D4" s="751" t="s">
        <v>6</v>
      </c>
      <c r="E4" s="751" t="s">
        <v>7</v>
      </c>
      <c r="F4" s="751" t="s">
        <v>1</v>
      </c>
      <c r="G4" s="751" t="s">
        <v>90</v>
      </c>
      <c r="H4" s="651" t="s">
        <v>11</v>
      </c>
      <c r="I4" s="652" t="s">
        <v>185</v>
      </c>
      <c r="J4" s="652" t="s">
        <v>13</v>
      </c>
      <c r="K4" s="653" t="s">
        <v>202</v>
      </c>
    </row>
    <row r="5" spans="1:11" ht="14.4" customHeight="1" x14ac:dyDescent="0.3">
      <c r="A5" s="733" t="s">
        <v>529</v>
      </c>
      <c r="B5" s="734" t="s">
        <v>530</v>
      </c>
      <c r="C5" s="737" t="s">
        <v>534</v>
      </c>
      <c r="D5" s="752" t="s">
        <v>748</v>
      </c>
      <c r="E5" s="737" t="s">
        <v>1237</v>
      </c>
      <c r="F5" s="752" t="s">
        <v>1238</v>
      </c>
      <c r="G5" s="737" t="s">
        <v>1155</v>
      </c>
      <c r="H5" s="737" t="s">
        <v>1156</v>
      </c>
      <c r="I5" s="229">
        <v>260.3</v>
      </c>
      <c r="J5" s="229">
        <v>1</v>
      </c>
      <c r="K5" s="747">
        <v>260.3</v>
      </c>
    </row>
    <row r="6" spans="1:11" ht="14.4" customHeight="1" x14ac:dyDescent="0.3">
      <c r="A6" s="660" t="s">
        <v>529</v>
      </c>
      <c r="B6" s="661" t="s">
        <v>530</v>
      </c>
      <c r="C6" s="662" t="s">
        <v>534</v>
      </c>
      <c r="D6" s="663" t="s">
        <v>748</v>
      </c>
      <c r="E6" s="662" t="s">
        <v>1237</v>
      </c>
      <c r="F6" s="663" t="s">
        <v>1238</v>
      </c>
      <c r="G6" s="662" t="s">
        <v>1157</v>
      </c>
      <c r="H6" s="662" t="s">
        <v>1158</v>
      </c>
      <c r="I6" s="664">
        <v>124.44</v>
      </c>
      <c r="J6" s="664">
        <v>2</v>
      </c>
      <c r="K6" s="665">
        <v>248.88</v>
      </c>
    </row>
    <row r="7" spans="1:11" ht="14.4" customHeight="1" x14ac:dyDescent="0.3">
      <c r="A7" s="660" t="s">
        <v>529</v>
      </c>
      <c r="B7" s="661" t="s">
        <v>530</v>
      </c>
      <c r="C7" s="662" t="s">
        <v>534</v>
      </c>
      <c r="D7" s="663" t="s">
        <v>748</v>
      </c>
      <c r="E7" s="662" t="s">
        <v>1239</v>
      </c>
      <c r="F7" s="663" t="s">
        <v>1240</v>
      </c>
      <c r="G7" s="662" t="s">
        <v>1159</v>
      </c>
      <c r="H7" s="662" t="s">
        <v>1160</v>
      </c>
      <c r="I7" s="664">
        <v>1.98</v>
      </c>
      <c r="J7" s="664">
        <v>150</v>
      </c>
      <c r="K7" s="665">
        <v>297</v>
      </c>
    </row>
    <row r="8" spans="1:11" ht="14.4" customHeight="1" x14ac:dyDescent="0.3">
      <c r="A8" s="660" t="s">
        <v>529</v>
      </c>
      <c r="B8" s="661" t="s">
        <v>530</v>
      </c>
      <c r="C8" s="662" t="s">
        <v>534</v>
      </c>
      <c r="D8" s="663" t="s">
        <v>748</v>
      </c>
      <c r="E8" s="662" t="s">
        <v>1239</v>
      </c>
      <c r="F8" s="663" t="s">
        <v>1240</v>
      </c>
      <c r="G8" s="662" t="s">
        <v>1161</v>
      </c>
      <c r="H8" s="662" t="s">
        <v>1162</v>
      </c>
      <c r="I8" s="664">
        <v>2.56</v>
      </c>
      <c r="J8" s="664">
        <v>600</v>
      </c>
      <c r="K8" s="665">
        <v>1528</v>
      </c>
    </row>
    <row r="9" spans="1:11" ht="14.4" customHeight="1" x14ac:dyDescent="0.3">
      <c r="A9" s="660" t="s">
        <v>529</v>
      </c>
      <c r="B9" s="661" t="s">
        <v>530</v>
      </c>
      <c r="C9" s="662" t="s">
        <v>534</v>
      </c>
      <c r="D9" s="663" t="s">
        <v>748</v>
      </c>
      <c r="E9" s="662" t="s">
        <v>1239</v>
      </c>
      <c r="F9" s="663" t="s">
        <v>1240</v>
      </c>
      <c r="G9" s="662" t="s">
        <v>1163</v>
      </c>
      <c r="H9" s="662" t="s">
        <v>1164</v>
      </c>
      <c r="I9" s="664">
        <v>15</v>
      </c>
      <c r="J9" s="664">
        <v>20</v>
      </c>
      <c r="K9" s="665">
        <v>300</v>
      </c>
    </row>
    <row r="10" spans="1:11" ht="14.4" customHeight="1" x14ac:dyDescent="0.3">
      <c r="A10" s="660" t="s">
        <v>529</v>
      </c>
      <c r="B10" s="661" t="s">
        <v>530</v>
      </c>
      <c r="C10" s="662" t="s">
        <v>534</v>
      </c>
      <c r="D10" s="663" t="s">
        <v>748</v>
      </c>
      <c r="E10" s="662" t="s">
        <v>1239</v>
      </c>
      <c r="F10" s="663" t="s">
        <v>1240</v>
      </c>
      <c r="G10" s="662" t="s">
        <v>1165</v>
      </c>
      <c r="H10" s="662" t="s">
        <v>1166</v>
      </c>
      <c r="I10" s="664">
        <v>12.1</v>
      </c>
      <c r="J10" s="664">
        <v>20</v>
      </c>
      <c r="K10" s="665">
        <v>242</v>
      </c>
    </row>
    <row r="11" spans="1:11" ht="14.4" customHeight="1" x14ac:dyDescent="0.3">
      <c r="A11" s="660" t="s">
        <v>529</v>
      </c>
      <c r="B11" s="661" t="s">
        <v>530</v>
      </c>
      <c r="C11" s="662" t="s">
        <v>534</v>
      </c>
      <c r="D11" s="663" t="s">
        <v>748</v>
      </c>
      <c r="E11" s="662" t="s">
        <v>1239</v>
      </c>
      <c r="F11" s="663" t="s">
        <v>1240</v>
      </c>
      <c r="G11" s="662" t="s">
        <v>1167</v>
      </c>
      <c r="H11" s="662" t="s">
        <v>1168</v>
      </c>
      <c r="I11" s="664">
        <v>2.52</v>
      </c>
      <c r="J11" s="664">
        <v>100</v>
      </c>
      <c r="K11" s="665">
        <v>252</v>
      </c>
    </row>
    <row r="12" spans="1:11" ht="14.4" customHeight="1" x14ac:dyDescent="0.3">
      <c r="A12" s="660" t="s">
        <v>529</v>
      </c>
      <c r="B12" s="661" t="s">
        <v>530</v>
      </c>
      <c r="C12" s="662" t="s">
        <v>534</v>
      </c>
      <c r="D12" s="663" t="s">
        <v>748</v>
      </c>
      <c r="E12" s="662" t="s">
        <v>1241</v>
      </c>
      <c r="F12" s="663" t="s">
        <v>1242</v>
      </c>
      <c r="G12" s="662" t="s">
        <v>1169</v>
      </c>
      <c r="H12" s="662" t="s">
        <v>1170</v>
      </c>
      <c r="I12" s="664">
        <v>1.78</v>
      </c>
      <c r="J12" s="664">
        <v>600</v>
      </c>
      <c r="K12" s="665">
        <v>1068</v>
      </c>
    </row>
    <row r="13" spans="1:11" ht="14.4" customHeight="1" x14ac:dyDescent="0.3">
      <c r="A13" s="660" t="s">
        <v>529</v>
      </c>
      <c r="B13" s="661" t="s">
        <v>530</v>
      </c>
      <c r="C13" s="662" t="s">
        <v>534</v>
      </c>
      <c r="D13" s="663" t="s">
        <v>748</v>
      </c>
      <c r="E13" s="662" t="s">
        <v>1243</v>
      </c>
      <c r="F13" s="663" t="s">
        <v>1244</v>
      </c>
      <c r="G13" s="662" t="s">
        <v>1171</v>
      </c>
      <c r="H13" s="662" t="s">
        <v>1172</v>
      </c>
      <c r="I13" s="664">
        <v>0.71</v>
      </c>
      <c r="J13" s="664">
        <v>1800</v>
      </c>
      <c r="K13" s="665">
        <v>1278</v>
      </c>
    </row>
    <row r="14" spans="1:11" ht="14.4" customHeight="1" x14ac:dyDescent="0.3">
      <c r="A14" s="660" t="s">
        <v>529</v>
      </c>
      <c r="B14" s="661" t="s">
        <v>530</v>
      </c>
      <c r="C14" s="662" t="s">
        <v>534</v>
      </c>
      <c r="D14" s="663" t="s">
        <v>748</v>
      </c>
      <c r="E14" s="662" t="s">
        <v>1243</v>
      </c>
      <c r="F14" s="663" t="s">
        <v>1244</v>
      </c>
      <c r="G14" s="662" t="s">
        <v>1173</v>
      </c>
      <c r="H14" s="662" t="s">
        <v>1174</v>
      </c>
      <c r="I14" s="664">
        <v>0.71</v>
      </c>
      <c r="J14" s="664">
        <v>600</v>
      </c>
      <c r="K14" s="665">
        <v>426</v>
      </c>
    </row>
    <row r="15" spans="1:11" ht="14.4" customHeight="1" x14ac:dyDescent="0.3">
      <c r="A15" s="660" t="s">
        <v>529</v>
      </c>
      <c r="B15" s="661" t="s">
        <v>530</v>
      </c>
      <c r="C15" s="662" t="s">
        <v>539</v>
      </c>
      <c r="D15" s="663" t="s">
        <v>749</v>
      </c>
      <c r="E15" s="662" t="s">
        <v>1237</v>
      </c>
      <c r="F15" s="663" t="s">
        <v>1238</v>
      </c>
      <c r="G15" s="662" t="s">
        <v>1155</v>
      </c>
      <c r="H15" s="662" t="s">
        <v>1156</v>
      </c>
      <c r="I15" s="664">
        <v>260.3</v>
      </c>
      <c r="J15" s="664">
        <v>2</v>
      </c>
      <c r="K15" s="665">
        <v>520.6</v>
      </c>
    </row>
    <row r="16" spans="1:11" ht="14.4" customHeight="1" x14ac:dyDescent="0.3">
      <c r="A16" s="660" t="s">
        <v>529</v>
      </c>
      <c r="B16" s="661" t="s">
        <v>530</v>
      </c>
      <c r="C16" s="662" t="s">
        <v>539</v>
      </c>
      <c r="D16" s="663" t="s">
        <v>749</v>
      </c>
      <c r="E16" s="662" t="s">
        <v>1237</v>
      </c>
      <c r="F16" s="663" t="s">
        <v>1238</v>
      </c>
      <c r="G16" s="662" t="s">
        <v>1157</v>
      </c>
      <c r="H16" s="662" t="s">
        <v>1158</v>
      </c>
      <c r="I16" s="664">
        <v>124.44</v>
      </c>
      <c r="J16" s="664">
        <v>4</v>
      </c>
      <c r="K16" s="665">
        <v>497.76</v>
      </c>
    </row>
    <row r="17" spans="1:11" ht="14.4" customHeight="1" x14ac:dyDescent="0.3">
      <c r="A17" s="660" t="s">
        <v>529</v>
      </c>
      <c r="B17" s="661" t="s">
        <v>530</v>
      </c>
      <c r="C17" s="662" t="s">
        <v>539</v>
      </c>
      <c r="D17" s="663" t="s">
        <v>749</v>
      </c>
      <c r="E17" s="662" t="s">
        <v>1237</v>
      </c>
      <c r="F17" s="663" t="s">
        <v>1238</v>
      </c>
      <c r="G17" s="662" t="s">
        <v>1175</v>
      </c>
      <c r="H17" s="662" t="s">
        <v>1176</v>
      </c>
      <c r="I17" s="664">
        <v>8.58</v>
      </c>
      <c r="J17" s="664">
        <v>24</v>
      </c>
      <c r="K17" s="665">
        <v>205.92</v>
      </c>
    </row>
    <row r="18" spans="1:11" ht="14.4" customHeight="1" x14ac:dyDescent="0.3">
      <c r="A18" s="660" t="s">
        <v>529</v>
      </c>
      <c r="B18" s="661" t="s">
        <v>530</v>
      </c>
      <c r="C18" s="662" t="s">
        <v>539</v>
      </c>
      <c r="D18" s="663" t="s">
        <v>749</v>
      </c>
      <c r="E18" s="662" t="s">
        <v>1237</v>
      </c>
      <c r="F18" s="663" t="s">
        <v>1238</v>
      </c>
      <c r="G18" s="662" t="s">
        <v>1177</v>
      </c>
      <c r="H18" s="662" t="s">
        <v>1178</v>
      </c>
      <c r="I18" s="664">
        <v>314.8</v>
      </c>
      <c r="J18" s="664">
        <v>1</v>
      </c>
      <c r="K18" s="665">
        <v>314.8</v>
      </c>
    </row>
    <row r="19" spans="1:11" ht="14.4" customHeight="1" x14ac:dyDescent="0.3">
      <c r="A19" s="660" t="s">
        <v>529</v>
      </c>
      <c r="B19" s="661" t="s">
        <v>530</v>
      </c>
      <c r="C19" s="662" t="s">
        <v>539</v>
      </c>
      <c r="D19" s="663" t="s">
        <v>749</v>
      </c>
      <c r="E19" s="662" t="s">
        <v>1237</v>
      </c>
      <c r="F19" s="663" t="s">
        <v>1238</v>
      </c>
      <c r="G19" s="662" t="s">
        <v>1179</v>
      </c>
      <c r="H19" s="662" t="s">
        <v>1180</v>
      </c>
      <c r="I19" s="664">
        <v>314.8</v>
      </c>
      <c r="J19" s="664">
        <v>1</v>
      </c>
      <c r="K19" s="665">
        <v>314.8</v>
      </c>
    </row>
    <row r="20" spans="1:11" ht="14.4" customHeight="1" x14ac:dyDescent="0.3">
      <c r="A20" s="660" t="s">
        <v>529</v>
      </c>
      <c r="B20" s="661" t="s">
        <v>530</v>
      </c>
      <c r="C20" s="662" t="s">
        <v>539</v>
      </c>
      <c r="D20" s="663" t="s">
        <v>749</v>
      </c>
      <c r="E20" s="662" t="s">
        <v>1237</v>
      </c>
      <c r="F20" s="663" t="s">
        <v>1238</v>
      </c>
      <c r="G20" s="662" t="s">
        <v>1181</v>
      </c>
      <c r="H20" s="662" t="s">
        <v>1182</v>
      </c>
      <c r="I20" s="664">
        <v>314.8</v>
      </c>
      <c r="J20" s="664">
        <v>1</v>
      </c>
      <c r="K20" s="665">
        <v>314.8</v>
      </c>
    </row>
    <row r="21" spans="1:11" ht="14.4" customHeight="1" x14ac:dyDescent="0.3">
      <c r="A21" s="660" t="s">
        <v>529</v>
      </c>
      <c r="B21" s="661" t="s">
        <v>530</v>
      </c>
      <c r="C21" s="662" t="s">
        <v>539</v>
      </c>
      <c r="D21" s="663" t="s">
        <v>749</v>
      </c>
      <c r="E21" s="662" t="s">
        <v>1237</v>
      </c>
      <c r="F21" s="663" t="s">
        <v>1238</v>
      </c>
      <c r="G21" s="662" t="s">
        <v>1183</v>
      </c>
      <c r="H21" s="662" t="s">
        <v>1184</v>
      </c>
      <c r="I21" s="664">
        <v>314.8</v>
      </c>
      <c r="J21" s="664">
        <v>1</v>
      </c>
      <c r="K21" s="665">
        <v>314.8</v>
      </c>
    </row>
    <row r="22" spans="1:11" ht="14.4" customHeight="1" x14ac:dyDescent="0.3">
      <c r="A22" s="660" t="s">
        <v>529</v>
      </c>
      <c r="B22" s="661" t="s">
        <v>530</v>
      </c>
      <c r="C22" s="662" t="s">
        <v>539</v>
      </c>
      <c r="D22" s="663" t="s">
        <v>749</v>
      </c>
      <c r="E22" s="662" t="s">
        <v>1239</v>
      </c>
      <c r="F22" s="663" t="s">
        <v>1240</v>
      </c>
      <c r="G22" s="662" t="s">
        <v>1185</v>
      </c>
      <c r="H22" s="662" t="s">
        <v>1186</v>
      </c>
      <c r="I22" s="664">
        <v>1.0900000000000001</v>
      </c>
      <c r="J22" s="664">
        <v>1000</v>
      </c>
      <c r="K22" s="665">
        <v>1090</v>
      </c>
    </row>
    <row r="23" spans="1:11" ht="14.4" customHeight="1" x14ac:dyDescent="0.3">
      <c r="A23" s="660" t="s">
        <v>529</v>
      </c>
      <c r="B23" s="661" t="s">
        <v>530</v>
      </c>
      <c r="C23" s="662" t="s">
        <v>539</v>
      </c>
      <c r="D23" s="663" t="s">
        <v>749</v>
      </c>
      <c r="E23" s="662" t="s">
        <v>1239</v>
      </c>
      <c r="F23" s="663" t="s">
        <v>1240</v>
      </c>
      <c r="G23" s="662" t="s">
        <v>1187</v>
      </c>
      <c r="H23" s="662" t="s">
        <v>1188</v>
      </c>
      <c r="I23" s="664">
        <v>0.48</v>
      </c>
      <c r="J23" s="664">
        <v>1000</v>
      </c>
      <c r="K23" s="665">
        <v>480</v>
      </c>
    </row>
    <row r="24" spans="1:11" ht="14.4" customHeight="1" x14ac:dyDescent="0.3">
      <c r="A24" s="660" t="s">
        <v>529</v>
      </c>
      <c r="B24" s="661" t="s">
        <v>530</v>
      </c>
      <c r="C24" s="662" t="s">
        <v>539</v>
      </c>
      <c r="D24" s="663" t="s">
        <v>749</v>
      </c>
      <c r="E24" s="662" t="s">
        <v>1239</v>
      </c>
      <c r="F24" s="663" t="s">
        <v>1240</v>
      </c>
      <c r="G24" s="662" t="s">
        <v>1189</v>
      </c>
      <c r="H24" s="662" t="s">
        <v>1190</v>
      </c>
      <c r="I24" s="664">
        <v>33.880000000000003</v>
      </c>
      <c r="J24" s="664">
        <v>6</v>
      </c>
      <c r="K24" s="665">
        <v>203.28</v>
      </c>
    </row>
    <row r="25" spans="1:11" ht="14.4" customHeight="1" x14ac:dyDescent="0.3">
      <c r="A25" s="660" t="s">
        <v>529</v>
      </c>
      <c r="B25" s="661" t="s">
        <v>530</v>
      </c>
      <c r="C25" s="662" t="s">
        <v>539</v>
      </c>
      <c r="D25" s="663" t="s">
        <v>749</v>
      </c>
      <c r="E25" s="662" t="s">
        <v>1239</v>
      </c>
      <c r="F25" s="663" t="s">
        <v>1240</v>
      </c>
      <c r="G25" s="662" t="s">
        <v>1191</v>
      </c>
      <c r="H25" s="662" t="s">
        <v>1192</v>
      </c>
      <c r="I25" s="664">
        <v>2.17</v>
      </c>
      <c r="J25" s="664">
        <v>100</v>
      </c>
      <c r="K25" s="665">
        <v>217</v>
      </c>
    </row>
    <row r="26" spans="1:11" ht="14.4" customHeight="1" x14ac:dyDescent="0.3">
      <c r="A26" s="660" t="s">
        <v>529</v>
      </c>
      <c r="B26" s="661" t="s">
        <v>530</v>
      </c>
      <c r="C26" s="662" t="s">
        <v>539</v>
      </c>
      <c r="D26" s="663" t="s">
        <v>749</v>
      </c>
      <c r="E26" s="662" t="s">
        <v>1239</v>
      </c>
      <c r="F26" s="663" t="s">
        <v>1240</v>
      </c>
      <c r="G26" s="662" t="s">
        <v>1193</v>
      </c>
      <c r="H26" s="662" t="s">
        <v>1194</v>
      </c>
      <c r="I26" s="664">
        <v>1.63</v>
      </c>
      <c r="J26" s="664">
        <v>2000</v>
      </c>
      <c r="K26" s="665">
        <v>3260</v>
      </c>
    </row>
    <row r="27" spans="1:11" ht="14.4" customHeight="1" x14ac:dyDescent="0.3">
      <c r="A27" s="660" t="s">
        <v>529</v>
      </c>
      <c r="B27" s="661" t="s">
        <v>530</v>
      </c>
      <c r="C27" s="662" t="s">
        <v>539</v>
      </c>
      <c r="D27" s="663" t="s">
        <v>749</v>
      </c>
      <c r="E27" s="662" t="s">
        <v>1239</v>
      </c>
      <c r="F27" s="663" t="s">
        <v>1240</v>
      </c>
      <c r="G27" s="662" t="s">
        <v>1195</v>
      </c>
      <c r="H27" s="662" t="s">
        <v>1196</v>
      </c>
      <c r="I27" s="664">
        <v>5.13</v>
      </c>
      <c r="J27" s="664">
        <v>300</v>
      </c>
      <c r="K27" s="665">
        <v>1539</v>
      </c>
    </row>
    <row r="28" spans="1:11" ht="14.4" customHeight="1" x14ac:dyDescent="0.3">
      <c r="A28" s="660" t="s">
        <v>529</v>
      </c>
      <c r="B28" s="661" t="s">
        <v>530</v>
      </c>
      <c r="C28" s="662" t="s">
        <v>539</v>
      </c>
      <c r="D28" s="663" t="s">
        <v>749</v>
      </c>
      <c r="E28" s="662" t="s">
        <v>1239</v>
      </c>
      <c r="F28" s="663" t="s">
        <v>1240</v>
      </c>
      <c r="G28" s="662" t="s">
        <v>1197</v>
      </c>
      <c r="H28" s="662" t="s">
        <v>1198</v>
      </c>
      <c r="I28" s="664">
        <v>8.23</v>
      </c>
      <c r="J28" s="664">
        <v>800</v>
      </c>
      <c r="K28" s="665">
        <v>6582.2000000000007</v>
      </c>
    </row>
    <row r="29" spans="1:11" ht="14.4" customHeight="1" x14ac:dyDescent="0.3">
      <c r="A29" s="660" t="s">
        <v>529</v>
      </c>
      <c r="B29" s="661" t="s">
        <v>530</v>
      </c>
      <c r="C29" s="662" t="s">
        <v>539</v>
      </c>
      <c r="D29" s="663" t="s">
        <v>749</v>
      </c>
      <c r="E29" s="662" t="s">
        <v>1239</v>
      </c>
      <c r="F29" s="663" t="s">
        <v>1240</v>
      </c>
      <c r="G29" s="662" t="s">
        <v>1199</v>
      </c>
      <c r="H29" s="662" t="s">
        <v>1200</v>
      </c>
      <c r="I29" s="664">
        <v>17.98</v>
      </c>
      <c r="J29" s="664">
        <v>600</v>
      </c>
      <c r="K29" s="665">
        <v>10788</v>
      </c>
    </row>
    <row r="30" spans="1:11" ht="14.4" customHeight="1" x14ac:dyDescent="0.3">
      <c r="A30" s="660" t="s">
        <v>529</v>
      </c>
      <c r="B30" s="661" t="s">
        <v>530</v>
      </c>
      <c r="C30" s="662" t="s">
        <v>539</v>
      </c>
      <c r="D30" s="663" t="s">
        <v>749</v>
      </c>
      <c r="E30" s="662" t="s">
        <v>1239</v>
      </c>
      <c r="F30" s="663" t="s">
        <v>1240</v>
      </c>
      <c r="G30" s="662" t="s">
        <v>1201</v>
      </c>
      <c r="H30" s="662" t="s">
        <v>1202</v>
      </c>
      <c r="I30" s="664">
        <v>0.47</v>
      </c>
      <c r="J30" s="664">
        <v>1000</v>
      </c>
      <c r="K30" s="665">
        <v>470</v>
      </c>
    </row>
    <row r="31" spans="1:11" ht="14.4" customHeight="1" x14ac:dyDescent="0.3">
      <c r="A31" s="660" t="s">
        <v>529</v>
      </c>
      <c r="B31" s="661" t="s">
        <v>530</v>
      </c>
      <c r="C31" s="662" t="s">
        <v>539</v>
      </c>
      <c r="D31" s="663" t="s">
        <v>749</v>
      </c>
      <c r="E31" s="662" t="s">
        <v>1241</v>
      </c>
      <c r="F31" s="663" t="s">
        <v>1242</v>
      </c>
      <c r="G31" s="662" t="s">
        <v>1203</v>
      </c>
      <c r="H31" s="662" t="s">
        <v>1204</v>
      </c>
      <c r="I31" s="664">
        <v>0.3</v>
      </c>
      <c r="J31" s="664">
        <v>1000</v>
      </c>
      <c r="K31" s="665">
        <v>300</v>
      </c>
    </row>
    <row r="32" spans="1:11" ht="14.4" customHeight="1" x14ac:dyDescent="0.3">
      <c r="A32" s="660" t="s">
        <v>529</v>
      </c>
      <c r="B32" s="661" t="s">
        <v>530</v>
      </c>
      <c r="C32" s="662" t="s">
        <v>539</v>
      </c>
      <c r="D32" s="663" t="s">
        <v>749</v>
      </c>
      <c r="E32" s="662" t="s">
        <v>1241</v>
      </c>
      <c r="F32" s="663" t="s">
        <v>1242</v>
      </c>
      <c r="G32" s="662" t="s">
        <v>1205</v>
      </c>
      <c r="H32" s="662" t="s">
        <v>1206</v>
      </c>
      <c r="I32" s="664">
        <v>0.3</v>
      </c>
      <c r="J32" s="664">
        <v>1000</v>
      </c>
      <c r="K32" s="665">
        <v>300</v>
      </c>
    </row>
    <row r="33" spans="1:11" ht="14.4" customHeight="1" x14ac:dyDescent="0.3">
      <c r="A33" s="660" t="s">
        <v>529</v>
      </c>
      <c r="B33" s="661" t="s">
        <v>530</v>
      </c>
      <c r="C33" s="662" t="s">
        <v>539</v>
      </c>
      <c r="D33" s="663" t="s">
        <v>749</v>
      </c>
      <c r="E33" s="662" t="s">
        <v>1243</v>
      </c>
      <c r="F33" s="663" t="s">
        <v>1244</v>
      </c>
      <c r="G33" s="662" t="s">
        <v>1207</v>
      </c>
      <c r="H33" s="662" t="s">
        <v>1208</v>
      </c>
      <c r="I33" s="664">
        <v>1.22</v>
      </c>
      <c r="J33" s="664">
        <v>1000</v>
      </c>
      <c r="K33" s="665">
        <v>1220</v>
      </c>
    </row>
    <row r="34" spans="1:11" ht="14.4" customHeight="1" x14ac:dyDescent="0.3">
      <c r="A34" s="660" t="s">
        <v>529</v>
      </c>
      <c r="B34" s="661" t="s">
        <v>530</v>
      </c>
      <c r="C34" s="662" t="s">
        <v>539</v>
      </c>
      <c r="D34" s="663" t="s">
        <v>749</v>
      </c>
      <c r="E34" s="662" t="s">
        <v>1243</v>
      </c>
      <c r="F34" s="663" t="s">
        <v>1244</v>
      </c>
      <c r="G34" s="662" t="s">
        <v>1171</v>
      </c>
      <c r="H34" s="662" t="s">
        <v>1172</v>
      </c>
      <c r="I34" s="664">
        <v>0.71</v>
      </c>
      <c r="J34" s="664">
        <v>3000</v>
      </c>
      <c r="K34" s="665">
        <v>2130</v>
      </c>
    </row>
    <row r="35" spans="1:11" ht="14.4" customHeight="1" x14ac:dyDescent="0.3">
      <c r="A35" s="660" t="s">
        <v>529</v>
      </c>
      <c r="B35" s="661" t="s">
        <v>530</v>
      </c>
      <c r="C35" s="662" t="s">
        <v>539</v>
      </c>
      <c r="D35" s="663" t="s">
        <v>749</v>
      </c>
      <c r="E35" s="662" t="s">
        <v>1243</v>
      </c>
      <c r="F35" s="663" t="s">
        <v>1244</v>
      </c>
      <c r="G35" s="662" t="s">
        <v>1173</v>
      </c>
      <c r="H35" s="662" t="s">
        <v>1174</v>
      </c>
      <c r="I35" s="664">
        <v>0.71</v>
      </c>
      <c r="J35" s="664">
        <v>600</v>
      </c>
      <c r="K35" s="665">
        <v>426</v>
      </c>
    </row>
    <row r="36" spans="1:11" ht="14.4" customHeight="1" x14ac:dyDescent="0.3">
      <c r="A36" s="660" t="s">
        <v>529</v>
      </c>
      <c r="B36" s="661" t="s">
        <v>530</v>
      </c>
      <c r="C36" s="662" t="s">
        <v>539</v>
      </c>
      <c r="D36" s="663" t="s">
        <v>749</v>
      </c>
      <c r="E36" s="662" t="s">
        <v>1243</v>
      </c>
      <c r="F36" s="663" t="s">
        <v>1244</v>
      </c>
      <c r="G36" s="662" t="s">
        <v>1209</v>
      </c>
      <c r="H36" s="662" t="s">
        <v>1210</v>
      </c>
      <c r="I36" s="664">
        <v>0.71</v>
      </c>
      <c r="J36" s="664">
        <v>2000</v>
      </c>
      <c r="K36" s="665">
        <v>1420</v>
      </c>
    </row>
    <row r="37" spans="1:11" ht="14.4" customHeight="1" x14ac:dyDescent="0.3">
      <c r="A37" s="660" t="s">
        <v>529</v>
      </c>
      <c r="B37" s="661" t="s">
        <v>530</v>
      </c>
      <c r="C37" s="662" t="s">
        <v>542</v>
      </c>
      <c r="D37" s="663" t="s">
        <v>750</v>
      </c>
      <c r="E37" s="662" t="s">
        <v>1237</v>
      </c>
      <c r="F37" s="663" t="s">
        <v>1238</v>
      </c>
      <c r="G37" s="662" t="s">
        <v>1155</v>
      </c>
      <c r="H37" s="662" t="s">
        <v>1156</v>
      </c>
      <c r="I37" s="664">
        <v>260.3</v>
      </c>
      <c r="J37" s="664">
        <v>3</v>
      </c>
      <c r="K37" s="665">
        <v>780.90000000000009</v>
      </c>
    </row>
    <row r="38" spans="1:11" ht="14.4" customHeight="1" x14ac:dyDescent="0.3">
      <c r="A38" s="660" t="s">
        <v>529</v>
      </c>
      <c r="B38" s="661" t="s">
        <v>530</v>
      </c>
      <c r="C38" s="662" t="s">
        <v>542</v>
      </c>
      <c r="D38" s="663" t="s">
        <v>750</v>
      </c>
      <c r="E38" s="662" t="s">
        <v>1237</v>
      </c>
      <c r="F38" s="663" t="s">
        <v>1238</v>
      </c>
      <c r="G38" s="662" t="s">
        <v>1211</v>
      </c>
      <c r="H38" s="662" t="s">
        <v>1212</v>
      </c>
      <c r="I38" s="664">
        <v>5.94</v>
      </c>
      <c r="J38" s="664">
        <v>100</v>
      </c>
      <c r="K38" s="665">
        <v>594</v>
      </c>
    </row>
    <row r="39" spans="1:11" ht="14.4" customHeight="1" x14ac:dyDescent="0.3">
      <c r="A39" s="660" t="s">
        <v>529</v>
      </c>
      <c r="B39" s="661" t="s">
        <v>530</v>
      </c>
      <c r="C39" s="662" t="s">
        <v>542</v>
      </c>
      <c r="D39" s="663" t="s">
        <v>750</v>
      </c>
      <c r="E39" s="662" t="s">
        <v>1237</v>
      </c>
      <c r="F39" s="663" t="s">
        <v>1238</v>
      </c>
      <c r="G39" s="662" t="s">
        <v>1213</v>
      </c>
      <c r="H39" s="662" t="s">
        <v>1214</v>
      </c>
      <c r="I39" s="664">
        <v>0.6</v>
      </c>
      <c r="J39" s="664">
        <v>30</v>
      </c>
      <c r="K39" s="665">
        <v>18</v>
      </c>
    </row>
    <row r="40" spans="1:11" ht="14.4" customHeight="1" x14ac:dyDescent="0.3">
      <c r="A40" s="660" t="s">
        <v>529</v>
      </c>
      <c r="B40" s="661" t="s">
        <v>530</v>
      </c>
      <c r="C40" s="662" t="s">
        <v>542</v>
      </c>
      <c r="D40" s="663" t="s">
        <v>750</v>
      </c>
      <c r="E40" s="662" t="s">
        <v>1243</v>
      </c>
      <c r="F40" s="663" t="s">
        <v>1244</v>
      </c>
      <c r="G40" s="662" t="s">
        <v>1171</v>
      </c>
      <c r="H40" s="662" t="s">
        <v>1172</v>
      </c>
      <c r="I40" s="664">
        <v>0.71</v>
      </c>
      <c r="J40" s="664">
        <v>2000</v>
      </c>
      <c r="K40" s="665">
        <v>1420</v>
      </c>
    </row>
    <row r="41" spans="1:11" ht="14.4" customHeight="1" x14ac:dyDescent="0.3">
      <c r="A41" s="660" t="s">
        <v>529</v>
      </c>
      <c r="B41" s="661" t="s">
        <v>530</v>
      </c>
      <c r="C41" s="662" t="s">
        <v>542</v>
      </c>
      <c r="D41" s="663" t="s">
        <v>750</v>
      </c>
      <c r="E41" s="662" t="s">
        <v>1243</v>
      </c>
      <c r="F41" s="663" t="s">
        <v>1244</v>
      </c>
      <c r="G41" s="662" t="s">
        <v>1173</v>
      </c>
      <c r="H41" s="662" t="s">
        <v>1174</v>
      </c>
      <c r="I41" s="664">
        <v>0.71</v>
      </c>
      <c r="J41" s="664">
        <v>600</v>
      </c>
      <c r="K41" s="665">
        <v>426</v>
      </c>
    </row>
    <row r="42" spans="1:11" ht="14.4" customHeight="1" x14ac:dyDescent="0.3">
      <c r="A42" s="660" t="s">
        <v>529</v>
      </c>
      <c r="B42" s="661" t="s">
        <v>530</v>
      </c>
      <c r="C42" s="662" t="s">
        <v>545</v>
      </c>
      <c r="D42" s="663" t="s">
        <v>751</v>
      </c>
      <c r="E42" s="662" t="s">
        <v>1237</v>
      </c>
      <c r="F42" s="663" t="s">
        <v>1238</v>
      </c>
      <c r="G42" s="662" t="s">
        <v>1155</v>
      </c>
      <c r="H42" s="662" t="s">
        <v>1156</v>
      </c>
      <c r="I42" s="664">
        <v>260.3</v>
      </c>
      <c r="J42" s="664">
        <v>3</v>
      </c>
      <c r="K42" s="665">
        <v>780.90000000000009</v>
      </c>
    </row>
    <row r="43" spans="1:11" ht="14.4" customHeight="1" x14ac:dyDescent="0.3">
      <c r="A43" s="660" t="s">
        <v>529</v>
      </c>
      <c r="B43" s="661" t="s">
        <v>530</v>
      </c>
      <c r="C43" s="662" t="s">
        <v>545</v>
      </c>
      <c r="D43" s="663" t="s">
        <v>751</v>
      </c>
      <c r="E43" s="662" t="s">
        <v>1237</v>
      </c>
      <c r="F43" s="663" t="s">
        <v>1238</v>
      </c>
      <c r="G43" s="662" t="s">
        <v>1157</v>
      </c>
      <c r="H43" s="662" t="s">
        <v>1158</v>
      </c>
      <c r="I43" s="664">
        <v>124.45</v>
      </c>
      <c r="J43" s="664">
        <v>17</v>
      </c>
      <c r="K43" s="665">
        <v>2115.65</v>
      </c>
    </row>
    <row r="44" spans="1:11" ht="14.4" customHeight="1" x14ac:dyDescent="0.3">
      <c r="A44" s="660" t="s">
        <v>529</v>
      </c>
      <c r="B44" s="661" t="s">
        <v>530</v>
      </c>
      <c r="C44" s="662" t="s">
        <v>545</v>
      </c>
      <c r="D44" s="663" t="s">
        <v>751</v>
      </c>
      <c r="E44" s="662" t="s">
        <v>1237</v>
      </c>
      <c r="F44" s="663" t="s">
        <v>1238</v>
      </c>
      <c r="G44" s="662" t="s">
        <v>1175</v>
      </c>
      <c r="H44" s="662" t="s">
        <v>1176</v>
      </c>
      <c r="I44" s="664">
        <v>8.58</v>
      </c>
      <c r="J44" s="664">
        <v>48</v>
      </c>
      <c r="K44" s="665">
        <v>411.84</v>
      </c>
    </row>
    <row r="45" spans="1:11" ht="14.4" customHeight="1" x14ac:dyDescent="0.3">
      <c r="A45" s="660" t="s">
        <v>529</v>
      </c>
      <c r="B45" s="661" t="s">
        <v>530</v>
      </c>
      <c r="C45" s="662" t="s">
        <v>545</v>
      </c>
      <c r="D45" s="663" t="s">
        <v>751</v>
      </c>
      <c r="E45" s="662" t="s">
        <v>1237</v>
      </c>
      <c r="F45" s="663" t="s">
        <v>1238</v>
      </c>
      <c r="G45" s="662" t="s">
        <v>1215</v>
      </c>
      <c r="H45" s="662" t="s">
        <v>1216</v>
      </c>
      <c r="I45" s="664">
        <v>27.94</v>
      </c>
      <c r="J45" s="664">
        <v>10</v>
      </c>
      <c r="K45" s="665">
        <v>279.39999999999998</v>
      </c>
    </row>
    <row r="46" spans="1:11" ht="14.4" customHeight="1" x14ac:dyDescent="0.3">
      <c r="A46" s="660" t="s">
        <v>529</v>
      </c>
      <c r="B46" s="661" t="s">
        <v>530</v>
      </c>
      <c r="C46" s="662" t="s">
        <v>545</v>
      </c>
      <c r="D46" s="663" t="s">
        <v>751</v>
      </c>
      <c r="E46" s="662" t="s">
        <v>1239</v>
      </c>
      <c r="F46" s="663" t="s">
        <v>1240</v>
      </c>
      <c r="G46" s="662" t="s">
        <v>1217</v>
      </c>
      <c r="H46" s="662" t="s">
        <v>1218</v>
      </c>
      <c r="I46" s="664">
        <v>15.92</v>
      </c>
      <c r="J46" s="664">
        <v>100</v>
      </c>
      <c r="K46" s="665">
        <v>1592</v>
      </c>
    </row>
    <row r="47" spans="1:11" ht="14.4" customHeight="1" x14ac:dyDescent="0.3">
      <c r="A47" s="660" t="s">
        <v>529</v>
      </c>
      <c r="B47" s="661" t="s">
        <v>530</v>
      </c>
      <c r="C47" s="662" t="s">
        <v>545</v>
      </c>
      <c r="D47" s="663" t="s">
        <v>751</v>
      </c>
      <c r="E47" s="662" t="s">
        <v>1239</v>
      </c>
      <c r="F47" s="663" t="s">
        <v>1240</v>
      </c>
      <c r="G47" s="662" t="s">
        <v>1219</v>
      </c>
      <c r="H47" s="662" t="s">
        <v>1220</v>
      </c>
      <c r="I47" s="664">
        <v>11.14</v>
      </c>
      <c r="J47" s="664">
        <v>200</v>
      </c>
      <c r="K47" s="665">
        <v>2228</v>
      </c>
    </row>
    <row r="48" spans="1:11" ht="14.4" customHeight="1" x14ac:dyDescent="0.3">
      <c r="A48" s="660" t="s">
        <v>529</v>
      </c>
      <c r="B48" s="661" t="s">
        <v>530</v>
      </c>
      <c r="C48" s="662" t="s">
        <v>545</v>
      </c>
      <c r="D48" s="663" t="s">
        <v>751</v>
      </c>
      <c r="E48" s="662" t="s">
        <v>1239</v>
      </c>
      <c r="F48" s="663" t="s">
        <v>1240</v>
      </c>
      <c r="G48" s="662" t="s">
        <v>1185</v>
      </c>
      <c r="H48" s="662" t="s">
        <v>1186</v>
      </c>
      <c r="I48" s="664">
        <v>1.0900000000000001</v>
      </c>
      <c r="J48" s="664">
        <v>1500</v>
      </c>
      <c r="K48" s="665">
        <v>1635</v>
      </c>
    </row>
    <row r="49" spans="1:11" ht="14.4" customHeight="1" x14ac:dyDescent="0.3">
      <c r="A49" s="660" t="s">
        <v>529</v>
      </c>
      <c r="B49" s="661" t="s">
        <v>530</v>
      </c>
      <c r="C49" s="662" t="s">
        <v>545</v>
      </c>
      <c r="D49" s="663" t="s">
        <v>751</v>
      </c>
      <c r="E49" s="662" t="s">
        <v>1239</v>
      </c>
      <c r="F49" s="663" t="s">
        <v>1240</v>
      </c>
      <c r="G49" s="662" t="s">
        <v>1221</v>
      </c>
      <c r="H49" s="662" t="s">
        <v>1222</v>
      </c>
      <c r="I49" s="664">
        <v>1.67</v>
      </c>
      <c r="J49" s="664">
        <v>1500</v>
      </c>
      <c r="K49" s="665">
        <v>2505</v>
      </c>
    </row>
    <row r="50" spans="1:11" ht="14.4" customHeight="1" x14ac:dyDescent="0.3">
      <c r="A50" s="660" t="s">
        <v>529</v>
      </c>
      <c r="B50" s="661" t="s">
        <v>530</v>
      </c>
      <c r="C50" s="662" t="s">
        <v>545</v>
      </c>
      <c r="D50" s="663" t="s">
        <v>751</v>
      </c>
      <c r="E50" s="662" t="s">
        <v>1239</v>
      </c>
      <c r="F50" s="663" t="s">
        <v>1240</v>
      </c>
      <c r="G50" s="662" t="s">
        <v>1187</v>
      </c>
      <c r="H50" s="662" t="s">
        <v>1188</v>
      </c>
      <c r="I50" s="664">
        <v>0.47</v>
      </c>
      <c r="J50" s="664">
        <v>500</v>
      </c>
      <c r="K50" s="665">
        <v>235</v>
      </c>
    </row>
    <row r="51" spans="1:11" ht="14.4" customHeight="1" x14ac:dyDescent="0.3">
      <c r="A51" s="660" t="s">
        <v>529</v>
      </c>
      <c r="B51" s="661" t="s">
        <v>530</v>
      </c>
      <c r="C51" s="662" t="s">
        <v>545</v>
      </c>
      <c r="D51" s="663" t="s">
        <v>751</v>
      </c>
      <c r="E51" s="662" t="s">
        <v>1239</v>
      </c>
      <c r="F51" s="663" t="s">
        <v>1240</v>
      </c>
      <c r="G51" s="662" t="s">
        <v>1223</v>
      </c>
      <c r="H51" s="662" t="s">
        <v>1224</v>
      </c>
      <c r="I51" s="664">
        <v>918.21</v>
      </c>
      <c r="J51" s="664">
        <v>80</v>
      </c>
      <c r="K51" s="665">
        <v>73456.679999999993</v>
      </c>
    </row>
    <row r="52" spans="1:11" ht="14.4" customHeight="1" x14ac:dyDescent="0.3">
      <c r="A52" s="660" t="s">
        <v>529</v>
      </c>
      <c r="B52" s="661" t="s">
        <v>530</v>
      </c>
      <c r="C52" s="662" t="s">
        <v>545</v>
      </c>
      <c r="D52" s="663" t="s">
        <v>751</v>
      </c>
      <c r="E52" s="662" t="s">
        <v>1239</v>
      </c>
      <c r="F52" s="663" t="s">
        <v>1240</v>
      </c>
      <c r="G52" s="662" t="s">
        <v>1225</v>
      </c>
      <c r="H52" s="662" t="s">
        <v>1226</v>
      </c>
      <c r="I52" s="664">
        <v>1694</v>
      </c>
      <c r="J52" s="664">
        <v>40</v>
      </c>
      <c r="K52" s="665">
        <v>67760</v>
      </c>
    </row>
    <row r="53" spans="1:11" ht="14.4" customHeight="1" x14ac:dyDescent="0.3">
      <c r="A53" s="660" t="s">
        <v>529</v>
      </c>
      <c r="B53" s="661" t="s">
        <v>530</v>
      </c>
      <c r="C53" s="662" t="s">
        <v>545</v>
      </c>
      <c r="D53" s="663" t="s">
        <v>751</v>
      </c>
      <c r="E53" s="662" t="s">
        <v>1239</v>
      </c>
      <c r="F53" s="663" t="s">
        <v>1240</v>
      </c>
      <c r="G53" s="662" t="s">
        <v>1189</v>
      </c>
      <c r="H53" s="662" t="s">
        <v>1190</v>
      </c>
      <c r="I53" s="664">
        <v>33.880000000000003</v>
      </c>
      <c r="J53" s="664">
        <v>4</v>
      </c>
      <c r="K53" s="665">
        <v>135.52000000000001</v>
      </c>
    </row>
    <row r="54" spans="1:11" ht="14.4" customHeight="1" x14ac:dyDescent="0.3">
      <c r="A54" s="660" t="s">
        <v>529</v>
      </c>
      <c r="B54" s="661" t="s">
        <v>530</v>
      </c>
      <c r="C54" s="662" t="s">
        <v>545</v>
      </c>
      <c r="D54" s="663" t="s">
        <v>751</v>
      </c>
      <c r="E54" s="662" t="s">
        <v>1239</v>
      </c>
      <c r="F54" s="663" t="s">
        <v>1240</v>
      </c>
      <c r="G54" s="662" t="s">
        <v>1191</v>
      </c>
      <c r="H54" s="662" t="s">
        <v>1192</v>
      </c>
      <c r="I54" s="664">
        <v>2.1800000000000002</v>
      </c>
      <c r="J54" s="664">
        <v>200</v>
      </c>
      <c r="K54" s="665">
        <v>436</v>
      </c>
    </row>
    <row r="55" spans="1:11" ht="14.4" customHeight="1" x14ac:dyDescent="0.3">
      <c r="A55" s="660" t="s">
        <v>529</v>
      </c>
      <c r="B55" s="661" t="s">
        <v>530</v>
      </c>
      <c r="C55" s="662" t="s">
        <v>545</v>
      </c>
      <c r="D55" s="663" t="s">
        <v>751</v>
      </c>
      <c r="E55" s="662" t="s">
        <v>1239</v>
      </c>
      <c r="F55" s="663" t="s">
        <v>1240</v>
      </c>
      <c r="G55" s="662" t="s">
        <v>1195</v>
      </c>
      <c r="H55" s="662" t="s">
        <v>1196</v>
      </c>
      <c r="I55" s="664">
        <v>5.13</v>
      </c>
      <c r="J55" s="664">
        <v>800</v>
      </c>
      <c r="K55" s="665">
        <v>4104</v>
      </c>
    </row>
    <row r="56" spans="1:11" ht="14.4" customHeight="1" x14ac:dyDescent="0.3">
      <c r="A56" s="660" t="s">
        <v>529</v>
      </c>
      <c r="B56" s="661" t="s">
        <v>530</v>
      </c>
      <c r="C56" s="662" t="s">
        <v>545</v>
      </c>
      <c r="D56" s="663" t="s">
        <v>751</v>
      </c>
      <c r="E56" s="662" t="s">
        <v>1239</v>
      </c>
      <c r="F56" s="663" t="s">
        <v>1240</v>
      </c>
      <c r="G56" s="662" t="s">
        <v>1227</v>
      </c>
      <c r="H56" s="662" t="s">
        <v>1228</v>
      </c>
      <c r="I56" s="664">
        <v>7.95</v>
      </c>
      <c r="J56" s="664">
        <v>900</v>
      </c>
      <c r="K56" s="665">
        <v>7155</v>
      </c>
    </row>
    <row r="57" spans="1:11" ht="14.4" customHeight="1" x14ac:dyDescent="0.3">
      <c r="A57" s="660" t="s">
        <v>529</v>
      </c>
      <c r="B57" s="661" t="s">
        <v>530</v>
      </c>
      <c r="C57" s="662" t="s">
        <v>545</v>
      </c>
      <c r="D57" s="663" t="s">
        <v>751</v>
      </c>
      <c r="E57" s="662" t="s">
        <v>1239</v>
      </c>
      <c r="F57" s="663" t="s">
        <v>1240</v>
      </c>
      <c r="G57" s="662" t="s">
        <v>1229</v>
      </c>
      <c r="H57" s="662" t="s">
        <v>1230</v>
      </c>
      <c r="I57" s="664">
        <v>127.05</v>
      </c>
      <c r="J57" s="664">
        <v>2</v>
      </c>
      <c r="K57" s="665">
        <v>254.1</v>
      </c>
    </row>
    <row r="58" spans="1:11" ht="14.4" customHeight="1" x14ac:dyDescent="0.3">
      <c r="A58" s="660" t="s">
        <v>529</v>
      </c>
      <c r="B58" s="661" t="s">
        <v>530</v>
      </c>
      <c r="C58" s="662" t="s">
        <v>545</v>
      </c>
      <c r="D58" s="663" t="s">
        <v>751</v>
      </c>
      <c r="E58" s="662" t="s">
        <v>1239</v>
      </c>
      <c r="F58" s="663" t="s">
        <v>1240</v>
      </c>
      <c r="G58" s="662" t="s">
        <v>1197</v>
      </c>
      <c r="H58" s="662" t="s">
        <v>1198</v>
      </c>
      <c r="I58" s="664">
        <v>8.2250000000000014</v>
      </c>
      <c r="J58" s="664">
        <v>600</v>
      </c>
      <c r="K58" s="665">
        <v>4937</v>
      </c>
    </row>
    <row r="59" spans="1:11" ht="14.4" customHeight="1" x14ac:dyDescent="0.3">
      <c r="A59" s="660" t="s">
        <v>529</v>
      </c>
      <c r="B59" s="661" t="s">
        <v>530</v>
      </c>
      <c r="C59" s="662" t="s">
        <v>545</v>
      </c>
      <c r="D59" s="663" t="s">
        <v>751</v>
      </c>
      <c r="E59" s="662" t="s">
        <v>1239</v>
      </c>
      <c r="F59" s="663" t="s">
        <v>1240</v>
      </c>
      <c r="G59" s="662" t="s">
        <v>1199</v>
      </c>
      <c r="H59" s="662" t="s">
        <v>1200</v>
      </c>
      <c r="I59" s="664">
        <v>17.98</v>
      </c>
      <c r="J59" s="664">
        <v>300</v>
      </c>
      <c r="K59" s="665">
        <v>5394</v>
      </c>
    </row>
    <row r="60" spans="1:11" ht="14.4" customHeight="1" x14ac:dyDescent="0.3">
      <c r="A60" s="660" t="s">
        <v>529</v>
      </c>
      <c r="B60" s="661" t="s">
        <v>530</v>
      </c>
      <c r="C60" s="662" t="s">
        <v>545</v>
      </c>
      <c r="D60" s="663" t="s">
        <v>751</v>
      </c>
      <c r="E60" s="662" t="s">
        <v>1239</v>
      </c>
      <c r="F60" s="663" t="s">
        <v>1240</v>
      </c>
      <c r="G60" s="662" t="s">
        <v>1231</v>
      </c>
      <c r="H60" s="662" t="s">
        <v>1232</v>
      </c>
      <c r="I60" s="664">
        <v>17.98</v>
      </c>
      <c r="J60" s="664">
        <v>700</v>
      </c>
      <c r="K60" s="665">
        <v>12586</v>
      </c>
    </row>
    <row r="61" spans="1:11" ht="14.4" customHeight="1" x14ac:dyDescent="0.3">
      <c r="A61" s="660" t="s">
        <v>529</v>
      </c>
      <c r="B61" s="661" t="s">
        <v>530</v>
      </c>
      <c r="C61" s="662" t="s">
        <v>545</v>
      </c>
      <c r="D61" s="663" t="s">
        <v>751</v>
      </c>
      <c r="E61" s="662" t="s">
        <v>1239</v>
      </c>
      <c r="F61" s="663" t="s">
        <v>1240</v>
      </c>
      <c r="G61" s="662" t="s">
        <v>1201</v>
      </c>
      <c r="H61" s="662" t="s">
        <v>1202</v>
      </c>
      <c r="I61" s="664">
        <v>0.47</v>
      </c>
      <c r="J61" s="664">
        <v>2000</v>
      </c>
      <c r="K61" s="665">
        <v>940</v>
      </c>
    </row>
    <row r="62" spans="1:11" ht="14.4" customHeight="1" x14ac:dyDescent="0.3">
      <c r="A62" s="660" t="s">
        <v>529</v>
      </c>
      <c r="B62" s="661" t="s">
        <v>530</v>
      </c>
      <c r="C62" s="662" t="s">
        <v>545</v>
      </c>
      <c r="D62" s="663" t="s">
        <v>751</v>
      </c>
      <c r="E62" s="662" t="s">
        <v>1239</v>
      </c>
      <c r="F62" s="663" t="s">
        <v>1240</v>
      </c>
      <c r="G62" s="662" t="s">
        <v>1233</v>
      </c>
      <c r="H62" s="662" t="s">
        <v>1234</v>
      </c>
      <c r="I62" s="664">
        <v>172.5</v>
      </c>
      <c r="J62" s="664">
        <v>1</v>
      </c>
      <c r="K62" s="665">
        <v>172.5</v>
      </c>
    </row>
    <row r="63" spans="1:11" ht="14.4" customHeight="1" x14ac:dyDescent="0.3">
      <c r="A63" s="660" t="s">
        <v>529</v>
      </c>
      <c r="B63" s="661" t="s">
        <v>530</v>
      </c>
      <c r="C63" s="662" t="s">
        <v>545</v>
      </c>
      <c r="D63" s="663" t="s">
        <v>751</v>
      </c>
      <c r="E63" s="662" t="s">
        <v>1239</v>
      </c>
      <c r="F63" s="663" t="s">
        <v>1240</v>
      </c>
      <c r="G63" s="662" t="s">
        <v>1235</v>
      </c>
      <c r="H63" s="662" t="s">
        <v>1236</v>
      </c>
      <c r="I63" s="664">
        <v>3194.4</v>
      </c>
      <c r="J63" s="664">
        <v>40</v>
      </c>
      <c r="K63" s="665">
        <v>127776</v>
      </c>
    </row>
    <row r="64" spans="1:11" ht="14.4" customHeight="1" x14ac:dyDescent="0.3">
      <c r="A64" s="660" t="s">
        <v>529</v>
      </c>
      <c r="B64" s="661" t="s">
        <v>530</v>
      </c>
      <c r="C64" s="662" t="s">
        <v>545</v>
      </c>
      <c r="D64" s="663" t="s">
        <v>751</v>
      </c>
      <c r="E64" s="662" t="s">
        <v>1243</v>
      </c>
      <c r="F64" s="663" t="s">
        <v>1244</v>
      </c>
      <c r="G64" s="662" t="s">
        <v>1207</v>
      </c>
      <c r="H64" s="662" t="s">
        <v>1208</v>
      </c>
      <c r="I64" s="664">
        <v>1.22</v>
      </c>
      <c r="J64" s="664">
        <v>1000</v>
      </c>
      <c r="K64" s="665">
        <v>1218.4000000000001</v>
      </c>
    </row>
    <row r="65" spans="1:11" ht="14.4" customHeight="1" x14ac:dyDescent="0.3">
      <c r="A65" s="660" t="s">
        <v>529</v>
      </c>
      <c r="B65" s="661" t="s">
        <v>530</v>
      </c>
      <c r="C65" s="662" t="s">
        <v>545</v>
      </c>
      <c r="D65" s="663" t="s">
        <v>751</v>
      </c>
      <c r="E65" s="662" t="s">
        <v>1243</v>
      </c>
      <c r="F65" s="663" t="s">
        <v>1244</v>
      </c>
      <c r="G65" s="662" t="s">
        <v>1171</v>
      </c>
      <c r="H65" s="662" t="s">
        <v>1172</v>
      </c>
      <c r="I65" s="664">
        <v>0.71</v>
      </c>
      <c r="J65" s="664">
        <v>2000</v>
      </c>
      <c r="K65" s="665">
        <v>1420</v>
      </c>
    </row>
    <row r="66" spans="1:11" ht="14.4" customHeight="1" x14ac:dyDescent="0.3">
      <c r="A66" s="660" t="s">
        <v>529</v>
      </c>
      <c r="B66" s="661" t="s">
        <v>530</v>
      </c>
      <c r="C66" s="662" t="s">
        <v>545</v>
      </c>
      <c r="D66" s="663" t="s">
        <v>751</v>
      </c>
      <c r="E66" s="662" t="s">
        <v>1243</v>
      </c>
      <c r="F66" s="663" t="s">
        <v>1244</v>
      </c>
      <c r="G66" s="662" t="s">
        <v>1173</v>
      </c>
      <c r="H66" s="662" t="s">
        <v>1174</v>
      </c>
      <c r="I66" s="664">
        <v>0.71</v>
      </c>
      <c r="J66" s="664">
        <v>1000</v>
      </c>
      <c r="K66" s="665">
        <v>710</v>
      </c>
    </row>
    <row r="67" spans="1:11" ht="14.4" customHeight="1" thickBot="1" x14ac:dyDescent="0.35">
      <c r="A67" s="666" t="s">
        <v>529</v>
      </c>
      <c r="B67" s="667" t="s">
        <v>530</v>
      </c>
      <c r="C67" s="668" t="s">
        <v>545</v>
      </c>
      <c r="D67" s="669" t="s">
        <v>751</v>
      </c>
      <c r="E67" s="668" t="s">
        <v>1243</v>
      </c>
      <c r="F67" s="669" t="s">
        <v>1244</v>
      </c>
      <c r="G67" s="668" t="s">
        <v>1209</v>
      </c>
      <c r="H67" s="668" t="s">
        <v>1210</v>
      </c>
      <c r="I67" s="670">
        <v>0.71</v>
      </c>
      <c r="J67" s="670">
        <v>2600</v>
      </c>
      <c r="K67" s="671">
        <v>1846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I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7" width="13.109375" customWidth="1"/>
    <col min="8" max="9" width="13.109375" hidden="1" customWidth="1"/>
    <col min="10" max="11" width="13.109375" customWidth="1"/>
    <col min="12" max="15" width="13.109375" hidden="1" customWidth="1"/>
    <col min="16" max="16" width="13.109375" customWidth="1"/>
    <col min="17" max="30" width="13.109375" hidden="1" customWidth="1"/>
    <col min="31" max="31" width="13.109375" customWidth="1"/>
    <col min="32" max="34" width="13.109375" hidden="1" customWidth="1"/>
    <col min="35" max="35" width="13.109375" customWidth="1"/>
  </cols>
  <sheetData>
    <row r="1" spans="1:36" ht="18.600000000000001" thickBot="1" x14ac:dyDescent="0.4">
      <c r="A1" s="547" t="s">
        <v>131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  <c r="AH1" s="509"/>
      <c r="AI1" s="509"/>
    </row>
    <row r="2" spans="1:36" ht="15" thickBot="1" x14ac:dyDescent="0.35">
      <c r="A2" s="383" t="s">
        <v>336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  <c r="AI2" s="384"/>
    </row>
    <row r="3" spans="1:36" x14ac:dyDescent="0.3">
      <c r="A3" s="402" t="s">
        <v>253</v>
      </c>
      <c r="B3" s="548" t="s">
        <v>233</v>
      </c>
      <c r="C3" s="385">
        <v>0</v>
      </c>
      <c r="D3" s="386">
        <v>101</v>
      </c>
      <c r="E3" s="386">
        <v>102</v>
      </c>
      <c r="F3" s="405">
        <v>203</v>
      </c>
      <c r="G3" s="405">
        <v>305</v>
      </c>
      <c r="H3" s="405">
        <v>306</v>
      </c>
      <c r="I3" s="405">
        <v>407</v>
      </c>
      <c r="J3" s="405">
        <v>408</v>
      </c>
      <c r="K3" s="405">
        <v>409</v>
      </c>
      <c r="L3" s="405">
        <v>410</v>
      </c>
      <c r="M3" s="405">
        <v>415</v>
      </c>
      <c r="N3" s="405">
        <v>416</v>
      </c>
      <c r="O3" s="405">
        <v>418</v>
      </c>
      <c r="P3" s="405">
        <v>419</v>
      </c>
      <c r="Q3" s="405">
        <v>420</v>
      </c>
      <c r="R3" s="405">
        <v>421</v>
      </c>
      <c r="S3" s="405">
        <v>522</v>
      </c>
      <c r="T3" s="405">
        <v>523</v>
      </c>
      <c r="U3" s="405">
        <v>524</v>
      </c>
      <c r="V3" s="405">
        <v>525</v>
      </c>
      <c r="W3" s="405">
        <v>526</v>
      </c>
      <c r="X3" s="405">
        <v>527</v>
      </c>
      <c r="Y3" s="405">
        <v>528</v>
      </c>
      <c r="Z3" s="405">
        <v>629</v>
      </c>
      <c r="AA3" s="405">
        <v>630</v>
      </c>
      <c r="AB3" s="405">
        <v>636</v>
      </c>
      <c r="AC3" s="405">
        <v>637</v>
      </c>
      <c r="AD3" s="405">
        <v>640</v>
      </c>
      <c r="AE3" s="405">
        <v>642</v>
      </c>
      <c r="AF3" s="405">
        <v>743</v>
      </c>
      <c r="AG3" s="386">
        <v>745</v>
      </c>
      <c r="AH3" s="386">
        <v>746</v>
      </c>
      <c r="AI3" s="762">
        <v>930</v>
      </c>
      <c r="AJ3" s="778"/>
    </row>
    <row r="4" spans="1:36" ht="36.6" outlineLevel="1" thickBot="1" x14ac:dyDescent="0.35">
      <c r="A4" s="403">
        <v>2015</v>
      </c>
      <c r="B4" s="549"/>
      <c r="C4" s="387" t="s">
        <v>234</v>
      </c>
      <c r="D4" s="388" t="s">
        <v>235</v>
      </c>
      <c r="E4" s="388" t="s">
        <v>236</v>
      </c>
      <c r="F4" s="406" t="s">
        <v>237</v>
      </c>
      <c r="G4" s="406" t="s">
        <v>265</v>
      </c>
      <c r="H4" s="406" t="s">
        <v>266</v>
      </c>
      <c r="I4" s="406" t="s">
        <v>335</v>
      </c>
      <c r="J4" s="406" t="s">
        <v>267</v>
      </c>
      <c r="K4" s="406" t="s">
        <v>268</v>
      </c>
      <c r="L4" s="406" t="s">
        <v>269</v>
      </c>
      <c r="M4" s="406" t="s">
        <v>270</v>
      </c>
      <c r="N4" s="406" t="s">
        <v>271</v>
      </c>
      <c r="O4" s="406" t="s">
        <v>272</v>
      </c>
      <c r="P4" s="406" t="s">
        <v>273</v>
      </c>
      <c r="Q4" s="406" t="s">
        <v>274</v>
      </c>
      <c r="R4" s="406" t="s">
        <v>275</v>
      </c>
      <c r="S4" s="406" t="s">
        <v>276</v>
      </c>
      <c r="T4" s="406" t="s">
        <v>277</v>
      </c>
      <c r="U4" s="406" t="s">
        <v>278</v>
      </c>
      <c r="V4" s="406" t="s">
        <v>279</v>
      </c>
      <c r="W4" s="406" t="s">
        <v>280</v>
      </c>
      <c r="X4" s="406" t="s">
        <v>281</v>
      </c>
      <c r="Y4" s="406" t="s">
        <v>290</v>
      </c>
      <c r="Z4" s="406" t="s">
        <v>282</v>
      </c>
      <c r="AA4" s="406" t="s">
        <v>291</v>
      </c>
      <c r="AB4" s="406" t="s">
        <v>283</v>
      </c>
      <c r="AC4" s="406" t="s">
        <v>284</v>
      </c>
      <c r="AD4" s="406" t="s">
        <v>285</v>
      </c>
      <c r="AE4" s="406" t="s">
        <v>286</v>
      </c>
      <c r="AF4" s="406" t="s">
        <v>287</v>
      </c>
      <c r="AG4" s="388" t="s">
        <v>288</v>
      </c>
      <c r="AH4" s="388" t="s">
        <v>289</v>
      </c>
      <c r="AI4" s="763" t="s">
        <v>255</v>
      </c>
      <c r="AJ4" s="778"/>
    </row>
    <row r="5" spans="1:36" x14ac:dyDescent="0.3">
      <c r="A5" s="389" t="s">
        <v>238</v>
      </c>
      <c r="B5" s="425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427"/>
      <c r="AH5" s="427"/>
      <c r="AI5" s="764"/>
      <c r="AJ5" s="778"/>
    </row>
    <row r="6" spans="1:36" ht="15" collapsed="1" thickBot="1" x14ac:dyDescent="0.35">
      <c r="A6" s="390" t="s">
        <v>94</v>
      </c>
      <c r="B6" s="428">
        <f xml:space="preserve">
TRUNC(IF($A$4&lt;=12,SUMIFS('ON Data'!F:F,'ON Data'!$D:$D,$A$4,'ON Data'!$E:$E,1),SUMIFS('ON Data'!F:F,'ON Data'!$E:$E,1)/'ON Data'!$D$3),1)</f>
        <v>36.700000000000003</v>
      </c>
      <c r="C6" s="429">
        <f xml:space="preserve">
TRUNC(IF($A$4&lt;=12,SUMIFS('ON Data'!G:G,'ON Data'!$D:$D,$A$4,'ON Data'!$E:$E,1),SUMIFS('ON Data'!G:G,'ON Data'!$E:$E,1)/'ON Data'!$D$3),1)</f>
        <v>0</v>
      </c>
      <c r="D6" s="430">
        <f xml:space="preserve">
TRUNC(IF($A$4&lt;=12,SUMIFS('ON Data'!H:H,'ON Data'!$D:$D,$A$4,'ON Data'!$E:$E,1),SUMIFS('ON Data'!H:H,'ON Data'!$E:$E,1)/'ON Data'!$D$3),1)</f>
        <v>9.8000000000000007</v>
      </c>
      <c r="E6" s="430">
        <f xml:space="preserve">
TRUNC(IF($A$4&lt;=12,SUMIFS('ON Data'!I:I,'ON Data'!$D:$D,$A$4,'ON Data'!$E:$E,1),SUMIFS('ON Data'!I:I,'ON Data'!$E:$E,1)/'ON Data'!$D$3),1)</f>
        <v>0</v>
      </c>
      <c r="F6" s="430">
        <f xml:space="preserve">
TRUNC(IF($A$4&lt;=12,SUMIFS('ON Data'!J:J,'ON Data'!$D:$D,$A$4,'ON Data'!$E:$E,1),SUMIFS('ON Data'!J:J,'ON Data'!$E:$E,1)/'ON Data'!$D$3),1)</f>
        <v>1</v>
      </c>
      <c r="G6" s="430">
        <f xml:space="preserve">
TRUNC(IF($A$4&lt;=12,SUMIFS('ON Data'!K:K,'ON Data'!$D:$D,$A$4,'ON Data'!$E:$E,1),SUMIFS('ON Data'!K:K,'ON Data'!$E:$E,1)/'ON Data'!$D$3),1)</f>
        <v>5</v>
      </c>
      <c r="H6" s="430">
        <f xml:space="preserve">
TRUNC(IF($A$4&lt;=12,SUMIFS('ON Data'!L:L,'ON Data'!$D:$D,$A$4,'ON Data'!$E:$E,1),SUMIFS('ON Data'!L:L,'ON Data'!$E:$E,1)/'ON Data'!$D$3),1)</f>
        <v>0</v>
      </c>
      <c r="I6" s="430">
        <f xml:space="preserve">
TRUNC(IF($A$4&lt;=12,SUMIFS('ON Data'!M:M,'ON Data'!$D:$D,$A$4,'ON Data'!$E:$E,1),SUMIFS('ON Data'!M:M,'ON Data'!$E:$E,1)/'ON Data'!$D$3),1)</f>
        <v>0</v>
      </c>
      <c r="J6" s="430">
        <f xml:space="preserve">
TRUNC(IF($A$4&lt;=12,SUMIFS('ON Data'!N:N,'ON Data'!$D:$D,$A$4,'ON Data'!$E:$E,1),SUMIFS('ON Data'!N:N,'ON Data'!$E:$E,1)/'ON Data'!$D$3),1)</f>
        <v>12</v>
      </c>
      <c r="K6" s="430">
        <f xml:space="preserve">
TRUNC(IF($A$4&lt;=12,SUMIFS('ON Data'!O:O,'ON Data'!$D:$D,$A$4,'ON Data'!$E:$E,1),SUMIFS('ON Data'!O:O,'ON Data'!$E:$E,1)/'ON Data'!$D$3),1)</f>
        <v>1</v>
      </c>
      <c r="L6" s="430">
        <f xml:space="preserve">
TRUNC(IF($A$4&lt;=12,SUMIFS('ON Data'!P:P,'ON Data'!$D:$D,$A$4,'ON Data'!$E:$E,1),SUMIFS('ON Data'!P:P,'ON Data'!$E:$E,1)/'ON Data'!$D$3),1)</f>
        <v>0</v>
      </c>
      <c r="M6" s="430">
        <f xml:space="preserve">
TRUNC(IF($A$4&lt;=12,SUMIFS('ON Data'!Q:Q,'ON Data'!$D:$D,$A$4,'ON Data'!$E:$E,1),SUMIFS('ON Data'!Q:Q,'ON Data'!$E:$E,1)/'ON Data'!$D$3),1)</f>
        <v>0</v>
      </c>
      <c r="N6" s="430">
        <f xml:space="preserve">
TRUNC(IF($A$4&lt;=12,SUMIFS('ON Data'!R:R,'ON Data'!$D:$D,$A$4,'ON Data'!$E:$E,1),SUMIFS('ON Data'!R:R,'ON Data'!$E:$E,1)/'ON Data'!$D$3),1)</f>
        <v>0</v>
      </c>
      <c r="O6" s="430">
        <f xml:space="preserve">
TRUNC(IF($A$4&lt;=12,SUMIFS('ON Data'!S:S,'ON Data'!$D:$D,$A$4,'ON Data'!$E:$E,1),SUMIFS('ON Data'!S:S,'ON Data'!$E:$E,1)/'ON Data'!$D$3),1)</f>
        <v>0</v>
      </c>
      <c r="P6" s="430">
        <f xml:space="preserve">
TRUNC(IF($A$4&lt;=12,SUMIFS('ON Data'!T:T,'ON Data'!$D:$D,$A$4,'ON Data'!$E:$E,1),SUMIFS('ON Data'!T:T,'ON Data'!$E:$E,1)/'ON Data'!$D$3),1)</f>
        <v>2</v>
      </c>
      <c r="Q6" s="430">
        <f xml:space="preserve">
TRUNC(IF($A$4&lt;=12,SUMIFS('ON Data'!U:U,'ON Data'!$D:$D,$A$4,'ON Data'!$E:$E,1),SUMIFS('ON Data'!U:U,'ON Data'!$E:$E,1)/'ON Data'!$D$3),1)</f>
        <v>0</v>
      </c>
      <c r="R6" s="430">
        <f xml:space="preserve">
TRUNC(IF($A$4&lt;=12,SUMIFS('ON Data'!V:V,'ON Data'!$D:$D,$A$4,'ON Data'!$E:$E,1),SUMIFS('ON Data'!V:V,'ON Data'!$E:$E,1)/'ON Data'!$D$3),1)</f>
        <v>0</v>
      </c>
      <c r="S6" s="430">
        <f xml:space="preserve">
TRUNC(IF($A$4&lt;=12,SUMIFS('ON Data'!W:W,'ON Data'!$D:$D,$A$4,'ON Data'!$E:$E,1),SUMIFS('ON Data'!W:W,'ON Data'!$E:$E,1)/'ON Data'!$D$3),1)</f>
        <v>0</v>
      </c>
      <c r="T6" s="430">
        <f xml:space="preserve">
TRUNC(IF($A$4&lt;=12,SUMIFS('ON Data'!X:X,'ON Data'!$D:$D,$A$4,'ON Data'!$E:$E,1),SUMIFS('ON Data'!X:X,'ON Data'!$E:$E,1)/'ON Data'!$D$3),1)</f>
        <v>0</v>
      </c>
      <c r="U6" s="430">
        <f xml:space="preserve">
TRUNC(IF($A$4&lt;=12,SUMIFS('ON Data'!Y:Y,'ON Data'!$D:$D,$A$4,'ON Data'!$E:$E,1),SUMIFS('ON Data'!Y:Y,'ON Data'!$E:$E,1)/'ON Data'!$D$3),1)</f>
        <v>0</v>
      </c>
      <c r="V6" s="430">
        <f xml:space="preserve">
TRUNC(IF($A$4&lt;=12,SUMIFS('ON Data'!Z:Z,'ON Data'!$D:$D,$A$4,'ON Data'!$E:$E,1),SUMIFS('ON Data'!Z:Z,'ON Data'!$E:$E,1)/'ON Data'!$D$3),1)</f>
        <v>0</v>
      </c>
      <c r="W6" s="430">
        <f xml:space="preserve">
TRUNC(IF($A$4&lt;=12,SUMIFS('ON Data'!AA:AA,'ON Data'!$D:$D,$A$4,'ON Data'!$E:$E,1),SUMIFS('ON Data'!AA:AA,'ON Data'!$E:$E,1)/'ON Data'!$D$3),1)</f>
        <v>0</v>
      </c>
      <c r="X6" s="430">
        <f xml:space="preserve">
TRUNC(IF($A$4&lt;=12,SUMIFS('ON Data'!AB:AB,'ON Data'!$D:$D,$A$4,'ON Data'!$E:$E,1),SUMIFS('ON Data'!AB:AB,'ON Data'!$E:$E,1)/'ON Data'!$D$3),1)</f>
        <v>0</v>
      </c>
      <c r="Y6" s="430">
        <f xml:space="preserve">
TRUNC(IF($A$4&lt;=12,SUMIFS('ON Data'!AC:AC,'ON Data'!$D:$D,$A$4,'ON Data'!$E:$E,1),SUMIFS('ON Data'!AC:AC,'ON Data'!$E:$E,1)/'ON Data'!$D$3),1)</f>
        <v>0</v>
      </c>
      <c r="Z6" s="430">
        <f xml:space="preserve">
TRUNC(IF($A$4&lt;=12,SUMIFS('ON Data'!AD:AD,'ON Data'!$D:$D,$A$4,'ON Data'!$E:$E,1),SUMIFS('ON Data'!AD:AD,'ON Data'!$E:$E,1)/'ON Data'!$D$3),1)</f>
        <v>0</v>
      </c>
      <c r="AA6" s="430">
        <f xml:space="preserve">
TRUNC(IF($A$4&lt;=12,SUMIFS('ON Data'!AE:AE,'ON Data'!$D:$D,$A$4,'ON Data'!$E:$E,1),SUMIFS('ON Data'!AE:AE,'ON Data'!$E:$E,1)/'ON Data'!$D$3),1)</f>
        <v>0</v>
      </c>
      <c r="AB6" s="430">
        <f xml:space="preserve">
TRUNC(IF($A$4&lt;=12,SUMIFS('ON Data'!AF:AF,'ON Data'!$D:$D,$A$4,'ON Data'!$E:$E,1),SUMIFS('ON Data'!AF:AF,'ON Data'!$E:$E,1)/'ON Data'!$D$3),1)</f>
        <v>0</v>
      </c>
      <c r="AC6" s="430">
        <f xml:space="preserve">
TRUNC(IF($A$4&lt;=12,SUMIFS('ON Data'!AG:AG,'ON Data'!$D:$D,$A$4,'ON Data'!$E:$E,1),SUMIFS('ON Data'!AG:AG,'ON Data'!$E:$E,1)/'ON Data'!$D$3),1)</f>
        <v>0</v>
      </c>
      <c r="AD6" s="430">
        <f xml:space="preserve">
TRUNC(IF($A$4&lt;=12,SUMIFS('ON Data'!AH:AH,'ON Data'!$D:$D,$A$4,'ON Data'!$E:$E,1),SUMIFS('ON Data'!AH:AH,'ON Data'!$E:$E,1)/'ON Data'!$D$3),1)</f>
        <v>0</v>
      </c>
      <c r="AE6" s="430">
        <f xml:space="preserve">
TRUNC(IF($A$4&lt;=12,SUMIFS('ON Data'!AI:AI,'ON Data'!$D:$D,$A$4,'ON Data'!$E:$E,1),SUMIFS('ON Data'!AI:AI,'ON Data'!$E:$E,1)/'ON Data'!$D$3),1)</f>
        <v>2</v>
      </c>
      <c r="AF6" s="430">
        <f xml:space="preserve">
TRUNC(IF($A$4&lt;=12,SUMIFS('ON Data'!AJ:AJ,'ON Data'!$D:$D,$A$4,'ON Data'!$E:$E,1),SUMIFS('ON Data'!AJ:AJ,'ON Data'!$E:$E,1)/'ON Data'!$D$3),1)</f>
        <v>0</v>
      </c>
      <c r="AG6" s="430">
        <f xml:space="preserve">
TRUNC(IF($A$4&lt;=12,SUMIFS('ON Data'!AK:AK,'ON Data'!$D:$D,$A$4,'ON Data'!$E:$E,1),SUMIFS('ON Data'!AK:AK,'ON Data'!$E:$E,1)/'ON Data'!$D$3),1)</f>
        <v>0</v>
      </c>
      <c r="AH6" s="430">
        <f xml:space="preserve">
TRUNC(IF($A$4&lt;=12,SUMIFS('ON Data'!AL:AL,'ON Data'!$D:$D,$A$4,'ON Data'!$E:$E,1),SUMIFS('ON Data'!AL:AL,'ON Data'!$E:$E,1)/'ON Data'!$D$3),1)</f>
        <v>0</v>
      </c>
      <c r="AI6" s="765">
        <f xml:space="preserve">
TRUNC(IF($A$4&lt;=12,SUMIFS('ON Data'!AN:AN,'ON Data'!$D:$D,$A$4,'ON Data'!$E:$E,1),SUMIFS('ON Data'!AN:AN,'ON Data'!$E:$E,1)/'ON Data'!$D$3),1)</f>
        <v>3.9</v>
      </c>
      <c r="AJ6" s="778"/>
    </row>
    <row r="7" spans="1:36" ht="15" hidden="1" outlineLevel="1" thickBot="1" x14ac:dyDescent="0.35">
      <c r="A7" s="390" t="s">
        <v>132</v>
      </c>
      <c r="B7" s="428"/>
      <c r="C7" s="431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430"/>
      <c r="AI7" s="765"/>
      <c r="AJ7" s="778"/>
    </row>
    <row r="8" spans="1:36" ht="15" hidden="1" outlineLevel="1" thickBot="1" x14ac:dyDescent="0.35">
      <c r="A8" s="390" t="s">
        <v>96</v>
      </c>
      <c r="B8" s="428"/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430"/>
      <c r="AI8" s="765"/>
      <c r="AJ8" s="778"/>
    </row>
    <row r="9" spans="1:36" ht="15" hidden="1" outlineLevel="1" thickBot="1" x14ac:dyDescent="0.35">
      <c r="A9" s="391" t="s">
        <v>69</v>
      </c>
      <c r="B9" s="432"/>
      <c r="C9" s="433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434"/>
      <c r="AI9" s="766"/>
      <c r="AJ9" s="778"/>
    </row>
    <row r="10" spans="1:36" x14ac:dyDescent="0.3">
      <c r="A10" s="392" t="s">
        <v>239</v>
      </c>
      <c r="B10" s="407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409"/>
      <c r="AH10" s="409"/>
      <c r="AI10" s="767"/>
      <c r="AJ10" s="778"/>
    </row>
    <row r="11" spans="1:36" x14ac:dyDescent="0.3">
      <c r="A11" s="393" t="s">
        <v>240</v>
      </c>
      <c r="B11" s="410">
        <f xml:space="preserve">
IF($A$4&lt;=12,SUMIFS('ON Data'!F:F,'ON Data'!$D:$D,$A$4,'ON Data'!$E:$E,2),SUMIFS('ON Data'!F:F,'ON Data'!$E:$E,2))</f>
        <v>17048.7</v>
      </c>
      <c r="C11" s="411">
        <f xml:space="preserve">
IF($A$4&lt;=12,SUMIFS('ON Data'!G:G,'ON Data'!$D:$D,$A$4,'ON Data'!$E:$E,2),SUMIFS('ON Data'!G:G,'ON Data'!$E:$E,2))</f>
        <v>0</v>
      </c>
      <c r="D11" s="412">
        <f xml:space="preserve">
IF($A$4&lt;=12,SUMIFS('ON Data'!H:H,'ON Data'!$D:$D,$A$4,'ON Data'!$E:$E,2),SUMIFS('ON Data'!H:H,'ON Data'!$E:$E,2))</f>
        <v>4562</v>
      </c>
      <c r="E11" s="412">
        <f xml:space="preserve">
IF($A$4&lt;=12,SUMIFS('ON Data'!I:I,'ON Data'!$D:$D,$A$4,'ON Data'!$E:$E,2),SUMIFS('ON Data'!I:I,'ON Data'!$E:$E,2))</f>
        <v>0</v>
      </c>
      <c r="F11" s="412">
        <f xml:space="preserve">
IF($A$4&lt;=12,SUMIFS('ON Data'!J:J,'ON Data'!$D:$D,$A$4,'ON Data'!$E:$E,2),SUMIFS('ON Data'!J:J,'ON Data'!$E:$E,2))</f>
        <v>496</v>
      </c>
      <c r="G11" s="412">
        <f xml:space="preserve">
IF($A$4&lt;=12,SUMIFS('ON Data'!K:K,'ON Data'!$D:$D,$A$4,'ON Data'!$E:$E,2),SUMIFS('ON Data'!K:K,'ON Data'!$E:$E,2))</f>
        <v>2371.5</v>
      </c>
      <c r="H11" s="412">
        <f xml:space="preserve">
IF($A$4&lt;=12,SUMIFS('ON Data'!L:L,'ON Data'!$D:$D,$A$4,'ON Data'!$E:$E,2),SUMIFS('ON Data'!L:L,'ON Data'!$E:$E,2))</f>
        <v>0</v>
      </c>
      <c r="I11" s="412">
        <f xml:space="preserve">
IF($A$4&lt;=12,SUMIFS('ON Data'!M:M,'ON Data'!$D:$D,$A$4,'ON Data'!$E:$E,2),SUMIFS('ON Data'!M:M,'ON Data'!$E:$E,2))</f>
        <v>0</v>
      </c>
      <c r="J11" s="412">
        <f xml:space="preserve">
IF($A$4&lt;=12,SUMIFS('ON Data'!N:N,'ON Data'!$D:$D,$A$4,'ON Data'!$E:$E,2),SUMIFS('ON Data'!N:N,'ON Data'!$E:$E,2))</f>
        <v>5734</v>
      </c>
      <c r="K11" s="412">
        <f xml:space="preserve">
IF($A$4&lt;=12,SUMIFS('ON Data'!O:O,'ON Data'!$D:$D,$A$4,'ON Data'!$E:$E,2),SUMIFS('ON Data'!O:O,'ON Data'!$E:$E,2))</f>
        <v>480</v>
      </c>
      <c r="L11" s="412">
        <f xml:space="preserve">
IF($A$4&lt;=12,SUMIFS('ON Data'!P:P,'ON Data'!$D:$D,$A$4,'ON Data'!$E:$E,2),SUMIFS('ON Data'!P:P,'ON Data'!$E:$E,2))</f>
        <v>0</v>
      </c>
      <c r="M11" s="412">
        <f xml:space="preserve">
IF($A$4&lt;=12,SUMIFS('ON Data'!Q:Q,'ON Data'!$D:$D,$A$4,'ON Data'!$E:$E,2),SUMIFS('ON Data'!Q:Q,'ON Data'!$E:$E,2))</f>
        <v>0</v>
      </c>
      <c r="N11" s="412">
        <f xml:space="preserve">
IF($A$4&lt;=12,SUMIFS('ON Data'!R:R,'ON Data'!$D:$D,$A$4,'ON Data'!$E:$E,2),SUMIFS('ON Data'!R:R,'ON Data'!$E:$E,2))</f>
        <v>0</v>
      </c>
      <c r="O11" s="412">
        <f xml:space="preserve">
IF($A$4&lt;=12,SUMIFS('ON Data'!S:S,'ON Data'!$D:$D,$A$4,'ON Data'!$E:$E,2),SUMIFS('ON Data'!S:S,'ON Data'!$E:$E,2))</f>
        <v>0</v>
      </c>
      <c r="P11" s="412">
        <f xml:space="preserve">
IF($A$4&lt;=12,SUMIFS('ON Data'!T:T,'ON Data'!$D:$D,$A$4,'ON Data'!$E:$E,2),SUMIFS('ON Data'!T:T,'ON Data'!$E:$E,2))</f>
        <v>912</v>
      </c>
      <c r="Q11" s="412">
        <f xml:space="preserve">
IF($A$4&lt;=12,SUMIFS('ON Data'!U:U,'ON Data'!$D:$D,$A$4,'ON Data'!$E:$E,2),SUMIFS('ON Data'!U:U,'ON Data'!$E:$E,2))</f>
        <v>0</v>
      </c>
      <c r="R11" s="412">
        <f xml:space="preserve">
IF($A$4&lt;=12,SUMIFS('ON Data'!V:V,'ON Data'!$D:$D,$A$4,'ON Data'!$E:$E,2),SUMIFS('ON Data'!V:V,'ON Data'!$E:$E,2))</f>
        <v>0</v>
      </c>
      <c r="S11" s="412">
        <f xml:space="preserve">
IF($A$4&lt;=12,SUMIFS('ON Data'!W:W,'ON Data'!$D:$D,$A$4,'ON Data'!$E:$E,2),SUMIFS('ON Data'!W:W,'ON Data'!$E:$E,2))</f>
        <v>0</v>
      </c>
      <c r="T11" s="412">
        <f xml:space="preserve">
IF($A$4&lt;=12,SUMIFS('ON Data'!X:X,'ON Data'!$D:$D,$A$4,'ON Data'!$E:$E,2),SUMIFS('ON Data'!X:X,'ON Data'!$E:$E,2))</f>
        <v>0</v>
      </c>
      <c r="U11" s="412">
        <f xml:space="preserve">
IF($A$4&lt;=12,SUMIFS('ON Data'!Y:Y,'ON Data'!$D:$D,$A$4,'ON Data'!$E:$E,2),SUMIFS('ON Data'!Y:Y,'ON Data'!$E:$E,2))</f>
        <v>0</v>
      </c>
      <c r="V11" s="412">
        <f xml:space="preserve">
IF($A$4&lt;=12,SUMIFS('ON Data'!Z:Z,'ON Data'!$D:$D,$A$4,'ON Data'!$E:$E,2),SUMIFS('ON Data'!Z:Z,'ON Data'!$E:$E,2))</f>
        <v>0</v>
      </c>
      <c r="W11" s="412">
        <f xml:space="preserve">
IF($A$4&lt;=12,SUMIFS('ON Data'!AA:AA,'ON Data'!$D:$D,$A$4,'ON Data'!$E:$E,2),SUMIFS('ON Data'!AA:AA,'ON Data'!$E:$E,2))</f>
        <v>0</v>
      </c>
      <c r="X11" s="412">
        <f xml:space="preserve">
IF($A$4&lt;=12,SUMIFS('ON Data'!AB:AB,'ON Data'!$D:$D,$A$4,'ON Data'!$E:$E,2),SUMIFS('ON Data'!AB:AB,'ON Data'!$E:$E,2))</f>
        <v>0</v>
      </c>
      <c r="Y11" s="412">
        <f xml:space="preserve">
IF($A$4&lt;=12,SUMIFS('ON Data'!AC:AC,'ON Data'!$D:$D,$A$4,'ON Data'!$E:$E,2),SUMIFS('ON Data'!AC:AC,'ON Data'!$E:$E,2))</f>
        <v>0</v>
      </c>
      <c r="Z11" s="412">
        <f xml:space="preserve">
IF($A$4&lt;=12,SUMIFS('ON Data'!AD:AD,'ON Data'!$D:$D,$A$4,'ON Data'!$E:$E,2),SUMIFS('ON Data'!AD:AD,'ON Data'!$E:$E,2))</f>
        <v>0</v>
      </c>
      <c r="AA11" s="412">
        <f xml:space="preserve">
IF($A$4&lt;=12,SUMIFS('ON Data'!AE:AE,'ON Data'!$D:$D,$A$4,'ON Data'!$E:$E,2),SUMIFS('ON Data'!AE:AE,'ON Data'!$E:$E,2))</f>
        <v>0</v>
      </c>
      <c r="AB11" s="412">
        <f xml:space="preserve">
IF($A$4&lt;=12,SUMIFS('ON Data'!AF:AF,'ON Data'!$D:$D,$A$4,'ON Data'!$E:$E,2),SUMIFS('ON Data'!AF:AF,'ON Data'!$E:$E,2))</f>
        <v>0</v>
      </c>
      <c r="AC11" s="412">
        <f xml:space="preserve">
IF($A$4&lt;=12,SUMIFS('ON Data'!AG:AG,'ON Data'!$D:$D,$A$4,'ON Data'!$E:$E,2),SUMIFS('ON Data'!AG:AG,'ON Data'!$E:$E,2))</f>
        <v>0</v>
      </c>
      <c r="AD11" s="412">
        <f xml:space="preserve">
IF($A$4&lt;=12,SUMIFS('ON Data'!AH:AH,'ON Data'!$D:$D,$A$4,'ON Data'!$E:$E,2),SUMIFS('ON Data'!AH:AH,'ON Data'!$E:$E,2))</f>
        <v>0</v>
      </c>
      <c r="AE11" s="412">
        <f xml:space="preserve">
IF($A$4&lt;=12,SUMIFS('ON Data'!AI:AI,'ON Data'!$D:$D,$A$4,'ON Data'!$E:$E,2),SUMIFS('ON Data'!AI:AI,'ON Data'!$E:$E,2))</f>
        <v>872</v>
      </c>
      <c r="AF11" s="412">
        <f xml:space="preserve">
IF($A$4&lt;=12,SUMIFS('ON Data'!AJ:AJ,'ON Data'!$D:$D,$A$4,'ON Data'!$E:$E,2),SUMIFS('ON Data'!AJ:AJ,'ON Data'!$E:$E,2))</f>
        <v>0</v>
      </c>
      <c r="AG11" s="412">
        <f xml:space="preserve">
IF($A$4&lt;=12,SUMIFS('ON Data'!AK:AK,'ON Data'!$D:$D,$A$4,'ON Data'!$E:$E,2),SUMIFS('ON Data'!AK:AK,'ON Data'!$E:$E,2))</f>
        <v>0</v>
      </c>
      <c r="AH11" s="412">
        <f xml:space="preserve">
IF($A$4&lt;=12,SUMIFS('ON Data'!AL:AL,'ON Data'!$D:$D,$A$4,'ON Data'!$E:$E,2),SUMIFS('ON Data'!AL:AL,'ON Data'!$E:$E,2))</f>
        <v>0</v>
      </c>
      <c r="AI11" s="768">
        <f xml:space="preserve">
IF($A$4&lt;=12,SUMIFS('ON Data'!AN:AN,'ON Data'!$D:$D,$A$4,'ON Data'!$E:$E,2),SUMIFS('ON Data'!AN:AN,'ON Data'!$E:$E,2))</f>
        <v>1621.2</v>
      </c>
      <c r="AJ11" s="778"/>
    </row>
    <row r="12" spans="1:36" x14ac:dyDescent="0.3">
      <c r="A12" s="393" t="s">
        <v>241</v>
      </c>
      <c r="B12" s="410">
        <f xml:space="preserve">
IF($A$4&lt;=12,SUMIFS('ON Data'!F:F,'ON Data'!$D:$D,$A$4,'ON Data'!$E:$E,3),SUMIFS('ON Data'!F:F,'ON Data'!$E:$E,3))</f>
        <v>58</v>
      </c>
      <c r="C12" s="411">
        <f xml:space="preserve">
IF($A$4&lt;=12,SUMIFS('ON Data'!G:G,'ON Data'!$D:$D,$A$4,'ON Data'!$E:$E,3),SUMIFS('ON Data'!G:G,'ON Data'!$E:$E,3))</f>
        <v>0</v>
      </c>
      <c r="D12" s="412">
        <f xml:space="preserve">
IF($A$4&lt;=12,SUMIFS('ON Data'!H:H,'ON Data'!$D:$D,$A$4,'ON Data'!$E:$E,3),SUMIFS('ON Data'!H:H,'ON Data'!$E:$E,3))</f>
        <v>58</v>
      </c>
      <c r="E12" s="412">
        <f xml:space="preserve">
IF($A$4&lt;=12,SUMIFS('ON Data'!I:I,'ON Data'!$D:$D,$A$4,'ON Data'!$E:$E,3),SUMIFS('ON Data'!I:I,'ON Data'!$E:$E,3))</f>
        <v>0</v>
      </c>
      <c r="F12" s="412">
        <f xml:space="preserve">
IF($A$4&lt;=12,SUMIFS('ON Data'!J:J,'ON Data'!$D:$D,$A$4,'ON Data'!$E:$E,3),SUMIFS('ON Data'!J:J,'ON Data'!$E:$E,3))</f>
        <v>0</v>
      </c>
      <c r="G12" s="412">
        <f xml:space="preserve">
IF($A$4&lt;=12,SUMIFS('ON Data'!K:K,'ON Data'!$D:$D,$A$4,'ON Data'!$E:$E,3),SUMIFS('ON Data'!K:K,'ON Data'!$E:$E,3))</f>
        <v>0</v>
      </c>
      <c r="H12" s="412">
        <f xml:space="preserve">
IF($A$4&lt;=12,SUMIFS('ON Data'!L:L,'ON Data'!$D:$D,$A$4,'ON Data'!$E:$E,3),SUMIFS('ON Data'!L:L,'ON Data'!$E:$E,3))</f>
        <v>0</v>
      </c>
      <c r="I12" s="412">
        <f xml:space="preserve">
IF($A$4&lt;=12,SUMIFS('ON Data'!M:M,'ON Data'!$D:$D,$A$4,'ON Data'!$E:$E,3),SUMIFS('ON Data'!M:M,'ON Data'!$E:$E,3))</f>
        <v>0</v>
      </c>
      <c r="J12" s="412">
        <f xml:space="preserve">
IF($A$4&lt;=12,SUMIFS('ON Data'!N:N,'ON Data'!$D:$D,$A$4,'ON Data'!$E:$E,3),SUMIFS('ON Data'!N:N,'ON Data'!$E:$E,3))</f>
        <v>0</v>
      </c>
      <c r="K12" s="412">
        <f xml:space="preserve">
IF($A$4&lt;=12,SUMIFS('ON Data'!O:O,'ON Data'!$D:$D,$A$4,'ON Data'!$E:$E,3),SUMIFS('ON Data'!O:O,'ON Data'!$E:$E,3))</f>
        <v>0</v>
      </c>
      <c r="L12" s="412">
        <f xml:space="preserve">
IF($A$4&lt;=12,SUMIFS('ON Data'!P:P,'ON Data'!$D:$D,$A$4,'ON Data'!$E:$E,3),SUMIFS('ON Data'!P:P,'ON Data'!$E:$E,3))</f>
        <v>0</v>
      </c>
      <c r="M12" s="412">
        <f xml:space="preserve">
IF($A$4&lt;=12,SUMIFS('ON Data'!Q:Q,'ON Data'!$D:$D,$A$4,'ON Data'!$E:$E,3),SUMIFS('ON Data'!Q:Q,'ON Data'!$E:$E,3))</f>
        <v>0</v>
      </c>
      <c r="N12" s="412">
        <f xml:space="preserve">
IF($A$4&lt;=12,SUMIFS('ON Data'!R:R,'ON Data'!$D:$D,$A$4,'ON Data'!$E:$E,3),SUMIFS('ON Data'!R:R,'ON Data'!$E:$E,3))</f>
        <v>0</v>
      </c>
      <c r="O12" s="412">
        <f xml:space="preserve">
IF($A$4&lt;=12,SUMIFS('ON Data'!S:S,'ON Data'!$D:$D,$A$4,'ON Data'!$E:$E,3),SUMIFS('ON Data'!S:S,'ON Data'!$E:$E,3))</f>
        <v>0</v>
      </c>
      <c r="P12" s="412">
        <f xml:space="preserve">
IF($A$4&lt;=12,SUMIFS('ON Data'!T:T,'ON Data'!$D:$D,$A$4,'ON Data'!$E:$E,3),SUMIFS('ON Data'!T:T,'ON Data'!$E:$E,3))</f>
        <v>0</v>
      </c>
      <c r="Q12" s="412">
        <f xml:space="preserve">
IF($A$4&lt;=12,SUMIFS('ON Data'!U:U,'ON Data'!$D:$D,$A$4,'ON Data'!$E:$E,3),SUMIFS('ON Data'!U:U,'ON Data'!$E:$E,3))</f>
        <v>0</v>
      </c>
      <c r="R12" s="412">
        <f xml:space="preserve">
IF($A$4&lt;=12,SUMIFS('ON Data'!V:V,'ON Data'!$D:$D,$A$4,'ON Data'!$E:$E,3),SUMIFS('ON Data'!V:V,'ON Data'!$E:$E,3))</f>
        <v>0</v>
      </c>
      <c r="S12" s="412">
        <f xml:space="preserve">
IF($A$4&lt;=12,SUMIFS('ON Data'!W:W,'ON Data'!$D:$D,$A$4,'ON Data'!$E:$E,3),SUMIFS('ON Data'!W:W,'ON Data'!$E:$E,3))</f>
        <v>0</v>
      </c>
      <c r="T12" s="412">
        <f xml:space="preserve">
IF($A$4&lt;=12,SUMIFS('ON Data'!X:X,'ON Data'!$D:$D,$A$4,'ON Data'!$E:$E,3),SUMIFS('ON Data'!X:X,'ON Data'!$E:$E,3))</f>
        <v>0</v>
      </c>
      <c r="U12" s="412">
        <f xml:space="preserve">
IF($A$4&lt;=12,SUMIFS('ON Data'!Y:Y,'ON Data'!$D:$D,$A$4,'ON Data'!$E:$E,3),SUMIFS('ON Data'!Y:Y,'ON Data'!$E:$E,3))</f>
        <v>0</v>
      </c>
      <c r="V12" s="412">
        <f xml:space="preserve">
IF($A$4&lt;=12,SUMIFS('ON Data'!Z:Z,'ON Data'!$D:$D,$A$4,'ON Data'!$E:$E,3),SUMIFS('ON Data'!Z:Z,'ON Data'!$E:$E,3))</f>
        <v>0</v>
      </c>
      <c r="W12" s="412">
        <f xml:space="preserve">
IF($A$4&lt;=12,SUMIFS('ON Data'!AA:AA,'ON Data'!$D:$D,$A$4,'ON Data'!$E:$E,3),SUMIFS('ON Data'!AA:AA,'ON Data'!$E:$E,3))</f>
        <v>0</v>
      </c>
      <c r="X12" s="412">
        <f xml:space="preserve">
IF($A$4&lt;=12,SUMIFS('ON Data'!AB:AB,'ON Data'!$D:$D,$A$4,'ON Data'!$E:$E,3),SUMIFS('ON Data'!AB:AB,'ON Data'!$E:$E,3))</f>
        <v>0</v>
      </c>
      <c r="Y12" s="412">
        <f xml:space="preserve">
IF($A$4&lt;=12,SUMIFS('ON Data'!AC:AC,'ON Data'!$D:$D,$A$4,'ON Data'!$E:$E,3),SUMIFS('ON Data'!AC:AC,'ON Data'!$E:$E,3))</f>
        <v>0</v>
      </c>
      <c r="Z12" s="412">
        <f xml:space="preserve">
IF($A$4&lt;=12,SUMIFS('ON Data'!AD:AD,'ON Data'!$D:$D,$A$4,'ON Data'!$E:$E,3),SUMIFS('ON Data'!AD:AD,'ON Data'!$E:$E,3))</f>
        <v>0</v>
      </c>
      <c r="AA12" s="412">
        <f xml:space="preserve">
IF($A$4&lt;=12,SUMIFS('ON Data'!AE:AE,'ON Data'!$D:$D,$A$4,'ON Data'!$E:$E,3),SUMIFS('ON Data'!AE:AE,'ON Data'!$E:$E,3))</f>
        <v>0</v>
      </c>
      <c r="AB12" s="412">
        <f xml:space="preserve">
IF($A$4&lt;=12,SUMIFS('ON Data'!AF:AF,'ON Data'!$D:$D,$A$4,'ON Data'!$E:$E,3),SUMIFS('ON Data'!AF:AF,'ON Data'!$E:$E,3))</f>
        <v>0</v>
      </c>
      <c r="AC12" s="412">
        <f xml:space="preserve">
IF($A$4&lt;=12,SUMIFS('ON Data'!AG:AG,'ON Data'!$D:$D,$A$4,'ON Data'!$E:$E,3),SUMIFS('ON Data'!AG:AG,'ON Data'!$E:$E,3))</f>
        <v>0</v>
      </c>
      <c r="AD12" s="412">
        <f xml:space="preserve">
IF($A$4&lt;=12,SUMIFS('ON Data'!AH:AH,'ON Data'!$D:$D,$A$4,'ON Data'!$E:$E,3),SUMIFS('ON Data'!AH:AH,'ON Data'!$E:$E,3))</f>
        <v>0</v>
      </c>
      <c r="AE12" s="412">
        <f xml:space="preserve">
IF($A$4&lt;=12,SUMIFS('ON Data'!AI:AI,'ON Data'!$D:$D,$A$4,'ON Data'!$E:$E,3),SUMIFS('ON Data'!AI:AI,'ON Data'!$E:$E,3))</f>
        <v>0</v>
      </c>
      <c r="AF12" s="412">
        <f xml:space="preserve">
IF($A$4&lt;=12,SUMIFS('ON Data'!AJ:AJ,'ON Data'!$D:$D,$A$4,'ON Data'!$E:$E,3),SUMIFS('ON Data'!AJ:AJ,'ON Data'!$E:$E,3))</f>
        <v>0</v>
      </c>
      <c r="AG12" s="412">
        <f xml:space="preserve">
IF($A$4&lt;=12,SUMIFS('ON Data'!AK:AK,'ON Data'!$D:$D,$A$4,'ON Data'!$E:$E,3),SUMIFS('ON Data'!AK:AK,'ON Data'!$E:$E,3))</f>
        <v>0</v>
      </c>
      <c r="AH12" s="412">
        <f xml:space="preserve">
IF($A$4&lt;=12,SUMIFS('ON Data'!AL:AL,'ON Data'!$D:$D,$A$4,'ON Data'!$E:$E,3),SUMIFS('ON Data'!AL:AL,'ON Data'!$E:$E,3))</f>
        <v>0</v>
      </c>
      <c r="AI12" s="768">
        <f xml:space="preserve">
IF($A$4&lt;=12,SUMIFS('ON Data'!AN:AN,'ON Data'!$D:$D,$A$4,'ON Data'!$E:$E,3),SUMIFS('ON Data'!AN:AN,'ON Data'!$E:$E,3))</f>
        <v>0</v>
      </c>
      <c r="AJ12" s="778"/>
    </row>
    <row r="13" spans="1:36" x14ac:dyDescent="0.3">
      <c r="A13" s="393" t="s">
        <v>248</v>
      </c>
      <c r="B13" s="410">
        <f xml:space="preserve">
IF($A$4&lt;=12,SUMIFS('ON Data'!F:F,'ON Data'!$D:$D,$A$4,'ON Data'!$E:$E,4),SUMIFS('ON Data'!F:F,'ON Data'!$E:$E,4))</f>
        <v>1440.25</v>
      </c>
      <c r="C13" s="411">
        <f xml:space="preserve">
IF($A$4&lt;=12,SUMIFS('ON Data'!G:G,'ON Data'!$D:$D,$A$4,'ON Data'!$E:$E,4),SUMIFS('ON Data'!G:G,'ON Data'!$E:$E,4))</f>
        <v>0</v>
      </c>
      <c r="D13" s="412">
        <f xml:space="preserve">
IF($A$4&lt;=12,SUMIFS('ON Data'!H:H,'ON Data'!$D:$D,$A$4,'ON Data'!$E:$E,4),SUMIFS('ON Data'!H:H,'ON Data'!$E:$E,4))</f>
        <v>758</v>
      </c>
      <c r="E13" s="412">
        <f xml:space="preserve">
IF($A$4&lt;=12,SUMIFS('ON Data'!I:I,'ON Data'!$D:$D,$A$4,'ON Data'!$E:$E,4),SUMIFS('ON Data'!I:I,'ON Data'!$E:$E,4))</f>
        <v>0</v>
      </c>
      <c r="F13" s="412">
        <f xml:space="preserve">
IF($A$4&lt;=12,SUMIFS('ON Data'!J:J,'ON Data'!$D:$D,$A$4,'ON Data'!$E:$E,4),SUMIFS('ON Data'!J:J,'ON Data'!$E:$E,4))</f>
        <v>41</v>
      </c>
      <c r="G13" s="412">
        <f xml:space="preserve">
IF($A$4&lt;=12,SUMIFS('ON Data'!K:K,'ON Data'!$D:$D,$A$4,'ON Data'!$E:$E,4),SUMIFS('ON Data'!K:K,'ON Data'!$E:$E,4))</f>
        <v>4.25</v>
      </c>
      <c r="H13" s="412">
        <f xml:space="preserve">
IF($A$4&lt;=12,SUMIFS('ON Data'!L:L,'ON Data'!$D:$D,$A$4,'ON Data'!$E:$E,4),SUMIFS('ON Data'!L:L,'ON Data'!$E:$E,4))</f>
        <v>0</v>
      </c>
      <c r="I13" s="412">
        <f xml:space="preserve">
IF($A$4&lt;=12,SUMIFS('ON Data'!M:M,'ON Data'!$D:$D,$A$4,'ON Data'!$E:$E,4),SUMIFS('ON Data'!M:M,'ON Data'!$E:$E,4))</f>
        <v>0</v>
      </c>
      <c r="J13" s="412">
        <f xml:space="preserve">
IF($A$4&lt;=12,SUMIFS('ON Data'!N:N,'ON Data'!$D:$D,$A$4,'ON Data'!$E:$E,4),SUMIFS('ON Data'!N:N,'ON Data'!$E:$E,4))</f>
        <v>550</v>
      </c>
      <c r="K13" s="412">
        <f xml:space="preserve">
IF($A$4&lt;=12,SUMIFS('ON Data'!O:O,'ON Data'!$D:$D,$A$4,'ON Data'!$E:$E,4),SUMIFS('ON Data'!O:O,'ON Data'!$E:$E,4))</f>
        <v>37</v>
      </c>
      <c r="L13" s="412">
        <f xml:space="preserve">
IF($A$4&lt;=12,SUMIFS('ON Data'!P:P,'ON Data'!$D:$D,$A$4,'ON Data'!$E:$E,4),SUMIFS('ON Data'!P:P,'ON Data'!$E:$E,4))</f>
        <v>0</v>
      </c>
      <c r="M13" s="412">
        <f xml:space="preserve">
IF($A$4&lt;=12,SUMIFS('ON Data'!Q:Q,'ON Data'!$D:$D,$A$4,'ON Data'!$E:$E,4),SUMIFS('ON Data'!Q:Q,'ON Data'!$E:$E,4))</f>
        <v>0</v>
      </c>
      <c r="N13" s="412">
        <f xml:space="preserve">
IF($A$4&lt;=12,SUMIFS('ON Data'!R:R,'ON Data'!$D:$D,$A$4,'ON Data'!$E:$E,4),SUMIFS('ON Data'!R:R,'ON Data'!$E:$E,4))</f>
        <v>0</v>
      </c>
      <c r="O13" s="412">
        <f xml:space="preserve">
IF($A$4&lt;=12,SUMIFS('ON Data'!S:S,'ON Data'!$D:$D,$A$4,'ON Data'!$E:$E,4),SUMIFS('ON Data'!S:S,'ON Data'!$E:$E,4))</f>
        <v>0</v>
      </c>
      <c r="P13" s="412">
        <f xml:space="preserve">
IF($A$4&lt;=12,SUMIFS('ON Data'!T:T,'ON Data'!$D:$D,$A$4,'ON Data'!$E:$E,4),SUMIFS('ON Data'!T:T,'ON Data'!$E:$E,4))</f>
        <v>50</v>
      </c>
      <c r="Q13" s="412">
        <f xml:space="preserve">
IF($A$4&lt;=12,SUMIFS('ON Data'!U:U,'ON Data'!$D:$D,$A$4,'ON Data'!$E:$E,4),SUMIFS('ON Data'!U:U,'ON Data'!$E:$E,4))</f>
        <v>0</v>
      </c>
      <c r="R13" s="412">
        <f xml:space="preserve">
IF($A$4&lt;=12,SUMIFS('ON Data'!V:V,'ON Data'!$D:$D,$A$4,'ON Data'!$E:$E,4),SUMIFS('ON Data'!V:V,'ON Data'!$E:$E,4))</f>
        <v>0</v>
      </c>
      <c r="S13" s="412">
        <f xml:space="preserve">
IF($A$4&lt;=12,SUMIFS('ON Data'!W:W,'ON Data'!$D:$D,$A$4,'ON Data'!$E:$E,4),SUMIFS('ON Data'!W:W,'ON Data'!$E:$E,4))</f>
        <v>0</v>
      </c>
      <c r="T13" s="412">
        <f xml:space="preserve">
IF($A$4&lt;=12,SUMIFS('ON Data'!X:X,'ON Data'!$D:$D,$A$4,'ON Data'!$E:$E,4),SUMIFS('ON Data'!X:X,'ON Data'!$E:$E,4))</f>
        <v>0</v>
      </c>
      <c r="U13" s="412">
        <f xml:space="preserve">
IF($A$4&lt;=12,SUMIFS('ON Data'!Y:Y,'ON Data'!$D:$D,$A$4,'ON Data'!$E:$E,4),SUMIFS('ON Data'!Y:Y,'ON Data'!$E:$E,4))</f>
        <v>0</v>
      </c>
      <c r="V13" s="412">
        <f xml:space="preserve">
IF($A$4&lt;=12,SUMIFS('ON Data'!Z:Z,'ON Data'!$D:$D,$A$4,'ON Data'!$E:$E,4),SUMIFS('ON Data'!Z:Z,'ON Data'!$E:$E,4))</f>
        <v>0</v>
      </c>
      <c r="W13" s="412">
        <f xml:space="preserve">
IF($A$4&lt;=12,SUMIFS('ON Data'!AA:AA,'ON Data'!$D:$D,$A$4,'ON Data'!$E:$E,4),SUMIFS('ON Data'!AA:AA,'ON Data'!$E:$E,4))</f>
        <v>0</v>
      </c>
      <c r="X13" s="412">
        <f xml:space="preserve">
IF($A$4&lt;=12,SUMIFS('ON Data'!AB:AB,'ON Data'!$D:$D,$A$4,'ON Data'!$E:$E,4),SUMIFS('ON Data'!AB:AB,'ON Data'!$E:$E,4))</f>
        <v>0</v>
      </c>
      <c r="Y13" s="412">
        <f xml:space="preserve">
IF($A$4&lt;=12,SUMIFS('ON Data'!AC:AC,'ON Data'!$D:$D,$A$4,'ON Data'!$E:$E,4),SUMIFS('ON Data'!AC:AC,'ON Data'!$E:$E,4))</f>
        <v>0</v>
      </c>
      <c r="Z13" s="412">
        <f xml:space="preserve">
IF($A$4&lt;=12,SUMIFS('ON Data'!AD:AD,'ON Data'!$D:$D,$A$4,'ON Data'!$E:$E,4),SUMIFS('ON Data'!AD:AD,'ON Data'!$E:$E,4))</f>
        <v>0</v>
      </c>
      <c r="AA13" s="412">
        <f xml:space="preserve">
IF($A$4&lt;=12,SUMIFS('ON Data'!AE:AE,'ON Data'!$D:$D,$A$4,'ON Data'!$E:$E,4),SUMIFS('ON Data'!AE:AE,'ON Data'!$E:$E,4))</f>
        <v>0</v>
      </c>
      <c r="AB13" s="412">
        <f xml:space="preserve">
IF($A$4&lt;=12,SUMIFS('ON Data'!AF:AF,'ON Data'!$D:$D,$A$4,'ON Data'!$E:$E,4),SUMIFS('ON Data'!AF:AF,'ON Data'!$E:$E,4))</f>
        <v>0</v>
      </c>
      <c r="AC13" s="412">
        <f xml:space="preserve">
IF($A$4&lt;=12,SUMIFS('ON Data'!AG:AG,'ON Data'!$D:$D,$A$4,'ON Data'!$E:$E,4),SUMIFS('ON Data'!AG:AG,'ON Data'!$E:$E,4))</f>
        <v>0</v>
      </c>
      <c r="AD13" s="412">
        <f xml:space="preserve">
IF($A$4&lt;=12,SUMIFS('ON Data'!AH:AH,'ON Data'!$D:$D,$A$4,'ON Data'!$E:$E,4),SUMIFS('ON Data'!AH:AH,'ON Data'!$E:$E,4))</f>
        <v>0</v>
      </c>
      <c r="AE13" s="412">
        <f xml:space="preserve">
IF($A$4&lt;=12,SUMIFS('ON Data'!AI:AI,'ON Data'!$D:$D,$A$4,'ON Data'!$E:$E,4),SUMIFS('ON Data'!AI:AI,'ON Data'!$E:$E,4))</f>
        <v>0</v>
      </c>
      <c r="AF13" s="412">
        <f xml:space="preserve">
IF($A$4&lt;=12,SUMIFS('ON Data'!AJ:AJ,'ON Data'!$D:$D,$A$4,'ON Data'!$E:$E,4),SUMIFS('ON Data'!AJ:AJ,'ON Data'!$E:$E,4))</f>
        <v>0</v>
      </c>
      <c r="AG13" s="412">
        <f xml:space="preserve">
IF($A$4&lt;=12,SUMIFS('ON Data'!AK:AK,'ON Data'!$D:$D,$A$4,'ON Data'!$E:$E,4),SUMIFS('ON Data'!AK:AK,'ON Data'!$E:$E,4))</f>
        <v>0</v>
      </c>
      <c r="AH13" s="412">
        <f xml:space="preserve">
IF($A$4&lt;=12,SUMIFS('ON Data'!AL:AL,'ON Data'!$D:$D,$A$4,'ON Data'!$E:$E,4),SUMIFS('ON Data'!AL:AL,'ON Data'!$E:$E,4))</f>
        <v>0</v>
      </c>
      <c r="AI13" s="768">
        <f xml:space="preserve">
IF($A$4&lt;=12,SUMIFS('ON Data'!AN:AN,'ON Data'!$D:$D,$A$4,'ON Data'!$E:$E,4),SUMIFS('ON Data'!AN:AN,'ON Data'!$E:$E,4))</f>
        <v>0</v>
      </c>
      <c r="AJ13" s="778"/>
    </row>
    <row r="14" spans="1:36" ht="15" thickBot="1" x14ac:dyDescent="0.35">
      <c r="A14" s="394" t="s">
        <v>242</v>
      </c>
      <c r="B14" s="413">
        <f xml:space="preserve">
IF($A$4&lt;=12,SUMIFS('ON Data'!F:F,'ON Data'!$D:$D,$A$4,'ON Data'!$E:$E,5),SUMIFS('ON Data'!F:F,'ON Data'!$E:$E,5))</f>
        <v>0</v>
      </c>
      <c r="C14" s="414">
        <f xml:space="preserve">
IF($A$4&lt;=12,SUMIFS('ON Data'!G:G,'ON Data'!$D:$D,$A$4,'ON Data'!$E:$E,5),SUMIFS('ON Data'!G:G,'ON Data'!$E:$E,5))</f>
        <v>0</v>
      </c>
      <c r="D14" s="415">
        <f xml:space="preserve">
IF($A$4&lt;=12,SUMIFS('ON Data'!H:H,'ON Data'!$D:$D,$A$4,'ON Data'!$E:$E,5),SUMIFS('ON Data'!H:H,'ON Data'!$E:$E,5))</f>
        <v>0</v>
      </c>
      <c r="E14" s="415">
        <f xml:space="preserve">
IF($A$4&lt;=12,SUMIFS('ON Data'!I:I,'ON Data'!$D:$D,$A$4,'ON Data'!$E:$E,5),SUMIFS('ON Data'!I:I,'ON Data'!$E:$E,5))</f>
        <v>0</v>
      </c>
      <c r="F14" s="415">
        <f xml:space="preserve">
IF($A$4&lt;=12,SUMIFS('ON Data'!J:J,'ON Data'!$D:$D,$A$4,'ON Data'!$E:$E,5),SUMIFS('ON Data'!J:J,'ON Data'!$E:$E,5))</f>
        <v>0</v>
      </c>
      <c r="G14" s="415">
        <f xml:space="preserve">
IF($A$4&lt;=12,SUMIFS('ON Data'!K:K,'ON Data'!$D:$D,$A$4,'ON Data'!$E:$E,5),SUMIFS('ON Data'!K:K,'ON Data'!$E:$E,5))</f>
        <v>0</v>
      </c>
      <c r="H14" s="415">
        <f xml:space="preserve">
IF($A$4&lt;=12,SUMIFS('ON Data'!L:L,'ON Data'!$D:$D,$A$4,'ON Data'!$E:$E,5),SUMIFS('ON Data'!L:L,'ON Data'!$E:$E,5))</f>
        <v>0</v>
      </c>
      <c r="I14" s="415">
        <f xml:space="preserve">
IF($A$4&lt;=12,SUMIFS('ON Data'!M:M,'ON Data'!$D:$D,$A$4,'ON Data'!$E:$E,5),SUMIFS('ON Data'!M:M,'ON Data'!$E:$E,5))</f>
        <v>0</v>
      </c>
      <c r="J14" s="415">
        <f xml:space="preserve">
IF($A$4&lt;=12,SUMIFS('ON Data'!N:N,'ON Data'!$D:$D,$A$4,'ON Data'!$E:$E,5),SUMIFS('ON Data'!N:N,'ON Data'!$E:$E,5))</f>
        <v>0</v>
      </c>
      <c r="K14" s="415">
        <f xml:space="preserve">
IF($A$4&lt;=12,SUMIFS('ON Data'!O:O,'ON Data'!$D:$D,$A$4,'ON Data'!$E:$E,5),SUMIFS('ON Data'!O:O,'ON Data'!$E:$E,5))</f>
        <v>0</v>
      </c>
      <c r="L14" s="415">
        <f xml:space="preserve">
IF($A$4&lt;=12,SUMIFS('ON Data'!P:P,'ON Data'!$D:$D,$A$4,'ON Data'!$E:$E,5),SUMIFS('ON Data'!P:P,'ON Data'!$E:$E,5))</f>
        <v>0</v>
      </c>
      <c r="M14" s="415">
        <f xml:space="preserve">
IF($A$4&lt;=12,SUMIFS('ON Data'!Q:Q,'ON Data'!$D:$D,$A$4,'ON Data'!$E:$E,5),SUMIFS('ON Data'!Q:Q,'ON Data'!$E:$E,5))</f>
        <v>0</v>
      </c>
      <c r="N14" s="415">
        <f xml:space="preserve">
IF($A$4&lt;=12,SUMIFS('ON Data'!R:R,'ON Data'!$D:$D,$A$4,'ON Data'!$E:$E,5),SUMIFS('ON Data'!R:R,'ON Data'!$E:$E,5))</f>
        <v>0</v>
      </c>
      <c r="O14" s="415">
        <f xml:space="preserve">
IF($A$4&lt;=12,SUMIFS('ON Data'!S:S,'ON Data'!$D:$D,$A$4,'ON Data'!$E:$E,5),SUMIFS('ON Data'!S:S,'ON Data'!$E:$E,5))</f>
        <v>0</v>
      </c>
      <c r="P14" s="415">
        <f xml:space="preserve">
IF($A$4&lt;=12,SUMIFS('ON Data'!T:T,'ON Data'!$D:$D,$A$4,'ON Data'!$E:$E,5),SUMIFS('ON Data'!T:T,'ON Data'!$E:$E,5))</f>
        <v>0</v>
      </c>
      <c r="Q14" s="415">
        <f xml:space="preserve">
IF($A$4&lt;=12,SUMIFS('ON Data'!U:U,'ON Data'!$D:$D,$A$4,'ON Data'!$E:$E,5),SUMIFS('ON Data'!U:U,'ON Data'!$E:$E,5))</f>
        <v>0</v>
      </c>
      <c r="R14" s="415">
        <f xml:space="preserve">
IF($A$4&lt;=12,SUMIFS('ON Data'!V:V,'ON Data'!$D:$D,$A$4,'ON Data'!$E:$E,5),SUMIFS('ON Data'!V:V,'ON Data'!$E:$E,5))</f>
        <v>0</v>
      </c>
      <c r="S14" s="415">
        <f xml:space="preserve">
IF($A$4&lt;=12,SUMIFS('ON Data'!W:W,'ON Data'!$D:$D,$A$4,'ON Data'!$E:$E,5),SUMIFS('ON Data'!W:W,'ON Data'!$E:$E,5))</f>
        <v>0</v>
      </c>
      <c r="T14" s="415">
        <f xml:space="preserve">
IF($A$4&lt;=12,SUMIFS('ON Data'!X:X,'ON Data'!$D:$D,$A$4,'ON Data'!$E:$E,5),SUMIFS('ON Data'!X:X,'ON Data'!$E:$E,5))</f>
        <v>0</v>
      </c>
      <c r="U14" s="415">
        <f xml:space="preserve">
IF($A$4&lt;=12,SUMIFS('ON Data'!Y:Y,'ON Data'!$D:$D,$A$4,'ON Data'!$E:$E,5),SUMIFS('ON Data'!Y:Y,'ON Data'!$E:$E,5))</f>
        <v>0</v>
      </c>
      <c r="V14" s="415">
        <f xml:space="preserve">
IF($A$4&lt;=12,SUMIFS('ON Data'!Z:Z,'ON Data'!$D:$D,$A$4,'ON Data'!$E:$E,5),SUMIFS('ON Data'!Z:Z,'ON Data'!$E:$E,5))</f>
        <v>0</v>
      </c>
      <c r="W14" s="415">
        <f xml:space="preserve">
IF($A$4&lt;=12,SUMIFS('ON Data'!AA:AA,'ON Data'!$D:$D,$A$4,'ON Data'!$E:$E,5),SUMIFS('ON Data'!AA:AA,'ON Data'!$E:$E,5))</f>
        <v>0</v>
      </c>
      <c r="X14" s="415">
        <f xml:space="preserve">
IF($A$4&lt;=12,SUMIFS('ON Data'!AB:AB,'ON Data'!$D:$D,$A$4,'ON Data'!$E:$E,5),SUMIFS('ON Data'!AB:AB,'ON Data'!$E:$E,5))</f>
        <v>0</v>
      </c>
      <c r="Y14" s="415">
        <f xml:space="preserve">
IF($A$4&lt;=12,SUMIFS('ON Data'!AC:AC,'ON Data'!$D:$D,$A$4,'ON Data'!$E:$E,5),SUMIFS('ON Data'!AC:AC,'ON Data'!$E:$E,5))</f>
        <v>0</v>
      </c>
      <c r="Z14" s="415">
        <f xml:space="preserve">
IF($A$4&lt;=12,SUMIFS('ON Data'!AD:AD,'ON Data'!$D:$D,$A$4,'ON Data'!$E:$E,5),SUMIFS('ON Data'!AD:AD,'ON Data'!$E:$E,5))</f>
        <v>0</v>
      </c>
      <c r="AA14" s="415">
        <f xml:space="preserve">
IF($A$4&lt;=12,SUMIFS('ON Data'!AE:AE,'ON Data'!$D:$D,$A$4,'ON Data'!$E:$E,5),SUMIFS('ON Data'!AE:AE,'ON Data'!$E:$E,5))</f>
        <v>0</v>
      </c>
      <c r="AB14" s="415">
        <f xml:space="preserve">
IF($A$4&lt;=12,SUMIFS('ON Data'!AF:AF,'ON Data'!$D:$D,$A$4,'ON Data'!$E:$E,5),SUMIFS('ON Data'!AF:AF,'ON Data'!$E:$E,5))</f>
        <v>0</v>
      </c>
      <c r="AC14" s="415">
        <f xml:space="preserve">
IF($A$4&lt;=12,SUMIFS('ON Data'!AG:AG,'ON Data'!$D:$D,$A$4,'ON Data'!$E:$E,5),SUMIFS('ON Data'!AG:AG,'ON Data'!$E:$E,5))</f>
        <v>0</v>
      </c>
      <c r="AD14" s="415">
        <f xml:space="preserve">
IF($A$4&lt;=12,SUMIFS('ON Data'!AH:AH,'ON Data'!$D:$D,$A$4,'ON Data'!$E:$E,5),SUMIFS('ON Data'!AH:AH,'ON Data'!$E:$E,5))</f>
        <v>0</v>
      </c>
      <c r="AE14" s="415">
        <f xml:space="preserve">
IF($A$4&lt;=12,SUMIFS('ON Data'!AI:AI,'ON Data'!$D:$D,$A$4,'ON Data'!$E:$E,5),SUMIFS('ON Data'!AI:AI,'ON Data'!$E:$E,5))</f>
        <v>0</v>
      </c>
      <c r="AF14" s="415">
        <f xml:space="preserve">
IF($A$4&lt;=12,SUMIFS('ON Data'!AJ:AJ,'ON Data'!$D:$D,$A$4,'ON Data'!$E:$E,5),SUMIFS('ON Data'!AJ:AJ,'ON Data'!$E:$E,5))</f>
        <v>0</v>
      </c>
      <c r="AG14" s="415">
        <f xml:space="preserve">
IF($A$4&lt;=12,SUMIFS('ON Data'!AK:AK,'ON Data'!$D:$D,$A$4,'ON Data'!$E:$E,5),SUMIFS('ON Data'!AK:AK,'ON Data'!$E:$E,5))</f>
        <v>0</v>
      </c>
      <c r="AH14" s="415">
        <f xml:space="preserve">
IF($A$4&lt;=12,SUMIFS('ON Data'!AL:AL,'ON Data'!$D:$D,$A$4,'ON Data'!$E:$E,5),SUMIFS('ON Data'!AL:AL,'ON Data'!$E:$E,5))</f>
        <v>0</v>
      </c>
      <c r="AI14" s="769">
        <f xml:space="preserve">
IF($A$4&lt;=12,SUMIFS('ON Data'!AN:AN,'ON Data'!$D:$D,$A$4,'ON Data'!$E:$E,5),SUMIFS('ON Data'!AN:AN,'ON Data'!$E:$E,5))</f>
        <v>0</v>
      </c>
      <c r="AJ14" s="778"/>
    </row>
    <row r="15" spans="1:36" x14ac:dyDescent="0.3">
      <c r="A15" s="289" t="s">
        <v>252</v>
      </c>
      <c r="B15" s="416"/>
      <c r="C15" s="417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418"/>
      <c r="AH15" s="418"/>
      <c r="AI15" s="770"/>
      <c r="AJ15" s="778"/>
    </row>
    <row r="16" spans="1:36" x14ac:dyDescent="0.3">
      <c r="A16" s="395" t="s">
        <v>243</v>
      </c>
      <c r="B16" s="410">
        <f xml:space="preserve">
IF($A$4&lt;=12,SUMIFS('ON Data'!F:F,'ON Data'!$D:$D,$A$4,'ON Data'!$E:$E,7),SUMIFS('ON Data'!F:F,'ON Data'!$E:$E,7))</f>
        <v>0</v>
      </c>
      <c r="C16" s="411">
        <f xml:space="preserve">
IF($A$4&lt;=12,SUMIFS('ON Data'!G:G,'ON Data'!$D:$D,$A$4,'ON Data'!$E:$E,7),SUMIFS('ON Data'!G:G,'ON Data'!$E:$E,7))</f>
        <v>0</v>
      </c>
      <c r="D16" s="412">
        <f xml:space="preserve">
IF($A$4&lt;=12,SUMIFS('ON Data'!H:H,'ON Data'!$D:$D,$A$4,'ON Data'!$E:$E,7),SUMIFS('ON Data'!H:H,'ON Data'!$E:$E,7))</f>
        <v>0</v>
      </c>
      <c r="E16" s="412">
        <f xml:space="preserve">
IF($A$4&lt;=12,SUMIFS('ON Data'!I:I,'ON Data'!$D:$D,$A$4,'ON Data'!$E:$E,7),SUMIFS('ON Data'!I:I,'ON Data'!$E:$E,7))</f>
        <v>0</v>
      </c>
      <c r="F16" s="412">
        <f xml:space="preserve">
IF($A$4&lt;=12,SUMIFS('ON Data'!J:J,'ON Data'!$D:$D,$A$4,'ON Data'!$E:$E,7),SUMIFS('ON Data'!J:J,'ON Data'!$E:$E,7))</f>
        <v>0</v>
      </c>
      <c r="G16" s="412">
        <f xml:space="preserve">
IF($A$4&lt;=12,SUMIFS('ON Data'!K:K,'ON Data'!$D:$D,$A$4,'ON Data'!$E:$E,7),SUMIFS('ON Data'!K:K,'ON Data'!$E:$E,7))</f>
        <v>0</v>
      </c>
      <c r="H16" s="412">
        <f xml:space="preserve">
IF($A$4&lt;=12,SUMIFS('ON Data'!L:L,'ON Data'!$D:$D,$A$4,'ON Data'!$E:$E,7),SUMIFS('ON Data'!L:L,'ON Data'!$E:$E,7))</f>
        <v>0</v>
      </c>
      <c r="I16" s="412">
        <f xml:space="preserve">
IF($A$4&lt;=12,SUMIFS('ON Data'!M:M,'ON Data'!$D:$D,$A$4,'ON Data'!$E:$E,7),SUMIFS('ON Data'!M:M,'ON Data'!$E:$E,7))</f>
        <v>0</v>
      </c>
      <c r="J16" s="412">
        <f xml:space="preserve">
IF($A$4&lt;=12,SUMIFS('ON Data'!N:N,'ON Data'!$D:$D,$A$4,'ON Data'!$E:$E,7),SUMIFS('ON Data'!N:N,'ON Data'!$E:$E,7))</f>
        <v>0</v>
      </c>
      <c r="K16" s="412">
        <f xml:space="preserve">
IF($A$4&lt;=12,SUMIFS('ON Data'!O:O,'ON Data'!$D:$D,$A$4,'ON Data'!$E:$E,7),SUMIFS('ON Data'!O:O,'ON Data'!$E:$E,7))</f>
        <v>0</v>
      </c>
      <c r="L16" s="412">
        <f xml:space="preserve">
IF($A$4&lt;=12,SUMIFS('ON Data'!P:P,'ON Data'!$D:$D,$A$4,'ON Data'!$E:$E,7),SUMIFS('ON Data'!P:P,'ON Data'!$E:$E,7))</f>
        <v>0</v>
      </c>
      <c r="M16" s="412">
        <f xml:space="preserve">
IF($A$4&lt;=12,SUMIFS('ON Data'!Q:Q,'ON Data'!$D:$D,$A$4,'ON Data'!$E:$E,7),SUMIFS('ON Data'!Q:Q,'ON Data'!$E:$E,7))</f>
        <v>0</v>
      </c>
      <c r="N16" s="412">
        <f xml:space="preserve">
IF($A$4&lt;=12,SUMIFS('ON Data'!R:R,'ON Data'!$D:$D,$A$4,'ON Data'!$E:$E,7),SUMIFS('ON Data'!R:R,'ON Data'!$E:$E,7))</f>
        <v>0</v>
      </c>
      <c r="O16" s="412">
        <f xml:space="preserve">
IF($A$4&lt;=12,SUMIFS('ON Data'!S:S,'ON Data'!$D:$D,$A$4,'ON Data'!$E:$E,7),SUMIFS('ON Data'!S:S,'ON Data'!$E:$E,7))</f>
        <v>0</v>
      </c>
      <c r="P16" s="412">
        <f xml:space="preserve">
IF($A$4&lt;=12,SUMIFS('ON Data'!T:T,'ON Data'!$D:$D,$A$4,'ON Data'!$E:$E,7),SUMIFS('ON Data'!T:T,'ON Data'!$E:$E,7))</f>
        <v>0</v>
      </c>
      <c r="Q16" s="412">
        <f xml:space="preserve">
IF($A$4&lt;=12,SUMIFS('ON Data'!U:U,'ON Data'!$D:$D,$A$4,'ON Data'!$E:$E,7),SUMIFS('ON Data'!U:U,'ON Data'!$E:$E,7))</f>
        <v>0</v>
      </c>
      <c r="R16" s="412">
        <f xml:space="preserve">
IF($A$4&lt;=12,SUMIFS('ON Data'!V:V,'ON Data'!$D:$D,$A$4,'ON Data'!$E:$E,7),SUMIFS('ON Data'!V:V,'ON Data'!$E:$E,7))</f>
        <v>0</v>
      </c>
      <c r="S16" s="412">
        <f xml:space="preserve">
IF($A$4&lt;=12,SUMIFS('ON Data'!W:W,'ON Data'!$D:$D,$A$4,'ON Data'!$E:$E,7),SUMIFS('ON Data'!W:W,'ON Data'!$E:$E,7))</f>
        <v>0</v>
      </c>
      <c r="T16" s="412">
        <f xml:space="preserve">
IF($A$4&lt;=12,SUMIFS('ON Data'!X:X,'ON Data'!$D:$D,$A$4,'ON Data'!$E:$E,7),SUMIFS('ON Data'!X:X,'ON Data'!$E:$E,7))</f>
        <v>0</v>
      </c>
      <c r="U16" s="412">
        <f xml:space="preserve">
IF($A$4&lt;=12,SUMIFS('ON Data'!Y:Y,'ON Data'!$D:$D,$A$4,'ON Data'!$E:$E,7),SUMIFS('ON Data'!Y:Y,'ON Data'!$E:$E,7))</f>
        <v>0</v>
      </c>
      <c r="V16" s="412">
        <f xml:space="preserve">
IF($A$4&lt;=12,SUMIFS('ON Data'!Z:Z,'ON Data'!$D:$D,$A$4,'ON Data'!$E:$E,7),SUMIFS('ON Data'!Z:Z,'ON Data'!$E:$E,7))</f>
        <v>0</v>
      </c>
      <c r="W16" s="412">
        <f xml:space="preserve">
IF($A$4&lt;=12,SUMIFS('ON Data'!AA:AA,'ON Data'!$D:$D,$A$4,'ON Data'!$E:$E,7),SUMIFS('ON Data'!AA:AA,'ON Data'!$E:$E,7))</f>
        <v>0</v>
      </c>
      <c r="X16" s="412">
        <f xml:space="preserve">
IF($A$4&lt;=12,SUMIFS('ON Data'!AB:AB,'ON Data'!$D:$D,$A$4,'ON Data'!$E:$E,7),SUMIFS('ON Data'!AB:AB,'ON Data'!$E:$E,7))</f>
        <v>0</v>
      </c>
      <c r="Y16" s="412">
        <f xml:space="preserve">
IF($A$4&lt;=12,SUMIFS('ON Data'!AC:AC,'ON Data'!$D:$D,$A$4,'ON Data'!$E:$E,7),SUMIFS('ON Data'!AC:AC,'ON Data'!$E:$E,7))</f>
        <v>0</v>
      </c>
      <c r="Z16" s="412">
        <f xml:space="preserve">
IF($A$4&lt;=12,SUMIFS('ON Data'!AD:AD,'ON Data'!$D:$D,$A$4,'ON Data'!$E:$E,7),SUMIFS('ON Data'!AD:AD,'ON Data'!$E:$E,7))</f>
        <v>0</v>
      </c>
      <c r="AA16" s="412">
        <f xml:space="preserve">
IF($A$4&lt;=12,SUMIFS('ON Data'!AE:AE,'ON Data'!$D:$D,$A$4,'ON Data'!$E:$E,7),SUMIFS('ON Data'!AE:AE,'ON Data'!$E:$E,7))</f>
        <v>0</v>
      </c>
      <c r="AB16" s="412">
        <f xml:space="preserve">
IF($A$4&lt;=12,SUMIFS('ON Data'!AF:AF,'ON Data'!$D:$D,$A$4,'ON Data'!$E:$E,7),SUMIFS('ON Data'!AF:AF,'ON Data'!$E:$E,7))</f>
        <v>0</v>
      </c>
      <c r="AC16" s="412">
        <f xml:space="preserve">
IF($A$4&lt;=12,SUMIFS('ON Data'!AG:AG,'ON Data'!$D:$D,$A$4,'ON Data'!$E:$E,7),SUMIFS('ON Data'!AG:AG,'ON Data'!$E:$E,7))</f>
        <v>0</v>
      </c>
      <c r="AD16" s="412">
        <f xml:space="preserve">
IF($A$4&lt;=12,SUMIFS('ON Data'!AH:AH,'ON Data'!$D:$D,$A$4,'ON Data'!$E:$E,7),SUMIFS('ON Data'!AH:AH,'ON Data'!$E:$E,7))</f>
        <v>0</v>
      </c>
      <c r="AE16" s="412">
        <f xml:space="preserve">
IF($A$4&lt;=12,SUMIFS('ON Data'!AI:AI,'ON Data'!$D:$D,$A$4,'ON Data'!$E:$E,7),SUMIFS('ON Data'!AI:AI,'ON Data'!$E:$E,7))</f>
        <v>0</v>
      </c>
      <c r="AF16" s="412">
        <f xml:space="preserve">
IF($A$4&lt;=12,SUMIFS('ON Data'!AJ:AJ,'ON Data'!$D:$D,$A$4,'ON Data'!$E:$E,7),SUMIFS('ON Data'!AJ:AJ,'ON Data'!$E:$E,7))</f>
        <v>0</v>
      </c>
      <c r="AG16" s="412">
        <f xml:space="preserve">
IF($A$4&lt;=12,SUMIFS('ON Data'!AK:AK,'ON Data'!$D:$D,$A$4,'ON Data'!$E:$E,7),SUMIFS('ON Data'!AK:AK,'ON Data'!$E:$E,7))</f>
        <v>0</v>
      </c>
      <c r="AH16" s="412">
        <f xml:space="preserve">
IF($A$4&lt;=12,SUMIFS('ON Data'!AL:AL,'ON Data'!$D:$D,$A$4,'ON Data'!$E:$E,7),SUMIFS('ON Data'!AL:AL,'ON Data'!$E:$E,7))</f>
        <v>0</v>
      </c>
      <c r="AI16" s="768">
        <f xml:space="preserve">
IF($A$4&lt;=12,SUMIFS('ON Data'!AN:AN,'ON Data'!$D:$D,$A$4,'ON Data'!$E:$E,7),SUMIFS('ON Data'!AN:AN,'ON Data'!$E:$E,7))</f>
        <v>0</v>
      </c>
      <c r="AJ16" s="778"/>
    </row>
    <row r="17" spans="1:36" x14ac:dyDescent="0.3">
      <c r="A17" s="395" t="s">
        <v>244</v>
      </c>
      <c r="B17" s="410">
        <f xml:space="preserve">
IF($A$4&lt;=12,SUMIFS('ON Data'!F:F,'ON Data'!$D:$D,$A$4,'ON Data'!$E:$E,8),SUMIFS('ON Data'!F:F,'ON Data'!$E:$E,8))</f>
        <v>0</v>
      </c>
      <c r="C17" s="411">
        <f xml:space="preserve">
IF($A$4&lt;=12,SUMIFS('ON Data'!G:G,'ON Data'!$D:$D,$A$4,'ON Data'!$E:$E,8),SUMIFS('ON Data'!G:G,'ON Data'!$E:$E,8))</f>
        <v>0</v>
      </c>
      <c r="D17" s="412">
        <f xml:space="preserve">
IF($A$4&lt;=12,SUMIFS('ON Data'!H:H,'ON Data'!$D:$D,$A$4,'ON Data'!$E:$E,8),SUMIFS('ON Data'!H:H,'ON Data'!$E:$E,8))</f>
        <v>0</v>
      </c>
      <c r="E17" s="412">
        <f xml:space="preserve">
IF($A$4&lt;=12,SUMIFS('ON Data'!I:I,'ON Data'!$D:$D,$A$4,'ON Data'!$E:$E,8),SUMIFS('ON Data'!I:I,'ON Data'!$E:$E,8))</f>
        <v>0</v>
      </c>
      <c r="F17" s="412">
        <f xml:space="preserve">
IF($A$4&lt;=12,SUMIFS('ON Data'!J:J,'ON Data'!$D:$D,$A$4,'ON Data'!$E:$E,8),SUMIFS('ON Data'!J:J,'ON Data'!$E:$E,8))</f>
        <v>0</v>
      </c>
      <c r="G17" s="412">
        <f xml:space="preserve">
IF($A$4&lt;=12,SUMIFS('ON Data'!K:K,'ON Data'!$D:$D,$A$4,'ON Data'!$E:$E,8),SUMIFS('ON Data'!K:K,'ON Data'!$E:$E,8))</f>
        <v>0</v>
      </c>
      <c r="H17" s="412">
        <f xml:space="preserve">
IF($A$4&lt;=12,SUMIFS('ON Data'!L:L,'ON Data'!$D:$D,$A$4,'ON Data'!$E:$E,8),SUMIFS('ON Data'!L:L,'ON Data'!$E:$E,8))</f>
        <v>0</v>
      </c>
      <c r="I17" s="412">
        <f xml:space="preserve">
IF($A$4&lt;=12,SUMIFS('ON Data'!M:M,'ON Data'!$D:$D,$A$4,'ON Data'!$E:$E,8),SUMIFS('ON Data'!M:M,'ON Data'!$E:$E,8))</f>
        <v>0</v>
      </c>
      <c r="J17" s="412">
        <f xml:space="preserve">
IF($A$4&lt;=12,SUMIFS('ON Data'!N:N,'ON Data'!$D:$D,$A$4,'ON Data'!$E:$E,8),SUMIFS('ON Data'!N:N,'ON Data'!$E:$E,8))</f>
        <v>0</v>
      </c>
      <c r="K17" s="412">
        <f xml:space="preserve">
IF($A$4&lt;=12,SUMIFS('ON Data'!O:O,'ON Data'!$D:$D,$A$4,'ON Data'!$E:$E,8),SUMIFS('ON Data'!O:O,'ON Data'!$E:$E,8))</f>
        <v>0</v>
      </c>
      <c r="L17" s="412">
        <f xml:space="preserve">
IF($A$4&lt;=12,SUMIFS('ON Data'!P:P,'ON Data'!$D:$D,$A$4,'ON Data'!$E:$E,8),SUMIFS('ON Data'!P:P,'ON Data'!$E:$E,8))</f>
        <v>0</v>
      </c>
      <c r="M17" s="412">
        <f xml:space="preserve">
IF($A$4&lt;=12,SUMIFS('ON Data'!Q:Q,'ON Data'!$D:$D,$A$4,'ON Data'!$E:$E,8),SUMIFS('ON Data'!Q:Q,'ON Data'!$E:$E,8))</f>
        <v>0</v>
      </c>
      <c r="N17" s="412">
        <f xml:space="preserve">
IF($A$4&lt;=12,SUMIFS('ON Data'!R:R,'ON Data'!$D:$D,$A$4,'ON Data'!$E:$E,8),SUMIFS('ON Data'!R:R,'ON Data'!$E:$E,8))</f>
        <v>0</v>
      </c>
      <c r="O17" s="412">
        <f xml:space="preserve">
IF($A$4&lt;=12,SUMIFS('ON Data'!S:S,'ON Data'!$D:$D,$A$4,'ON Data'!$E:$E,8),SUMIFS('ON Data'!S:S,'ON Data'!$E:$E,8))</f>
        <v>0</v>
      </c>
      <c r="P17" s="412">
        <f xml:space="preserve">
IF($A$4&lt;=12,SUMIFS('ON Data'!T:T,'ON Data'!$D:$D,$A$4,'ON Data'!$E:$E,8),SUMIFS('ON Data'!T:T,'ON Data'!$E:$E,8))</f>
        <v>0</v>
      </c>
      <c r="Q17" s="412">
        <f xml:space="preserve">
IF($A$4&lt;=12,SUMIFS('ON Data'!U:U,'ON Data'!$D:$D,$A$4,'ON Data'!$E:$E,8),SUMIFS('ON Data'!U:U,'ON Data'!$E:$E,8))</f>
        <v>0</v>
      </c>
      <c r="R17" s="412">
        <f xml:space="preserve">
IF($A$4&lt;=12,SUMIFS('ON Data'!V:V,'ON Data'!$D:$D,$A$4,'ON Data'!$E:$E,8),SUMIFS('ON Data'!V:V,'ON Data'!$E:$E,8))</f>
        <v>0</v>
      </c>
      <c r="S17" s="412">
        <f xml:space="preserve">
IF($A$4&lt;=12,SUMIFS('ON Data'!W:W,'ON Data'!$D:$D,$A$4,'ON Data'!$E:$E,8),SUMIFS('ON Data'!W:W,'ON Data'!$E:$E,8))</f>
        <v>0</v>
      </c>
      <c r="T17" s="412">
        <f xml:space="preserve">
IF($A$4&lt;=12,SUMIFS('ON Data'!X:X,'ON Data'!$D:$D,$A$4,'ON Data'!$E:$E,8),SUMIFS('ON Data'!X:X,'ON Data'!$E:$E,8))</f>
        <v>0</v>
      </c>
      <c r="U17" s="412">
        <f xml:space="preserve">
IF($A$4&lt;=12,SUMIFS('ON Data'!Y:Y,'ON Data'!$D:$D,$A$4,'ON Data'!$E:$E,8),SUMIFS('ON Data'!Y:Y,'ON Data'!$E:$E,8))</f>
        <v>0</v>
      </c>
      <c r="V17" s="412">
        <f xml:space="preserve">
IF($A$4&lt;=12,SUMIFS('ON Data'!Z:Z,'ON Data'!$D:$D,$A$4,'ON Data'!$E:$E,8),SUMIFS('ON Data'!Z:Z,'ON Data'!$E:$E,8))</f>
        <v>0</v>
      </c>
      <c r="W17" s="412">
        <f xml:space="preserve">
IF($A$4&lt;=12,SUMIFS('ON Data'!AA:AA,'ON Data'!$D:$D,$A$4,'ON Data'!$E:$E,8),SUMIFS('ON Data'!AA:AA,'ON Data'!$E:$E,8))</f>
        <v>0</v>
      </c>
      <c r="X17" s="412">
        <f xml:space="preserve">
IF($A$4&lt;=12,SUMIFS('ON Data'!AB:AB,'ON Data'!$D:$D,$A$4,'ON Data'!$E:$E,8),SUMIFS('ON Data'!AB:AB,'ON Data'!$E:$E,8))</f>
        <v>0</v>
      </c>
      <c r="Y17" s="412">
        <f xml:space="preserve">
IF($A$4&lt;=12,SUMIFS('ON Data'!AC:AC,'ON Data'!$D:$D,$A$4,'ON Data'!$E:$E,8),SUMIFS('ON Data'!AC:AC,'ON Data'!$E:$E,8))</f>
        <v>0</v>
      </c>
      <c r="Z17" s="412">
        <f xml:space="preserve">
IF($A$4&lt;=12,SUMIFS('ON Data'!AD:AD,'ON Data'!$D:$D,$A$4,'ON Data'!$E:$E,8),SUMIFS('ON Data'!AD:AD,'ON Data'!$E:$E,8))</f>
        <v>0</v>
      </c>
      <c r="AA17" s="412">
        <f xml:space="preserve">
IF($A$4&lt;=12,SUMIFS('ON Data'!AE:AE,'ON Data'!$D:$D,$A$4,'ON Data'!$E:$E,8),SUMIFS('ON Data'!AE:AE,'ON Data'!$E:$E,8))</f>
        <v>0</v>
      </c>
      <c r="AB17" s="412">
        <f xml:space="preserve">
IF($A$4&lt;=12,SUMIFS('ON Data'!AF:AF,'ON Data'!$D:$D,$A$4,'ON Data'!$E:$E,8),SUMIFS('ON Data'!AF:AF,'ON Data'!$E:$E,8))</f>
        <v>0</v>
      </c>
      <c r="AC17" s="412">
        <f xml:space="preserve">
IF($A$4&lt;=12,SUMIFS('ON Data'!AG:AG,'ON Data'!$D:$D,$A$4,'ON Data'!$E:$E,8),SUMIFS('ON Data'!AG:AG,'ON Data'!$E:$E,8))</f>
        <v>0</v>
      </c>
      <c r="AD17" s="412">
        <f xml:space="preserve">
IF($A$4&lt;=12,SUMIFS('ON Data'!AH:AH,'ON Data'!$D:$D,$A$4,'ON Data'!$E:$E,8),SUMIFS('ON Data'!AH:AH,'ON Data'!$E:$E,8))</f>
        <v>0</v>
      </c>
      <c r="AE17" s="412">
        <f xml:space="preserve">
IF($A$4&lt;=12,SUMIFS('ON Data'!AI:AI,'ON Data'!$D:$D,$A$4,'ON Data'!$E:$E,8),SUMIFS('ON Data'!AI:AI,'ON Data'!$E:$E,8))</f>
        <v>0</v>
      </c>
      <c r="AF17" s="412">
        <f xml:space="preserve">
IF($A$4&lt;=12,SUMIFS('ON Data'!AJ:AJ,'ON Data'!$D:$D,$A$4,'ON Data'!$E:$E,8),SUMIFS('ON Data'!AJ:AJ,'ON Data'!$E:$E,8))</f>
        <v>0</v>
      </c>
      <c r="AG17" s="412">
        <f xml:space="preserve">
IF($A$4&lt;=12,SUMIFS('ON Data'!AK:AK,'ON Data'!$D:$D,$A$4,'ON Data'!$E:$E,8),SUMIFS('ON Data'!AK:AK,'ON Data'!$E:$E,8))</f>
        <v>0</v>
      </c>
      <c r="AH17" s="412">
        <f xml:space="preserve">
IF($A$4&lt;=12,SUMIFS('ON Data'!AL:AL,'ON Data'!$D:$D,$A$4,'ON Data'!$E:$E,8),SUMIFS('ON Data'!AL:AL,'ON Data'!$E:$E,8))</f>
        <v>0</v>
      </c>
      <c r="AI17" s="768">
        <f xml:space="preserve">
IF($A$4&lt;=12,SUMIFS('ON Data'!AN:AN,'ON Data'!$D:$D,$A$4,'ON Data'!$E:$E,8),SUMIFS('ON Data'!AN:AN,'ON Data'!$E:$E,8))</f>
        <v>0</v>
      </c>
      <c r="AJ17" s="778"/>
    </row>
    <row r="18" spans="1:36" x14ac:dyDescent="0.3">
      <c r="A18" s="395" t="s">
        <v>245</v>
      </c>
      <c r="B18" s="410">
        <f xml:space="preserve">
B19-B16-B17</f>
        <v>45170</v>
      </c>
      <c r="C18" s="411">
        <f t="shared" ref="C18:H18" si="0" xml:space="preserve">
C19-C16-C17</f>
        <v>0</v>
      </c>
      <c r="D18" s="412">
        <f t="shared" si="0"/>
        <v>4700</v>
      </c>
      <c r="E18" s="412">
        <f t="shared" si="0"/>
        <v>0</v>
      </c>
      <c r="F18" s="412">
        <f t="shared" si="0"/>
        <v>10000</v>
      </c>
      <c r="G18" s="412">
        <f t="shared" si="0"/>
        <v>6000</v>
      </c>
      <c r="H18" s="412">
        <f t="shared" si="0"/>
        <v>0</v>
      </c>
      <c r="I18" s="412">
        <f t="shared" ref="I18:AI18" si="1" xml:space="preserve">
I19-I16-I17</f>
        <v>0</v>
      </c>
      <c r="J18" s="412">
        <f t="shared" si="1"/>
        <v>7400</v>
      </c>
      <c r="K18" s="412">
        <f t="shared" si="1"/>
        <v>2590</v>
      </c>
      <c r="L18" s="412">
        <f t="shared" si="1"/>
        <v>0</v>
      </c>
      <c r="M18" s="412">
        <f t="shared" si="1"/>
        <v>0</v>
      </c>
      <c r="N18" s="412">
        <f t="shared" si="1"/>
        <v>0</v>
      </c>
      <c r="O18" s="412">
        <f t="shared" si="1"/>
        <v>0</v>
      </c>
      <c r="P18" s="412">
        <f t="shared" si="1"/>
        <v>590</v>
      </c>
      <c r="Q18" s="412">
        <f t="shared" si="1"/>
        <v>0</v>
      </c>
      <c r="R18" s="412">
        <f t="shared" si="1"/>
        <v>0</v>
      </c>
      <c r="S18" s="412">
        <f t="shared" si="1"/>
        <v>0</v>
      </c>
      <c r="T18" s="412">
        <f t="shared" si="1"/>
        <v>0</v>
      </c>
      <c r="U18" s="412">
        <f t="shared" si="1"/>
        <v>0</v>
      </c>
      <c r="V18" s="412">
        <f t="shared" si="1"/>
        <v>0</v>
      </c>
      <c r="W18" s="412">
        <f t="shared" si="1"/>
        <v>0</v>
      </c>
      <c r="X18" s="412">
        <f t="shared" si="1"/>
        <v>0</v>
      </c>
      <c r="Y18" s="412">
        <f t="shared" si="1"/>
        <v>0</v>
      </c>
      <c r="Z18" s="412">
        <f t="shared" si="1"/>
        <v>0</v>
      </c>
      <c r="AA18" s="412">
        <f t="shared" si="1"/>
        <v>0</v>
      </c>
      <c r="AB18" s="412">
        <f t="shared" si="1"/>
        <v>0</v>
      </c>
      <c r="AC18" s="412">
        <f t="shared" si="1"/>
        <v>0</v>
      </c>
      <c r="AD18" s="412">
        <f t="shared" si="1"/>
        <v>0</v>
      </c>
      <c r="AE18" s="412">
        <f t="shared" si="1"/>
        <v>1590</v>
      </c>
      <c r="AF18" s="412">
        <f t="shared" si="1"/>
        <v>0</v>
      </c>
      <c r="AG18" s="412">
        <f t="shared" si="1"/>
        <v>0</v>
      </c>
      <c r="AH18" s="412">
        <f t="shared" si="1"/>
        <v>0</v>
      </c>
      <c r="AI18" s="768">
        <f t="shared" si="1"/>
        <v>12300</v>
      </c>
      <c r="AJ18" s="778"/>
    </row>
    <row r="19" spans="1:36" ht="15" thickBot="1" x14ac:dyDescent="0.35">
      <c r="A19" s="396" t="s">
        <v>246</v>
      </c>
      <c r="B19" s="419">
        <f xml:space="preserve">
IF($A$4&lt;=12,SUMIFS('ON Data'!F:F,'ON Data'!$D:$D,$A$4,'ON Data'!$E:$E,9),SUMIFS('ON Data'!F:F,'ON Data'!$E:$E,9))</f>
        <v>45170</v>
      </c>
      <c r="C19" s="420">
        <f xml:space="preserve">
IF($A$4&lt;=12,SUMIFS('ON Data'!G:G,'ON Data'!$D:$D,$A$4,'ON Data'!$E:$E,9),SUMIFS('ON Data'!G:G,'ON Data'!$E:$E,9))</f>
        <v>0</v>
      </c>
      <c r="D19" s="421">
        <f xml:space="preserve">
IF($A$4&lt;=12,SUMIFS('ON Data'!H:H,'ON Data'!$D:$D,$A$4,'ON Data'!$E:$E,9),SUMIFS('ON Data'!H:H,'ON Data'!$E:$E,9))</f>
        <v>4700</v>
      </c>
      <c r="E19" s="421">
        <f xml:space="preserve">
IF($A$4&lt;=12,SUMIFS('ON Data'!I:I,'ON Data'!$D:$D,$A$4,'ON Data'!$E:$E,9),SUMIFS('ON Data'!I:I,'ON Data'!$E:$E,9))</f>
        <v>0</v>
      </c>
      <c r="F19" s="421">
        <f xml:space="preserve">
IF($A$4&lt;=12,SUMIFS('ON Data'!J:J,'ON Data'!$D:$D,$A$4,'ON Data'!$E:$E,9),SUMIFS('ON Data'!J:J,'ON Data'!$E:$E,9))</f>
        <v>10000</v>
      </c>
      <c r="G19" s="421">
        <f xml:space="preserve">
IF($A$4&lt;=12,SUMIFS('ON Data'!K:K,'ON Data'!$D:$D,$A$4,'ON Data'!$E:$E,9),SUMIFS('ON Data'!K:K,'ON Data'!$E:$E,9))</f>
        <v>6000</v>
      </c>
      <c r="H19" s="421">
        <f xml:space="preserve">
IF($A$4&lt;=12,SUMIFS('ON Data'!L:L,'ON Data'!$D:$D,$A$4,'ON Data'!$E:$E,9),SUMIFS('ON Data'!L:L,'ON Data'!$E:$E,9))</f>
        <v>0</v>
      </c>
      <c r="I19" s="421">
        <f xml:space="preserve">
IF($A$4&lt;=12,SUMIFS('ON Data'!M:M,'ON Data'!$D:$D,$A$4,'ON Data'!$E:$E,9),SUMIFS('ON Data'!M:M,'ON Data'!$E:$E,9))</f>
        <v>0</v>
      </c>
      <c r="J19" s="421">
        <f xml:space="preserve">
IF($A$4&lt;=12,SUMIFS('ON Data'!N:N,'ON Data'!$D:$D,$A$4,'ON Data'!$E:$E,9),SUMIFS('ON Data'!N:N,'ON Data'!$E:$E,9))</f>
        <v>7400</v>
      </c>
      <c r="K19" s="421">
        <f xml:space="preserve">
IF($A$4&lt;=12,SUMIFS('ON Data'!O:O,'ON Data'!$D:$D,$A$4,'ON Data'!$E:$E,9),SUMIFS('ON Data'!O:O,'ON Data'!$E:$E,9))</f>
        <v>2590</v>
      </c>
      <c r="L19" s="421">
        <f xml:space="preserve">
IF($A$4&lt;=12,SUMIFS('ON Data'!P:P,'ON Data'!$D:$D,$A$4,'ON Data'!$E:$E,9),SUMIFS('ON Data'!P:P,'ON Data'!$E:$E,9))</f>
        <v>0</v>
      </c>
      <c r="M19" s="421">
        <f xml:space="preserve">
IF($A$4&lt;=12,SUMIFS('ON Data'!Q:Q,'ON Data'!$D:$D,$A$4,'ON Data'!$E:$E,9),SUMIFS('ON Data'!Q:Q,'ON Data'!$E:$E,9))</f>
        <v>0</v>
      </c>
      <c r="N19" s="421">
        <f xml:space="preserve">
IF($A$4&lt;=12,SUMIFS('ON Data'!R:R,'ON Data'!$D:$D,$A$4,'ON Data'!$E:$E,9),SUMIFS('ON Data'!R:R,'ON Data'!$E:$E,9))</f>
        <v>0</v>
      </c>
      <c r="O19" s="421">
        <f xml:space="preserve">
IF($A$4&lt;=12,SUMIFS('ON Data'!S:S,'ON Data'!$D:$D,$A$4,'ON Data'!$E:$E,9),SUMIFS('ON Data'!S:S,'ON Data'!$E:$E,9))</f>
        <v>0</v>
      </c>
      <c r="P19" s="421">
        <f xml:space="preserve">
IF($A$4&lt;=12,SUMIFS('ON Data'!T:T,'ON Data'!$D:$D,$A$4,'ON Data'!$E:$E,9),SUMIFS('ON Data'!T:T,'ON Data'!$E:$E,9))</f>
        <v>590</v>
      </c>
      <c r="Q19" s="421">
        <f xml:space="preserve">
IF($A$4&lt;=12,SUMIFS('ON Data'!U:U,'ON Data'!$D:$D,$A$4,'ON Data'!$E:$E,9),SUMIFS('ON Data'!U:U,'ON Data'!$E:$E,9))</f>
        <v>0</v>
      </c>
      <c r="R19" s="421">
        <f xml:space="preserve">
IF($A$4&lt;=12,SUMIFS('ON Data'!V:V,'ON Data'!$D:$D,$A$4,'ON Data'!$E:$E,9),SUMIFS('ON Data'!V:V,'ON Data'!$E:$E,9))</f>
        <v>0</v>
      </c>
      <c r="S19" s="421">
        <f xml:space="preserve">
IF($A$4&lt;=12,SUMIFS('ON Data'!W:W,'ON Data'!$D:$D,$A$4,'ON Data'!$E:$E,9),SUMIFS('ON Data'!W:W,'ON Data'!$E:$E,9))</f>
        <v>0</v>
      </c>
      <c r="T19" s="421">
        <f xml:space="preserve">
IF($A$4&lt;=12,SUMIFS('ON Data'!X:X,'ON Data'!$D:$D,$A$4,'ON Data'!$E:$E,9),SUMIFS('ON Data'!X:X,'ON Data'!$E:$E,9))</f>
        <v>0</v>
      </c>
      <c r="U19" s="421">
        <f xml:space="preserve">
IF($A$4&lt;=12,SUMIFS('ON Data'!Y:Y,'ON Data'!$D:$D,$A$4,'ON Data'!$E:$E,9),SUMIFS('ON Data'!Y:Y,'ON Data'!$E:$E,9))</f>
        <v>0</v>
      </c>
      <c r="V19" s="421">
        <f xml:space="preserve">
IF($A$4&lt;=12,SUMIFS('ON Data'!Z:Z,'ON Data'!$D:$D,$A$4,'ON Data'!$E:$E,9),SUMIFS('ON Data'!Z:Z,'ON Data'!$E:$E,9))</f>
        <v>0</v>
      </c>
      <c r="W19" s="421">
        <f xml:space="preserve">
IF($A$4&lt;=12,SUMIFS('ON Data'!AA:AA,'ON Data'!$D:$D,$A$4,'ON Data'!$E:$E,9),SUMIFS('ON Data'!AA:AA,'ON Data'!$E:$E,9))</f>
        <v>0</v>
      </c>
      <c r="X19" s="421">
        <f xml:space="preserve">
IF($A$4&lt;=12,SUMIFS('ON Data'!AB:AB,'ON Data'!$D:$D,$A$4,'ON Data'!$E:$E,9),SUMIFS('ON Data'!AB:AB,'ON Data'!$E:$E,9))</f>
        <v>0</v>
      </c>
      <c r="Y19" s="421">
        <f xml:space="preserve">
IF($A$4&lt;=12,SUMIFS('ON Data'!AC:AC,'ON Data'!$D:$D,$A$4,'ON Data'!$E:$E,9),SUMIFS('ON Data'!AC:AC,'ON Data'!$E:$E,9))</f>
        <v>0</v>
      </c>
      <c r="Z19" s="421">
        <f xml:space="preserve">
IF($A$4&lt;=12,SUMIFS('ON Data'!AD:AD,'ON Data'!$D:$D,$A$4,'ON Data'!$E:$E,9),SUMIFS('ON Data'!AD:AD,'ON Data'!$E:$E,9))</f>
        <v>0</v>
      </c>
      <c r="AA19" s="421">
        <f xml:space="preserve">
IF($A$4&lt;=12,SUMIFS('ON Data'!AE:AE,'ON Data'!$D:$D,$A$4,'ON Data'!$E:$E,9),SUMIFS('ON Data'!AE:AE,'ON Data'!$E:$E,9))</f>
        <v>0</v>
      </c>
      <c r="AB19" s="421">
        <f xml:space="preserve">
IF($A$4&lt;=12,SUMIFS('ON Data'!AF:AF,'ON Data'!$D:$D,$A$4,'ON Data'!$E:$E,9),SUMIFS('ON Data'!AF:AF,'ON Data'!$E:$E,9))</f>
        <v>0</v>
      </c>
      <c r="AC19" s="421">
        <f xml:space="preserve">
IF($A$4&lt;=12,SUMIFS('ON Data'!AG:AG,'ON Data'!$D:$D,$A$4,'ON Data'!$E:$E,9),SUMIFS('ON Data'!AG:AG,'ON Data'!$E:$E,9))</f>
        <v>0</v>
      </c>
      <c r="AD19" s="421">
        <f xml:space="preserve">
IF($A$4&lt;=12,SUMIFS('ON Data'!AH:AH,'ON Data'!$D:$D,$A$4,'ON Data'!$E:$E,9),SUMIFS('ON Data'!AH:AH,'ON Data'!$E:$E,9))</f>
        <v>0</v>
      </c>
      <c r="AE19" s="421">
        <f xml:space="preserve">
IF($A$4&lt;=12,SUMIFS('ON Data'!AI:AI,'ON Data'!$D:$D,$A$4,'ON Data'!$E:$E,9),SUMIFS('ON Data'!AI:AI,'ON Data'!$E:$E,9))</f>
        <v>1590</v>
      </c>
      <c r="AF19" s="421">
        <f xml:space="preserve">
IF($A$4&lt;=12,SUMIFS('ON Data'!AJ:AJ,'ON Data'!$D:$D,$A$4,'ON Data'!$E:$E,9),SUMIFS('ON Data'!AJ:AJ,'ON Data'!$E:$E,9))</f>
        <v>0</v>
      </c>
      <c r="AG19" s="421">
        <f xml:space="preserve">
IF($A$4&lt;=12,SUMIFS('ON Data'!AK:AK,'ON Data'!$D:$D,$A$4,'ON Data'!$E:$E,9),SUMIFS('ON Data'!AK:AK,'ON Data'!$E:$E,9))</f>
        <v>0</v>
      </c>
      <c r="AH19" s="421">
        <f xml:space="preserve">
IF($A$4&lt;=12,SUMIFS('ON Data'!AL:AL,'ON Data'!$D:$D,$A$4,'ON Data'!$E:$E,9),SUMIFS('ON Data'!AL:AL,'ON Data'!$E:$E,9))</f>
        <v>0</v>
      </c>
      <c r="AI19" s="771">
        <f xml:space="preserve">
IF($A$4&lt;=12,SUMIFS('ON Data'!AN:AN,'ON Data'!$D:$D,$A$4,'ON Data'!$E:$E,9),SUMIFS('ON Data'!AN:AN,'ON Data'!$E:$E,9))</f>
        <v>12300</v>
      </c>
      <c r="AJ19" s="778"/>
    </row>
    <row r="20" spans="1:36" ht="15" collapsed="1" thickBot="1" x14ac:dyDescent="0.35">
      <c r="A20" s="397" t="s">
        <v>94</v>
      </c>
      <c r="B20" s="422">
        <f xml:space="preserve">
IF($A$4&lt;=12,SUMIFS('ON Data'!F:F,'ON Data'!$D:$D,$A$4,'ON Data'!$E:$E,6),SUMIFS('ON Data'!F:F,'ON Data'!$E:$E,6))</f>
        <v>4302575</v>
      </c>
      <c r="C20" s="423">
        <f xml:space="preserve">
IF($A$4&lt;=12,SUMIFS('ON Data'!G:G,'ON Data'!$D:$D,$A$4,'ON Data'!$E:$E,6),SUMIFS('ON Data'!G:G,'ON Data'!$E:$E,6))</f>
        <v>0</v>
      </c>
      <c r="D20" s="424">
        <f xml:space="preserve">
IF($A$4&lt;=12,SUMIFS('ON Data'!H:H,'ON Data'!$D:$D,$A$4,'ON Data'!$E:$E,6),SUMIFS('ON Data'!H:H,'ON Data'!$E:$E,6))</f>
        <v>2003895</v>
      </c>
      <c r="E20" s="424">
        <f xml:space="preserve">
IF($A$4&lt;=12,SUMIFS('ON Data'!I:I,'ON Data'!$D:$D,$A$4,'ON Data'!$E:$E,6),SUMIFS('ON Data'!I:I,'ON Data'!$E:$E,6))</f>
        <v>0</v>
      </c>
      <c r="F20" s="424">
        <f xml:space="preserve">
IF($A$4&lt;=12,SUMIFS('ON Data'!J:J,'ON Data'!$D:$D,$A$4,'ON Data'!$E:$E,6),SUMIFS('ON Data'!J:J,'ON Data'!$E:$E,6))</f>
        <v>162151</v>
      </c>
      <c r="G20" s="424">
        <f xml:space="preserve">
IF($A$4&lt;=12,SUMIFS('ON Data'!K:K,'ON Data'!$D:$D,$A$4,'ON Data'!$E:$E,6),SUMIFS('ON Data'!K:K,'ON Data'!$E:$E,6))</f>
        <v>507276</v>
      </c>
      <c r="H20" s="424">
        <f xml:space="preserve">
IF($A$4&lt;=12,SUMIFS('ON Data'!L:L,'ON Data'!$D:$D,$A$4,'ON Data'!$E:$E,6),SUMIFS('ON Data'!L:L,'ON Data'!$E:$E,6))</f>
        <v>0</v>
      </c>
      <c r="I20" s="424">
        <f xml:space="preserve">
IF($A$4&lt;=12,SUMIFS('ON Data'!M:M,'ON Data'!$D:$D,$A$4,'ON Data'!$E:$E,6),SUMIFS('ON Data'!M:M,'ON Data'!$E:$E,6))</f>
        <v>0</v>
      </c>
      <c r="J20" s="424">
        <f xml:space="preserve">
IF($A$4&lt;=12,SUMIFS('ON Data'!N:N,'ON Data'!$D:$D,$A$4,'ON Data'!$E:$E,6),SUMIFS('ON Data'!N:N,'ON Data'!$E:$E,6))</f>
        <v>1110672</v>
      </c>
      <c r="K20" s="424">
        <f xml:space="preserve">
IF($A$4&lt;=12,SUMIFS('ON Data'!O:O,'ON Data'!$D:$D,$A$4,'ON Data'!$E:$E,6),SUMIFS('ON Data'!O:O,'ON Data'!$E:$E,6))</f>
        <v>91669</v>
      </c>
      <c r="L20" s="424">
        <f xml:space="preserve">
IF($A$4&lt;=12,SUMIFS('ON Data'!P:P,'ON Data'!$D:$D,$A$4,'ON Data'!$E:$E,6),SUMIFS('ON Data'!P:P,'ON Data'!$E:$E,6))</f>
        <v>0</v>
      </c>
      <c r="M20" s="424">
        <f xml:space="preserve">
IF($A$4&lt;=12,SUMIFS('ON Data'!Q:Q,'ON Data'!$D:$D,$A$4,'ON Data'!$E:$E,6),SUMIFS('ON Data'!Q:Q,'ON Data'!$E:$E,6))</f>
        <v>0</v>
      </c>
      <c r="N20" s="424">
        <f xml:space="preserve">
IF($A$4&lt;=12,SUMIFS('ON Data'!R:R,'ON Data'!$D:$D,$A$4,'ON Data'!$E:$E,6),SUMIFS('ON Data'!R:R,'ON Data'!$E:$E,6))</f>
        <v>0</v>
      </c>
      <c r="O20" s="424">
        <f xml:space="preserve">
IF($A$4&lt;=12,SUMIFS('ON Data'!S:S,'ON Data'!$D:$D,$A$4,'ON Data'!$E:$E,6),SUMIFS('ON Data'!S:S,'ON Data'!$E:$E,6))</f>
        <v>0</v>
      </c>
      <c r="P20" s="424">
        <f xml:space="preserve">
IF($A$4&lt;=12,SUMIFS('ON Data'!T:T,'ON Data'!$D:$D,$A$4,'ON Data'!$E:$E,6),SUMIFS('ON Data'!T:T,'ON Data'!$E:$E,6))</f>
        <v>126581</v>
      </c>
      <c r="Q20" s="424">
        <f xml:space="preserve">
IF($A$4&lt;=12,SUMIFS('ON Data'!U:U,'ON Data'!$D:$D,$A$4,'ON Data'!$E:$E,6),SUMIFS('ON Data'!U:U,'ON Data'!$E:$E,6))</f>
        <v>0</v>
      </c>
      <c r="R20" s="424">
        <f xml:space="preserve">
IF($A$4&lt;=12,SUMIFS('ON Data'!V:V,'ON Data'!$D:$D,$A$4,'ON Data'!$E:$E,6),SUMIFS('ON Data'!V:V,'ON Data'!$E:$E,6))</f>
        <v>0</v>
      </c>
      <c r="S20" s="424">
        <f xml:space="preserve">
IF($A$4&lt;=12,SUMIFS('ON Data'!W:W,'ON Data'!$D:$D,$A$4,'ON Data'!$E:$E,6),SUMIFS('ON Data'!W:W,'ON Data'!$E:$E,6))</f>
        <v>0</v>
      </c>
      <c r="T20" s="424">
        <f xml:space="preserve">
IF($A$4&lt;=12,SUMIFS('ON Data'!X:X,'ON Data'!$D:$D,$A$4,'ON Data'!$E:$E,6),SUMIFS('ON Data'!X:X,'ON Data'!$E:$E,6))</f>
        <v>0</v>
      </c>
      <c r="U20" s="424">
        <f xml:space="preserve">
IF($A$4&lt;=12,SUMIFS('ON Data'!Y:Y,'ON Data'!$D:$D,$A$4,'ON Data'!$E:$E,6),SUMIFS('ON Data'!Y:Y,'ON Data'!$E:$E,6))</f>
        <v>0</v>
      </c>
      <c r="V20" s="424">
        <f xml:space="preserve">
IF($A$4&lt;=12,SUMIFS('ON Data'!Z:Z,'ON Data'!$D:$D,$A$4,'ON Data'!$E:$E,6),SUMIFS('ON Data'!Z:Z,'ON Data'!$E:$E,6))</f>
        <v>0</v>
      </c>
      <c r="W20" s="424">
        <f xml:space="preserve">
IF($A$4&lt;=12,SUMIFS('ON Data'!AA:AA,'ON Data'!$D:$D,$A$4,'ON Data'!$E:$E,6),SUMIFS('ON Data'!AA:AA,'ON Data'!$E:$E,6))</f>
        <v>0</v>
      </c>
      <c r="X20" s="424">
        <f xml:space="preserve">
IF($A$4&lt;=12,SUMIFS('ON Data'!AB:AB,'ON Data'!$D:$D,$A$4,'ON Data'!$E:$E,6),SUMIFS('ON Data'!AB:AB,'ON Data'!$E:$E,6))</f>
        <v>0</v>
      </c>
      <c r="Y20" s="424">
        <f xml:space="preserve">
IF($A$4&lt;=12,SUMIFS('ON Data'!AC:AC,'ON Data'!$D:$D,$A$4,'ON Data'!$E:$E,6),SUMIFS('ON Data'!AC:AC,'ON Data'!$E:$E,6))</f>
        <v>0</v>
      </c>
      <c r="Z20" s="424">
        <f xml:space="preserve">
IF($A$4&lt;=12,SUMIFS('ON Data'!AD:AD,'ON Data'!$D:$D,$A$4,'ON Data'!$E:$E,6),SUMIFS('ON Data'!AD:AD,'ON Data'!$E:$E,6))</f>
        <v>0</v>
      </c>
      <c r="AA20" s="424">
        <f xml:space="preserve">
IF($A$4&lt;=12,SUMIFS('ON Data'!AE:AE,'ON Data'!$D:$D,$A$4,'ON Data'!$E:$E,6),SUMIFS('ON Data'!AE:AE,'ON Data'!$E:$E,6))</f>
        <v>0</v>
      </c>
      <c r="AB20" s="424">
        <f xml:space="preserve">
IF($A$4&lt;=12,SUMIFS('ON Data'!AF:AF,'ON Data'!$D:$D,$A$4,'ON Data'!$E:$E,6),SUMIFS('ON Data'!AF:AF,'ON Data'!$E:$E,6))</f>
        <v>0</v>
      </c>
      <c r="AC20" s="424">
        <f xml:space="preserve">
IF($A$4&lt;=12,SUMIFS('ON Data'!AG:AG,'ON Data'!$D:$D,$A$4,'ON Data'!$E:$E,6),SUMIFS('ON Data'!AG:AG,'ON Data'!$E:$E,6))</f>
        <v>0</v>
      </c>
      <c r="AD20" s="424">
        <f xml:space="preserve">
IF($A$4&lt;=12,SUMIFS('ON Data'!AH:AH,'ON Data'!$D:$D,$A$4,'ON Data'!$E:$E,6),SUMIFS('ON Data'!AH:AH,'ON Data'!$E:$E,6))</f>
        <v>0</v>
      </c>
      <c r="AE20" s="424">
        <f xml:space="preserve">
IF($A$4&lt;=12,SUMIFS('ON Data'!AI:AI,'ON Data'!$D:$D,$A$4,'ON Data'!$E:$E,6),SUMIFS('ON Data'!AI:AI,'ON Data'!$E:$E,6))</f>
        <v>90724</v>
      </c>
      <c r="AF20" s="424">
        <f xml:space="preserve">
IF($A$4&lt;=12,SUMIFS('ON Data'!AJ:AJ,'ON Data'!$D:$D,$A$4,'ON Data'!$E:$E,6),SUMIFS('ON Data'!AJ:AJ,'ON Data'!$E:$E,6))</f>
        <v>0</v>
      </c>
      <c r="AG20" s="424">
        <f xml:space="preserve">
IF($A$4&lt;=12,SUMIFS('ON Data'!AK:AK,'ON Data'!$D:$D,$A$4,'ON Data'!$E:$E,6),SUMIFS('ON Data'!AK:AK,'ON Data'!$E:$E,6))</f>
        <v>0</v>
      </c>
      <c r="AH20" s="424">
        <f xml:space="preserve">
IF($A$4&lt;=12,SUMIFS('ON Data'!AL:AL,'ON Data'!$D:$D,$A$4,'ON Data'!$E:$E,6),SUMIFS('ON Data'!AL:AL,'ON Data'!$E:$E,6))</f>
        <v>0</v>
      </c>
      <c r="AI20" s="772">
        <f xml:space="preserve">
IF($A$4&lt;=12,SUMIFS('ON Data'!AN:AN,'ON Data'!$D:$D,$A$4,'ON Data'!$E:$E,6),SUMIFS('ON Data'!AN:AN,'ON Data'!$E:$E,6))</f>
        <v>209607</v>
      </c>
      <c r="AJ20" s="778"/>
    </row>
    <row r="21" spans="1:36" ht="15" hidden="1" outlineLevel="1" thickBot="1" x14ac:dyDescent="0.35">
      <c r="A21" s="390" t="s">
        <v>132</v>
      </c>
      <c r="B21" s="410">
        <f xml:space="preserve">
IF($A$4&lt;=12,SUMIFS('ON Data'!F:F,'ON Data'!$D:$D,$A$4,'ON Data'!$E:$E,12),SUMIFS('ON Data'!F:F,'ON Data'!$E:$E,12))</f>
        <v>0</v>
      </c>
      <c r="C21" s="411">
        <f xml:space="preserve">
IF($A$4&lt;=12,SUMIFS('ON Data'!G:G,'ON Data'!$D:$D,$A$4,'ON Data'!$E:$E,12),SUMIFS('ON Data'!G:G,'ON Data'!$E:$E,12))</f>
        <v>0</v>
      </c>
      <c r="D21" s="412">
        <f xml:space="preserve">
IF($A$4&lt;=12,SUMIFS('ON Data'!H:H,'ON Data'!$D:$D,$A$4,'ON Data'!$E:$E,12),SUMIFS('ON Data'!H:H,'ON Data'!$E:$E,12))</f>
        <v>0</v>
      </c>
      <c r="E21" s="412">
        <f xml:space="preserve">
IF($A$4&lt;=12,SUMIFS('ON Data'!I:I,'ON Data'!$D:$D,$A$4,'ON Data'!$E:$E,12),SUMIFS('ON Data'!I:I,'ON Data'!$E:$E,12))</f>
        <v>0</v>
      </c>
      <c r="F21" s="412">
        <f xml:space="preserve">
IF($A$4&lt;=12,SUMIFS('ON Data'!J:J,'ON Data'!$D:$D,$A$4,'ON Data'!$E:$E,12),SUMIFS('ON Data'!J:J,'ON Data'!$E:$E,12))</f>
        <v>0</v>
      </c>
      <c r="G21" s="412">
        <f xml:space="preserve">
IF($A$4&lt;=12,SUMIFS('ON Data'!K:K,'ON Data'!$D:$D,$A$4,'ON Data'!$E:$E,12),SUMIFS('ON Data'!K:K,'ON Data'!$E:$E,12))</f>
        <v>0</v>
      </c>
      <c r="H21" s="412">
        <f xml:space="preserve">
IF($A$4&lt;=12,SUMIFS('ON Data'!L:L,'ON Data'!$D:$D,$A$4,'ON Data'!$E:$E,12),SUMIFS('ON Data'!L:L,'ON Data'!$E:$E,12))</f>
        <v>0</v>
      </c>
      <c r="I21" s="412">
        <f xml:space="preserve">
IF($A$4&lt;=12,SUMIFS('ON Data'!M:M,'ON Data'!$D:$D,$A$4,'ON Data'!$E:$E,12),SUMIFS('ON Data'!M:M,'ON Data'!$E:$E,12))</f>
        <v>0</v>
      </c>
      <c r="J21" s="412">
        <f xml:space="preserve">
IF($A$4&lt;=12,SUMIFS('ON Data'!N:N,'ON Data'!$D:$D,$A$4,'ON Data'!$E:$E,12),SUMIFS('ON Data'!N:N,'ON Data'!$E:$E,12))</f>
        <v>0</v>
      </c>
      <c r="K21" s="412">
        <f xml:space="preserve">
IF($A$4&lt;=12,SUMIFS('ON Data'!O:O,'ON Data'!$D:$D,$A$4,'ON Data'!$E:$E,12),SUMIFS('ON Data'!O:O,'ON Data'!$E:$E,12))</f>
        <v>0</v>
      </c>
      <c r="L21" s="412">
        <f xml:space="preserve">
IF($A$4&lt;=12,SUMIFS('ON Data'!P:P,'ON Data'!$D:$D,$A$4,'ON Data'!$E:$E,12),SUMIFS('ON Data'!P:P,'ON Data'!$E:$E,12))</f>
        <v>0</v>
      </c>
      <c r="M21" s="412">
        <f xml:space="preserve">
IF($A$4&lt;=12,SUMIFS('ON Data'!Q:Q,'ON Data'!$D:$D,$A$4,'ON Data'!$E:$E,12),SUMIFS('ON Data'!Q:Q,'ON Data'!$E:$E,12))</f>
        <v>0</v>
      </c>
      <c r="N21" s="412">
        <f xml:space="preserve">
IF($A$4&lt;=12,SUMIFS('ON Data'!R:R,'ON Data'!$D:$D,$A$4,'ON Data'!$E:$E,12),SUMIFS('ON Data'!R:R,'ON Data'!$E:$E,12))</f>
        <v>0</v>
      </c>
      <c r="O21" s="412">
        <f xml:space="preserve">
IF($A$4&lt;=12,SUMIFS('ON Data'!S:S,'ON Data'!$D:$D,$A$4,'ON Data'!$E:$E,12),SUMIFS('ON Data'!S:S,'ON Data'!$E:$E,12))</f>
        <v>0</v>
      </c>
      <c r="P21" s="412">
        <f xml:space="preserve">
IF($A$4&lt;=12,SUMIFS('ON Data'!T:T,'ON Data'!$D:$D,$A$4,'ON Data'!$E:$E,12),SUMIFS('ON Data'!T:T,'ON Data'!$E:$E,12))</f>
        <v>0</v>
      </c>
      <c r="Q21" s="412">
        <f xml:space="preserve">
IF($A$4&lt;=12,SUMIFS('ON Data'!U:U,'ON Data'!$D:$D,$A$4,'ON Data'!$E:$E,12),SUMIFS('ON Data'!U:U,'ON Data'!$E:$E,12))</f>
        <v>0</v>
      </c>
      <c r="R21" s="412">
        <f xml:space="preserve">
IF($A$4&lt;=12,SUMIFS('ON Data'!V:V,'ON Data'!$D:$D,$A$4,'ON Data'!$E:$E,12),SUMIFS('ON Data'!V:V,'ON Data'!$E:$E,12))</f>
        <v>0</v>
      </c>
      <c r="S21" s="412">
        <f xml:space="preserve">
IF($A$4&lt;=12,SUMIFS('ON Data'!W:W,'ON Data'!$D:$D,$A$4,'ON Data'!$E:$E,12),SUMIFS('ON Data'!W:W,'ON Data'!$E:$E,12))</f>
        <v>0</v>
      </c>
      <c r="T21" s="412">
        <f xml:space="preserve">
IF($A$4&lt;=12,SUMIFS('ON Data'!X:X,'ON Data'!$D:$D,$A$4,'ON Data'!$E:$E,12),SUMIFS('ON Data'!X:X,'ON Data'!$E:$E,12))</f>
        <v>0</v>
      </c>
      <c r="U21" s="412">
        <f xml:space="preserve">
IF($A$4&lt;=12,SUMIFS('ON Data'!Y:Y,'ON Data'!$D:$D,$A$4,'ON Data'!$E:$E,12),SUMIFS('ON Data'!Y:Y,'ON Data'!$E:$E,12))</f>
        <v>0</v>
      </c>
      <c r="V21" s="412">
        <f xml:space="preserve">
IF($A$4&lt;=12,SUMIFS('ON Data'!Z:Z,'ON Data'!$D:$D,$A$4,'ON Data'!$E:$E,12),SUMIFS('ON Data'!Z:Z,'ON Data'!$E:$E,12))</f>
        <v>0</v>
      </c>
      <c r="W21" s="412">
        <f xml:space="preserve">
IF($A$4&lt;=12,SUMIFS('ON Data'!AA:AA,'ON Data'!$D:$D,$A$4,'ON Data'!$E:$E,12),SUMIFS('ON Data'!AA:AA,'ON Data'!$E:$E,12))</f>
        <v>0</v>
      </c>
      <c r="X21" s="412">
        <f xml:space="preserve">
IF($A$4&lt;=12,SUMIFS('ON Data'!AB:AB,'ON Data'!$D:$D,$A$4,'ON Data'!$E:$E,12),SUMIFS('ON Data'!AB:AB,'ON Data'!$E:$E,12))</f>
        <v>0</v>
      </c>
      <c r="Y21" s="412">
        <f xml:space="preserve">
IF($A$4&lt;=12,SUMIFS('ON Data'!AC:AC,'ON Data'!$D:$D,$A$4,'ON Data'!$E:$E,12),SUMIFS('ON Data'!AC:AC,'ON Data'!$E:$E,12))</f>
        <v>0</v>
      </c>
      <c r="Z21" s="412">
        <f xml:space="preserve">
IF($A$4&lt;=12,SUMIFS('ON Data'!AD:AD,'ON Data'!$D:$D,$A$4,'ON Data'!$E:$E,12),SUMIFS('ON Data'!AD:AD,'ON Data'!$E:$E,12))</f>
        <v>0</v>
      </c>
      <c r="AA21" s="412">
        <f xml:space="preserve">
IF($A$4&lt;=12,SUMIFS('ON Data'!AE:AE,'ON Data'!$D:$D,$A$4,'ON Data'!$E:$E,12),SUMIFS('ON Data'!AE:AE,'ON Data'!$E:$E,12))</f>
        <v>0</v>
      </c>
      <c r="AB21" s="412">
        <f xml:space="preserve">
IF($A$4&lt;=12,SUMIFS('ON Data'!AF:AF,'ON Data'!$D:$D,$A$4,'ON Data'!$E:$E,12),SUMIFS('ON Data'!AF:AF,'ON Data'!$E:$E,12))</f>
        <v>0</v>
      </c>
      <c r="AC21" s="412">
        <f xml:space="preserve">
IF($A$4&lt;=12,SUMIFS('ON Data'!AG:AG,'ON Data'!$D:$D,$A$4,'ON Data'!$E:$E,12),SUMIFS('ON Data'!AG:AG,'ON Data'!$E:$E,12))</f>
        <v>0</v>
      </c>
      <c r="AD21" s="412">
        <f xml:space="preserve">
IF($A$4&lt;=12,SUMIFS('ON Data'!AH:AH,'ON Data'!$D:$D,$A$4,'ON Data'!$E:$E,12),SUMIFS('ON Data'!AH:AH,'ON Data'!$E:$E,12))</f>
        <v>0</v>
      </c>
      <c r="AE21" s="412">
        <f xml:space="preserve">
IF($A$4&lt;=12,SUMIFS('ON Data'!AI:AI,'ON Data'!$D:$D,$A$4,'ON Data'!$E:$E,12),SUMIFS('ON Data'!AI:AI,'ON Data'!$E:$E,12))</f>
        <v>0</v>
      </c>
      <c r="AF21" s="412">
        <f xml:space="preserve">
IF($A$4&lt;=12,SUMIFS('ON Data'!AJ:AJ,'ON Data'!$D:$D,$A$4,'ON Data'!$E:$E,12),SUMIFS('ON Data'!AJ:AJ,'ON Data'!$E:$E,12))</f>
        <v>0</v>
      </c>
      <c r="AG21" s="412">
        <f xml:space="preserve">
IF($A$4&lt;=12,SUMIFS('ON Data'!AK:AK,'ON Data'!$D:$D,$A$4,'ON Data'!$E:$E,12),SUMIFS('ON Data'!AK:AK,'ON Data'!$E:$E,12))</f>
        <v>0</v>
      </c>
      <c r="AH21" s="412">
        <f xml:space="preserve">
IF($A$4&lt;=12,SUMIFS('ON Data'!AL:AL,'ON Data'!$D:$D,$A$4,'ON Data'!$E:$E,12),SUMIFS('ON Data'!AL:AL,'ON Data'!$E:$E,12))</f>
        <v>0</v>
      </c>
      <c r="AI21" s="768">
        <f xml:space="preserve">
IF($A$4&lt;=12,SUMIFS('ON Data'!AN:AN,'ON Data'!$D:$D,$A$4,'ON Data'!$E:$E,12),SUMIFS('ON Data'!AN:AN,'ON Data'!$E:$E,12))</f>
        <v>0</v>
      </c>
      <c r="AJ21" s="778"/>
    </row>
    <row r="22" spans="1:36" ht="15" hidden="1" outlineLevel="1" thickBot="1" x14ac:dyDescent="0.35">
      <c r="A22" s="390" t="s">
        <v>96</v>
      </c>
      <c r="B22" s="471" t="str">
        <f xml:space="preserve">
IF(OR(B21="",B21=0),"",B20/B21)</f>
        <v/>
      </c>
      <c r="C22" s="472" t="str">
        <f t="shared" ref="C22:H22" si="2" xml:space="preserve">
IF(OR(C21="",C21=0),"",C20/C21)</f>
        <v/>
      </c>
      <c r="D22" s="473" t="str">
        <f t="shared" si="2"/>
        <v/>
      </c>
      <c r="E22" s="473" t="str">
        <f t="shared" si="2"/>
        <v/>
      </c>
      <c r="F22" s="473" t="str">
        <f t="shared" si="2"/>
        <v/>
      </c>
      <c r="G22" s="473" t="str">
        <f t="shared" si="2"/>
        <v/>
      </c>
      <c r="H22" s="473" t="str">
        <f t="shared" si="2"/>
        <v/>
      </c>
      <c r="I22" s="473" t="str">
        <f t="shared" ref="I22:AI22" si="3" xml:space="preserve">
IF(OR(I21="",I21=0),"",I20/I21)</f>
        <v/>
      </c>
      <c r="J22" s="473" t="str">
        <f t="shared" si="3"/>
        <v/>
      </c>
      <c r="K22" s="473" t="str">
        <f t="shared" si="3"/>
        <v/>
      </c>
      <c r="L22" s="473" t="str">
        <f t="shared" si="3"/>
        <v/>
      </c>
      <c r="M22" s="473" t="str">
        <f t="shared" si="3"/>
        <v/>
      </c>
      <c r="N22" s="473" t="str">
        <f t="shared" si="3"/>
        <v/>
      </c>
      <c r="O22" s="473" t="str">
        <f t="shared" si="3"/>
        <v/>
      </c>
      <c r="P22" s="473" t="str">
        <f t="shared" si="3"/>
        <v/>
      </c>
      <c r="Q22" s="473" t="str">
        <f t="shared" si="3"/>
        <v/>
      </c>
      <c r="R22" s="473" t="str">
        <f t="shared" si="3"/>
        <v/>
      </c>
      <c r="S22" s="473" t="str">
        <f t="shared" si="3"/>
        <v/>
      </c>
      <c r="T22" s="473" t="str">
        <f t="shared" si="3"/>
        <v/>
      </c>
      <c r="U22" s="473" t="str">
        <f t="shared" si="3"/>
        <v/>
      </c>
      <c r="V22" s="473" t="str">
        <f t="shared" si="3"/>
        <v/>
      </c>
      <c r="W22" s="473" t="str">
        <f t="shared" si="3"/>
        <v/>
      </c>
      <c r="X22" s="473" t="str">
        <f t="shared" si="3"/>
        <v/>
      </c>
      <c r="Y22" s="473" t="str">
        <f t="shared" si="3"/>
        <v/>
      </c>
      <c r="Z22" s="473" t="str">
        <f t="shared" si="3"/>
        <v/>
      </c>
      <c r="AA22" s="473" t="str">
        <f t="shared" si="3"/>
        <v/>
      </c>
      <c r="AB22" s="473" t="str">
        <f t="shared" si="3"/>
        <v/>
      </c>
      <c r="AC22" s="473" t="str">
        <f t="shared" si="3"/>
        <v/>
      </c>
      <c r="AD22" s="473" t="str">
        <f t="shared" si="3"/>
        <v/>
      </c>
      <c r="AE22" s="473" t="str">
        <f t="shared" si="3"/>
        <v/>
      </c>
      <c r="AF22" s="473" t="str">
        <f t="shared" si="3"/>
        <v/>
      </c>
      <c r="AG22" s="473" t="str">
        <f t="shared" si="3"/>
        <v/>
      </c>
      <c r="AH22" s="473" t="str">
        <f t="shared" si="3"/>
        <v/>
      </c>
      <c r="AI22" s="773" t="str">
        <f t="shared" si="3"/>
        <v/>
      </c>
      <c r="AJ22" s="778"/>
    </row>
    <row r="23" spans="1:36" ht="15" hidden="1" outlineLevel="1" thickBot="1" x14ac:dyDescent="0.35">
      <c r="A23" s="398" t="s">
        <v>69</v>
      </c>
      <c r="B23" s="413">
        <f xml:space="preserve">
IF(B21="","",B20-B21)</f>
        <v>4302575</v>
      </c>
      <c r="C23" s="414">
        <f t="shared" ref="C23:H23" si="4" xml:space="preserve">
IF(C21="","",C20-C21)</f>
        <v>0</v>
      </c>
      <c r="D23" s="415">
        <f t="shared" si="4"/>
        <v>2003895</v>
      </c>
      <c r="E23" s="415">
        <f t="shared" si="4"/>
        <v>0</v>
      </c>
      <c r="F23" s="415">
        <f t="shared" si="4"/>
        <v>162151</v>
      </c>
      <c r="G23" s="415">
        <f t="shared" si="4"/>
        <v>507276</v>
      </c>
      <c r="H23" s="415">
        <f t="shared" si="4"/>
        <v>0</v>
      </c>
      <c r="I23" s="415">
        <f t="shared" ref="I23:AI23" si="5" xml:space="preserve">
IF(I21="","",I20-I21)</f>
        <v>0</v>
      </c>
      <c r="J23" s="415">
        <f t="shared" si="5"/>
        <v>1110672</v>
      </c>
      <c r="K23" s="415">
        <f t="shared" si="5"/>
        <v>91669</v>
      </c>
      <c r="L23" s="415">
        <f t="shared" si="5"/>
        <v>0</v>
      </c>
      <c r="M23" s="415">
        <f t="shared" si="5"/>
        <v>0</v>
      </c>
      <c r="N23" s="415">
        <f t="shared" si="5"/>
        <v>0</v>
      </c>
      <c r="O23" s="415">
        <f t="shared" si="5"/>
        <v>0</v>
      </c>
      <c r="P23" s="415">
        <f t="shared" si="5"/>
        <v>126581</v>
      </c>
      <c r="Q23" s="415">
        <f t="shared" si="5"/>
        <v>0</v>
      </c>
      <c r="R23" s="415">
        <f t="shared" si="5"/>
        <v>0</v>
      </c>
      <c r="S23" s="415">
        <f t="shared" si="5"/>
        <v>0</v>
      </c>
      <c r="T23" s="415">
        <f t="shared" si="5"/>
        <v>0</v>
      </c>
      <c r="U23" s="415">
        <f t="shared" si="5"/>
        <v>0</v>
      </c>
      <c r="V23" s="415">
        <f t="shared" si="5"/>
        <v>0</v>
      </c>
      <c r="W23" s="415">
        <f t="shared" si="5"/>
        <v>0</v>
      </c>
      <c r="X23" s="415">
        <f t="shared" si="5"/>
        <v>0</v>
      </c>
      <c r="Y23" s="415">
        <f t="shared" si="5"/>
        <v>0</v>
      </c>
      <c r="Z23" s="415">
        <f t="shared" si="5"/>
        <v>0</v>
      </c>
      <c r="AA23" s="415">
        <f t="shared" si="5"/>
        <v>0</v>
      </c>
      <c r="AB23" s="415">
        <f t="shared" si="5"/>
        <v>0</v>
      </c>
      <c r="AC23" s="415">
        <f t="shared" si="5"/>
        <v>0</v>
      </c>
      <c r="AD23" s="415">
        <f t="shared" si="5"/>
        <v>0</v>
      </c>
      <c r="AE23" s="415">
        <f t="shared" si="5"/>
        <v>90724</v>
      </c>
      <c r="AF23" s="415">
        <f t="shared" si="5"/>
        <v>0</v>
      </c>
      <c r="AG23" s="415">
        <f t="shared" si="5"/>
        <v>0</v>
      </c>
      <c r="AH23" s="415">
        <f t="shared" si="5"/>
        <v>0</v>
      </c>
      <c r="AI23" s="769">
        <f t="shared" si="5"/>
        <v>209607</v>
      </c>
      <c r="AJ23" s="778"/>
    </row>
    <row r="24" spans="1:36" x14ac:dyDescent="0.3">
      <c r="A24" s="392" t="s">
        <v>247</v>
      </c>
      <c r="B24" s="439" t="s">
        <v>3</v>
      </c>
      <c r="C24" s="779" t="s">
        <v>258</v>
      </c>
      <c r="D24" s="753"/>
      <c r="E24" s="754"/>
      <c r="F24" s="754"/>
      <c r="G24" s="754" t="s">
        <v>259</v>
      </c>
      <c r="H24" s="754"/>
      <c r="I24" s="754"/>
      <c r="J24" s="754"/>
      <c r="K24" s="754"/>
      <c r="L24" s="754"/>
      <c r="M24" s="754"/>
      <c r="N24" s="754"/>
      <c r="O24" s="754"/>
      <c r="P24" s="754"/>
      <c r="Q24" s="754"/>
      <c r="R24" s="754"/>
      <c r="S24" s="754"/>
      <c r="T24" s="754"/>
      <c r="U24" s="754"/>
      <c r="V24" s="754"/>
      <c r="W24" s="754"/>
      <c r="X24" s="754"/>
      <c r="Y24" s="754"/>
      <c r="Z24" s="754"/>
      <c r="AA24" s="754"/>
      <c r="AB24" s="754"/>
      <c r="AC24" s="754"/>
      <c r="AD24" s="754"/>
      <c r="AE24" s="754"/>
      <c r="AF24" s="754"/>
      <c r="AG24" s="754"/>
      <c r="AH24" s="754"/>
      <c r="AI24" s="774" t="s">
        <v>260</v>
      </c>
      <c r="AJ24" s="778"/>
    </row>
    <row r="25" spans="1:36" x14ac:dyDescent="0.3">
      <c r="A25" s="393" t="s">
        <v>94</v>
      </c>
      <c r="B25" s="410">
        <f xml:space="preserve">
SUM(C25:AI25)</f>
        <v>400</v>
      </c>
      <c r="C25" s="780">
        <f xml:space="preserve">
IF($A$4&lt;=12,SUMIFS('ON Data'!H:H,'ON Data'!$D:$D,$A$4,'ON Data'!$E:$E,10),SUMIFS('ON Data'!H:H,'ON Data'!$E:$E,10))</f>
        <v>400</v>
      </c>
      <c r="D25" s="755"/>
      <c r="E25" s="756"/>
      <c r="F25" s="756"/>
      <c r="G25" s="756">
        <f xml:space="preserve">
IF($A$4&lt;=12,SUMIFS('ON Data'!K:K,'ON Data'!$D:$D,$A$4,'ON Data'!$E:$E,10),SUMIFS('ON Data'!K:K,'ON Data'!$E:$E,10))</f>
        <v>0</v>
      </c>
      <c r="H25" s="756"/>
      <c r="I25" s="756"/>
      <c r="J25" s="756"/>
      <c r="K25" s="756"/>
      <c r="L25" s="756"/>
      <c r="M25" s="756"/>
      <c r="N25" s="756"/>
      <c r="O25" s="756"/>
      <c r="P25" s="756"/>
      <c r="Q25" s="756"/>
      <c r="R25" s="756"/>
      <c r="S25" s="756"/>
      <c r="T25" s="756"/>
      <c r="U25" s="756"/>
      <c r="V25" s="756"/>
      <c r="W25" s="756"/>
      <c r="X25" s="756"/>
      <c r="Y25" s="756"/>
      <c r="Z25" s="756"/>
      <c r="AA25" s="756"/>
      <c r="AB25" s="756"/>
      <c r="AC25" s="756"/>
      <c r="AD25" s="756"/>
      <c r="AE25" s="756"/>
      <c r="AF25" s="756"/>
      <c r="AG25" s="756"/>
      <c r="AH25" s="756"/>
      <c r="AI25" s="775">
        <f xml:space="preserve">
IF($A$4&lt;=12,SUMIFS('ON Data'!AN:AN,'ON Data'!$D:$D,$A$4,'ON Data'!$E:$E,10),SUMIFS('ON Data'!AN:AN,'ON Data'!$E:$E,10))</f>
        <v>0</v>
      </c>
      <c r="AJ25" s="778"/>
    </row>
    <row r="26" spans="1:36" x14ac:dyDescent="0.3">
      <c r="A26" s="399" t="s">
        <v>257</v>
      </c>
      <c r="B26" s="419">
        <f xml:space="preserve">
SUM(C26:AI26)</f>
        <v>14567.085210094403</v>
      </c>
      <c r="C26" s="780">
        <f xml:space="preserve">
IF($A$4&lt;=12,SUMIFS('ON Data'!H:H,'ON Data'!$D:$D,$A$4,'ON Data'!$E:$E,11),SUMIFS('ON Data'!H:H,'ON Data'!$E:$E,11))</f>
        <v>10817.085210094403</v>
      </c>
      <c r="D26" s="755"/>
      <c r="E26" s="756"/>
      <c r="F26" s="756"/>
      <c r="G26" s="757">
        <f xml:space="preserve">
IF($A$4&lt;=12,SUMIFS('ON Data'!K:K,'ON Data'!$D:$D,$A$4,'ON Data'!$E:$E,11),SUMIFS('ON Data'!K:K,'ON Data'!$E:$E,11))</f>
        <v>3750</v>
      </c>
      <c r="H26" s="757"/>
      <c r="I26" s="757"/>
      <c r="J26" s="757"/>
      <c r="K26" s="757"/>
      <c r="L26" s="757"/>
      <c r="M26" s="757"/>
      <c r="N26" s="757"/>
      <c r="O26" s="757"/>
      <c r="P26" s="757"/>
      <c r="Q26" s="757"/>
      <c r="R26" s="757"/>
      <c r="S26" s="757"/>
      <c r="T26" s="757"/>
      <c r="U26" s="757"/>
      <c r="V26" s="757"/>
      <c r="W26" s="757"/>
      <c r="X26" s="757"/>
      <c r="Y26" s="757"/>
      <c r="Z26" s="757"/>
      <c r="AA26" s="757"/>
      <c r="AB26" s="757"/>
      <c r="AC26" s="757"/>
      <c r="AD26" s="757"/>
      <c r="AE26" s="757"/>
      <c r="AF26" s="757"/>
      <c r="AG26" s="757"/>
      <c r="AH26" s="757"/>
      <c r="AI26" s="775">
        <f xml:space="preserve">
IF($A$4&lt;=12,SUMIFS('ON Data'!AN:AN,'ON Data'!$D:$D,$A$4,'ON Data'!$E:$E,11),SUMIFS('ON Data'!AN:AN,'ON Data'!$E:$E,11))</f>
        <v>0</v>
      </c>
      <c r="AJ26" s="778"/>
    </row>
    <row r="27" spans="1:36" x14ac:dyDescent="0.3">
      <c r="A27" s="399" t="s">
        <v>96</v>
      </c>
      <c r="B27" s="440">
        <f xml:space="preserve">
IF(B26=0,0,B25/B26)</f>
        <v>2.7459165250356063E-2</v>
      </c>
      <c r="C27" s="781">
        <f xml:space="preserve">
IF(C26=0,0,C25/C26)</f>
        <v>3.6978538324420676E-2</v>
      </c>
      <c r="D27" s="758"/>
      <c r="E27" s="759"/>
      <c r="F27" s="759"/>
      <c r="G27" s="759">
        <f xml:space="preserve">
IF(G26=0,0,G25/G26)</f>
        <v>0</v>
      </c>
      <c r="H27" s="759"/>
      <c r="I27" s="759"/>
      <c r="J27" s="759"/>
      <c r="K27" s="759"/>
      <c r="L27" s="759"/>
      <c r="M27" s="759"/>
      <c r="N27" s="759"/>
      <c r="O27" s="759"/>
      <c r="P27" s="759"/>
      <c r="Q27" s="759"/>
      <c r="R27" s="759"/>
      <c r="S27" s="759"/>
      <c r="T27" s="759"/>
      <c r="U27" s="759"/>
      <c r="V27" s="759"/>
      <c r="W27" s="759"/>
      <c r="X27" s="759"/>
      <c r="Y27" s="759"/>
      <c r="Z27" s="759"/>
      <c r="AA27" s="759"/>
      <c r="AB27" s="759"/>
      <c r="AC27" s="759"/>
      <c r="AD27" s="759"/>
      <c r="AE27" s="759"/>
      <c r="AF27" s="759"/>
      <c r="AG27" s="759"/>
      <c r="AH27" s="759"/>
      <c r="AI27" s="776">
        <f xml:space="preserve">
IF(AI26=0,0,AI25/AI26)</f>
        <v>0</v>
      </c>
      <c r="AJ27" s="778"/>
    </row>
    <row r="28" spans="1:36" ht="15" thickBot="1" x14ac:dyDescent="0.35">
      <c r="A28" s="399" t="s">
        <v>256</v>
      </c>
      <c r="B28" s="419">
        <f xml:space="preserve">
SUM(C28:AI28)</f>
        <v>14167.085210094403</v>
      </c>
      <c r="C28" s="782">
        <f xml:space="preserve">
C26-C25</f>
        <v>10417.085210094403</v>
      </c>
      <c r="D28" s="760"/>
      <c r="E28" s="761"/>
      <c r="F28" s="761"/>
      <c r="G28" s="761">
        <f xml:space="preserve">
G26-G25</f>
        <v>3750</v>
      </c>
      <c r="H28" s="761"/>
      <c r="I28" s="761"/>
      <c r="J28" s="761"/>
      <c r="K28" s="761"/>
      <c r="L28" s="761"/>
      <c r="M28" s="761"/>
      <c r="N28" s="761"/>
      <c r="O28" s="761"/>
      <c r="P28" s="761"/>
      <c r="Q28" s="761"/>
      <c r="R28" s="761"/>
      <c r="S28" s="761"/>
      <c r="T28" s="761"/>
      <c r="U28" s="761"/>
      <c r="V28" s="761"/>
      <c r="W28" s="761"/>
      <c r="X28" s="761"/>
      <c r="Y28" s="761"/>
      <c r="Z28" s="761"/>
      <c r="AA28" s="761"/>
      <c r="AB28" s="761"/>
      <c r="AC28" s="761"/>
      <c r="AD28" s="761"/>
      <c r="AE28" s="761"/>
      <c r="AF28" s="761"/>
      <c r="AG28" s="761"/>
      <c r="AH28" s="761"/>
      <c r="AI28" s="777">
        <f xml:space="preserve">
AI26-AI25</f>
        <v>0</v>
      </c>
      <c r="AJ28" s="778"/>
    </row>
    <row r="29" spans="1:36" x14ac:dyDescent="0.3">
      <c r="A29" s="400"/>
      <c r="B29" s="400"/>
      <c r="C29" s="401"/>
      <c r="D29" s="400"/>
      <c r="E29" s="400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1"/>
      <c r="AF29" s="401"/>
      <c r="AG29" s="400"/>
      <c r="AH29" s="400"/>
      <c r="AI29" s="400"/>
    </row>
    <row r="30" spans="1:36" x14ac:dyDescent="0.3">
      <c r="A30" s="226" t="s">
        <v>203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77"/>
    </row>
    <row r="31" spans="1:36" x14ac:dyDescent="0.3">
      <c r="A31" s="227" t="s">
        <v>254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77"/>
    </row>
    <row r="32" spans="1:36" ht="14.4" customHeight="1" x14ac:dyDescent="0.3">
      <c r="A32" s="436" t="s">
        <v>251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  <c r="AG32" s="437"/>
      <c r="AH32" s="437"/>
    </row>
    <row r="33" spans="1:1" x14ac:dyDescent="0.3">
      <c r="A33" s="438" t="s">
        <v>261</v>
      </c>
    </row>
    <row r="34" spans="1:1" x14ac:dyDescent="0.3">
      <c r="A34" s="438" t="s">
        <v>262</v>
      </c>
    </row>
    <row r="35" spans="1:1" x14ac:dyDescent="0.3">
      <c r="A35" s="438" t="s">
        <v>263</v>
      </c>
    </row>
    <row r="36" spans="1:1" x14ac:dyDescent="0.3">
      <c r="A36" s="438" t="s">
        <v>264</v>
      </c>
    </row>
  </sheetData>
  <mergeCells count="12">
    <mergeCell ref="C28:F28"/>
    <mergeCell ref="C27:F27"/>
    <mergeCell ref="G27:AH27"/>
    <mergeCell ref="G28:AH28"/>
    <mergeCell ref="C25:F25"/>
    <mergeCell ref="C26:F26"/>
    <mergeCell ref="G24:AH24"/>
    <mergeCell ref="G25:AH25"/>
    <mergeCell ref="G26:AH26"/>
    <mergeCell ref="A1:AI1"/>
    <mergeCell ref="B3:B4"/>
    <mergeCell ref="C24:F24"/>
  </mergeCells>
  <conditionalFormatting sqref="C27 AI27 G27">
    <cfRule type="cellIs" dxfId="22" priority="4" operator="greaterThan">
      <formula>1</formula>
    </cfRule>
  </conditionalFormatting>
  <conditionalFormatting sqref="C28 AI28 G28">
    <cfRule type="cellIs" dxfId="21" priority="3" operator="lessThan">
      <formula>0</formula>
    </cfRule>
  </conditionalFormatting>
  <conditionalFormatting sqref="B22:AI22">
    <cfRule type="cellIs" dxfId="20" priority="2" operator="greaterThan">
      <formula>1</formula>
    </cfRule>
  </conditionalFormatting>
  <conditionalFormatting sqref="B23:AI23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152</v>
      </c>
      <c r="B1" s="478"/>
      <c r="C1" s="479"/>
      <c r="D1" s="479"/>
      <c r="E1" s="479"/>
    </row>
    <row r="2" spans="1:5" ht="14.4" customHeight="1" thickBot="1" x14ac:dyDescent="0.35">
      <c r="A2" s="383" t="s">
        <v>336</v>
      </c>
      <c r="B2" s="278"/>
    </row>
    <row r="3" spans="1:5" ht="14.4" customHeight="1" thickBot="1" x14ac:dyDescent="0.35">
      <c r="A3" s="281"/>
      <c r="C3" s="282" t="s">
        <v>132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18958.160522880935</v>
      </c>
      <c r="D4" s="287">
        <f ca="1">IF(ISERROR(VLOOKUP("Náklady celkem",INDIRECT("HI!$A:$G"),5,0)),0,VLOOKUP("Náklady celkem",INDIRECT("HI!$A:$G"),5,0))</f>
        <v>18834.579510000014</v>
      </c>
      <c r="E4" s="288">
        <f ca="1">IF(C4=0,0,D4/C4)</f>
        <v>0.99348138165979927</v>
      </c>
    </row>
    <row r="5" spans="1:5" ht="14.4" customHeight="1" x14ac:dyDescent="0.3">
      <c r="A5" s="289" t="s">
        <v>195</v>
      </c>
      <c r="B5" s="290"/>
      <c r="C5" s="291"/>
      <c r="D5" s="291"/>
      <c r="E5" s="292"/>
    </row>
    <row r="6" spans="1:5" ht="14.4" customHeight="1" x14ac:dyDescent="0.3">
      <c r="A6" s="293" t="s">
        <v>200</v>
      </c>
      <c r="B6" s="294"/>
      <c r="C6" s="295"/>
      <c r="D6" s="295"/>
      <c r="E6" s="292"/>
    </row>
    <row r="7" spans="1:5" ht="14.4" customHeight="1" x14ac:dyDescent="0.3">
      <c r="A7" s="2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137</v>
      </c>
      <c r="C7" s="295">
        <f>IF(ISERROR(HI!F5),"",HI!F5)</f>
        <v>9165.6469812641699</v>
      </c>
      <c r="D7" s="295">
        <f>IF(ISERROR(HI!E5),"",HI!E5)</f>
        <v>9488.4042800000116</v>
      </c>
      <c r="E7" s="292">
        <f t="shared" ref="E7:E15" si="0">IF(C7=0,0,D7/C7)</f>
        <v>1.0352138042623289</v>
      </c>
    </row>
    <row r="8" spans="1:5" ht="14.4" customHeight="1" x14ac:dyDescent="0.3">
      <c r="A8" s="296" t="str">
        <f>HYPERLINK("#'LŽ PL'!A1","% plnění pozitivního listu")</f>
        <v>% plnění pozitivního listu</v>
      </c>
      <c r="B8" s="294" t="s">
        <v>187</v>
      </c>
      <c r="C8" s="297">
        <v>0.9</v>
      </c>
      <c r="D8" s="297">
        <f>IF(ISERROR(VLOOKUP("celkem",'LŽ PL'!$A:$F,5,0)),0,VLOOKUP("celkem",'LŽ PL'!$A:$F,5,0))</f>
        <v>1</v>
      </c>
      <c r="E8" s="292">
        <f t="shared" si="0"/>
        <v>1.1111111111111112</v>
      </c>
    </row>
    <row r="9" spans="1:5" ht="14.4" customHeight="1" x14ac:dyDescent="0.3">
      <c r="A9" s="465" t="str">
        <f>HYPERLINK("#'LŽ Statim'!A1","% podíl statimových žádanek")</f>
        <v>% podíl statimových žádanek</v>
      </c>
      <c r="B9" s="463" t="s">
        <v>310</v>
      </c>
      <c r="C9" s="464">
        <v>0.3</v>
      </c>
      <c r="D9" s="464">
        <f>IF('LŽ Statim'!G3="",0,'LŽ Statim'!G3)</f>
        <v>0.16483516483516483</v>
      </c>
      <c r="E9" s="292">
        <f>IF(C9=0,0,D9/C9)</f>
        <v>0.5494505494505495</v>
      </c>
    </row>
    <row r="10" spans="1:5" ht="14.4" customHeight="1" x14ac:dyDescent="0.3">
      <c r="A10" s="298" t="s">
        <v>196</v>
      </c>
      <c r="B10" s="294"/>
      <c r="C10" s="295"/>
      <c r="D10" s="295"/>
      <c r="E10" s="292"/>
    </row>
    <row r="11" spans="1:5" ht="14.4" customHeight="1" x14ac:dyDescent="0.3">
      <c r="A11" s="296" t="str">
        <f>HYPERLINK("#'Léky Recepty'!A1","% záchytu v lékárně (Úhrada Kč)")</f>
        <v>% záchytu v lékárně (Úhrada Kč)</v>
      </c>
      <c r="B11" s="294" t="s">
        <v>142</v>
      </c>
      <c r="C11" s="297">
        <v>0.6</v>
      </c>
      <c r="D11" s="297">
        <f>IF(ISERROR(VLOOKUP("Celkem",'Léky Recepty'!B:H,5,0)),0,VLOOKUP("Celkem",'Léky Recepty'!B:H,5,0))</f>
        <v>0.40611673270907628</v>
      </c>
      <c r="E11" s="292">
        <f t="shared" si="0"/>
        <v>0.67686122118179382</v>
      </c>
    </row>
    <row r="12" spans="1:5" ht="14.4" customHeight="1" x14ac:dyDescent="0.3">
      <c r="A12" s="296" t="str">
        <f>HYPERLINK("#'LRp PL'!A1","% plnění pozitivního listu")</f>
        <v>% plnění pozitivního listu</v>
      </c>
      <c r="B12" s="294" t="s">
        <v>188</v>
      </c>
      <c r="C12" s="297">
        <v>0.8</v>
      </c>
      <c r="D12" s="297">
        <f>IF(ISERROR(VLOOKUP("Celkem",'LRp PL'!A:F,5,0)),0,VLOOKUP("Celkem",'LRp PL'!A:F,5,0))</f>
        <v>0.88530984219256181</v>
      </c>
      <c r="E12" s="292">
        <f t="shared" si="0"/>
        <v>1.1066373027407022</v>
      </c>
    </row>
    <row r="13" spans="1:5" ht="14.4" customHeight="1" x14ac:dyDescent="0.3">
      <c r="A13" s="298" t="s">
        <v>197</v>
      </c>
      <c r="B13" s="294"/>
      <c r="C13" s="295"/>
      <c r="D13" s="295"/>
      <c r="E13" s="292"/>
    </row>
    <row r="14" spans="1:5" ht="14.4" customHeight="1" x14ac:dyDescent="0.3">
      <c r="A14" s="299" t="s">
        <v>201</v>
      </c>
      <c r="B14" s="294"/>
      <c r="C14" s="291"/>
      <c r="D14" s="291"/>
      <c r="E14" s="292"/>
    </row>
    <row r="15" spans="1:5" ht="14.4" customHeight="1" x14ac:dyDescent="0.3">
      <c r="A15" s="3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137</v>
      </c>
      <c r="C15" s="295">
        <f>IF(ISERROR(HI!F6),"",HI!F6)</f>
        <v>377.94029559579496</v>
      </c>
      <c r="D15" s="295">
        <f>IF(ISERROR(HI!E6),"",HI!E6)</f>
        <v>364.13202999999999</v>
      </c>
      <c r="E15" s="292">
        <f t="shared" si="0"/>
        <v>0.96346442610987726</v>
      </c>
    </row>
    <row r="16" spans="1:5" ht="14.4" customHeight="1" thickBot="1" x14ac:dyDescent="0.35">
      <c r="A16" s="301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5851.9998156761831</v>
      </c>
      <c r="D16" s="291">
        <f ca="1">IF(ISERROR(VLOOKUP("Osobní náklady (Kč) *",INDIRECT("HI!$A:$G"),5,0)),0,VLOOKUP("Osobní náklady (Kč) *",INDIRECT("HI!$A:$G"),5,0))</f>
        <v>5807.0342000000055</v>
      </c>
      <c r="E16" s="292">
        <f ca="1">IF(C16=0,0,D16/C16)</f>
        <v>0.99231619666908999</v>
      </c>
    </row>
    <row r="17" spans="1:5" ht="14.4" customHeight="1" thickBot="1" x14ac:dyDescent="0.35">
      <c r="A17" s="305"/>
      <c r="B17" s="306"/>
      <c r="C17" s="307"/>
      <c r="D17" s="307"/>
      <c r="E17" s="308"/>
    </row>
    <row r="18" spans="1:5" ht="14.4" customHeight="1" thickBot="1" x14ac:dyDescent="0.35">
      <c r="A18" s="309" t="str">
        <f>HYPERLINK("#HI!A1","VÝNOSY CELKEM (v tisících)")</f>
        <v>VÝNOSY CELKEM (v tisících)</v>
      </c>
      <c r="B18" s="310"/>
      <c r="C18" s="311">
        <f ca="1">IF(ISERROR(VLOOKUP("Výnosy celkem",INDIRECT("HI!$A:$G"),6,0)),0,VLOOKUP("Výnosy celkem",INDIRECT("HI!$A:$G"),6,0))</f>
        <v>17492.43</v>
      </c>
      <c r="D18" s="311">
        <f ca="1">IF(ISERROR(VLOOKUP("Výnosy celkem",INDIRECT("HI!$A:$G"),5,0)),0,VLOOKUP("Výnosy celkem",INDIRECT("HI!$A:$G"),5,0))</f>
        <v>18233.294000000002</v>
      </c>
      <c r="E18" s="312">
        <f t="shared" ref="E18:E28" ca="1" si="1">IF(C18=0,0,D18/C18)</f>
        <v>1.0423534065878783</v>
      </c>
    </row>
    <row r="19" spans="1:5" ht="14.4" customHeight="1" x14ac:dyDescent="0.3">
      <c r="A19" s="313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15533.13</v>
      </c>
      <c r="D19" s="291">
        <f ca="1">IF(ISERROR(VLOOKUP("Ambulance *",INDIRECT("HI!$A:$G"),5,0)),0,VLOOKUP("Ambulance *",INDIRECT("HI!$A:$G"),5,0))</f>
        <v>16551.374</v>
      </c>
      <c r="E19" s="292">
        <f t="shared" ca="1" si="1"/>
        <v>1.0655530469390264</v>
      </c>
    </row>
    <row r="20" spans="1:5" ht="14.4" customHeight="1" x14ac:dyDescent="0.3">
      <c r="A20" s="314" t="str">
        <f>HYPERLINK("#'ZV Vykáz.-A'!A1","Zdravotní výkony vykázané u ambulantních pacientů (min. 100 %)")</f>
        <v>Zdravotní výkony vykázané u ambulantních pacientů (min. 100 %)</v>
      </c>
      <c r="B20" s="277" t="s">
        <v>154</v>
      </c>
      <c r="C20" s="297">
        <v>1</v>
      </c>
      <c r="D20" s="297">
        <f>IF(ISERROR(VLOOKUP("Celkem:",'ZV Vykáz.-A'!$A:$S,7,0)),"",VLOOKUP("Celkem:",'ZV Vykáz.-A'!$A:$S,7,0))</f>
        <v>1.0655530469390264</v>
      </c>
      <c r="E20" s="292">
        <f t="shared" si="1"/>
        <v>1.0655530469390264</v>
      </c>
    </row>
    <row r="21" spans="1:5" ht="14.4" customHeight="1" x14ac:dyDescent="0.3">
      <c r="A21" s="314" t="str">
        <f>HYPERLINK("#'ZV Vykáz.-H'!A1","Zdravotní výkony vykázané u hospitalizovaných pacientů (max. 85 %)")</f>
        <v>Zdravotní výkony vykázané u hospitalizovaných pacientů (max. 85 %)</v>
      </c>
      <c r="B21" s="277" t="s">
        <v>156</v>
      </c>
      <c r="C21" s="297">
        <v>0.85</v>
      </c>
      <c r="D21" s="297">
        <f>IF(ISERROR(VLOOKUP("Celkem:",'ZV Vykáz.-H'!$A:$S,7,0)),"",VLOOKUP("Celkem:",'ZV Vykáz.-H'!$A:$S,7,0))</f>
        <v>0.77421909414121703</v>
      </c>
      <c r="E21" s="292">
        <f t="shared" si="1"/>
        <v>0.91084599310731418</v>
      </c>
    </row>
    <row r="22" spans="1:5" ht="14.4" customHeight="1" x14ac:dyDescent="0.3">
      <c r="A22" s="315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1959.3000000000002</v>
      </c>
      <c r="D22" s="291">
        <f ca="1">IF(ISERROR(VLOOKUP("Hospitalizace *",INDIRECT("HI!$A:$G"),5,0)),0,VLOOKUP("Hospitalizace *",INDIRECT("HI!$A:$G"),5,0))</f>
        <v>1681.92</v>
      </c>
      <c r="E22" s="292">
        <f ca="1">IF(C22=0,0,D22/C22)</f>
        <v>0.85842903077629762</v>
      </c>
    </row>
    <row r="23" spans="1:5" ht="14.4" customHeight="1" x14ac:dyDescent="0.3">
      <c r="A23" s="314" t="str">
        <f>HYPERLINK("#'CaseMix'!A1","Casemix (min. 100 %)")</f>
        <v>Casemix (min. 100 %)</v>
      </c>
      <c r="B23" s="294" t="s">
        <v>71</v>
      </c>
      <c r="C23" s="297">
        <v>1</v>
      </c>
      <c r="D23" s="297">
        <f>IF(ISERROR(VLOOKUP("Celkem",CaseMix!A:M,5,0)),0,VLOOKUP("Celkem",CaseMix!A:M,5,0))</f>
        <v>0.85842903077629762</v>
      </c>
      <c r="E23" s="292">
        <f t="shared" si="1"/>
        <v>0.85842903077629762</v>
      </c>
    </row>
    <row r="24" spans="1:5" ht="14.4" customHeight="1" x14ac:dyDescent="0.3">
      <c r="A24" s="316" t="str">
        <f>HYPERLINK("#'CaseMix'!A1","DRG mimo vyjmenované baze")</f>
        <v>DRG mimo vyjmenované baze</v>
      </c>
      <c r="B24" s="294" t="s">
        <v>71</v>
      </c>
      <c r="C24" s="297">
        <v>1</v>
      </c>
      <c r="D24" s="297">
        <f>IF(ISERROR(CaseMix!E26),"",CaseMix!E26)</f>
        <v>0.85842903077629762</v>
      </c>
      <c r="E24" s="292">
        <f t="shared" si="1"/>
        <v>0.85842903077629762</v>
      </c>
    </row>
    <row r="25" spans="1:5" ht="14.4" customHeight="1" x14ac:dyDescent="0.3">
      <c r="A25" s="316" t="str">
        <f>HYPERLINK("#'CaseMix'!A1","Vyjmenované baze DRG")</f>
        <v>Vyjmenované baze DRG</v>
      </c>
      <c r="B25" s="294" t="s">
        <v>71</v>
      </c>
      <c r="C25" s="297">
        <v>1</v>
      </c>
      <c r="D25" s="297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4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7">
        <v>0.95</v>
      </c>
      <c r="D26" s="297">
        <f>IF(ISERROR(CaseMix!I13),"",CaseMix!I13)</f>
        <v>0.97727272727272729</v>
      </c>
      <c r="E26" s="292">
        <f t="shared" si="1"/>
        <v>1.028708133971292</v>
      </c>
    </row>
    <row r="27" spans="1:5" ht="14.4" customHeight="1" x14ac:dyDescent="0.3">
      <c r="A27" s="314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7">
        <v>1</v>
      </c>
      <c r="D27" s="317">
        <f>IF(ISERROR(INDEX(ALOS!$E:$E,COUNT(ALOS!$E:$E)+32)),0,INDEX(ALOS!$E:$E,COUNT(ALOS!$E:$E)+32))</f>
        <v>1.1061819438843117</v>
      </c>
      <c r="E27" s="292">
        <f t="shared" si="1"/>
        <v>1.1061819438843117</v>
      </c>
    </row>
    <row r="28" spans="1:5" ht="27.6" x14ac:dyDescent="0.3">
      <c r="A28" s="31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151</v>
      </c>
      <c r="C28" s="297">
        <f>IF(E23&gt;1,95%,95%-2*ABS(C23-D23))</f>
        <v>0.66685806155259519</v>
      </c>
      <c r="D28" s="297">
        <f>IF(ISERROR(VLOOKUP("Celkem:",'ZV Vyžád.'!$A:$M,7,0)),"",VLOOKUP("Celkem:",'ZV Vyžád.'!$A:$M,7,0))</f>
        <v>1.0326688006441402</v>
      </c>
      <c r="E28" s="292">
        <f t="shared" si="1"/>
        <v>1.5485586216650895</v>
      </c>
    </row>
    <row r="29" spans="1:5" ht="14.4" customHeight="1" thickBot="1" x14ac:dyDescent="0.35">
      <c r="A29" s="319" t="s">
        <v>198</v>
      </c>
      <c r="B29" s="302"/>
      <c r="C29" s="303"/>
      <c r="D29" s="303"/>
      <c r="E29" s="304"/>
    </row>
    <row r="30" spans="1:5" ht="14.4" customHeight="1" thickBot="1" x14ac:dyDescent="0.35">
      <c r="A30" s="320"/>
      <c r="B30" s="321"/>
      <c r="C30" s="322"/>
      <c r="D30" s="322"/>
      <c r="E30" s="323"/>
    </row>
    <row r="31" spans="1:5" ht="14.4" customHeight="1" thickBot="1" x14ac:dyDescent="0.35">
      <c r="A31" s="324" t="s">
        <v>199</v>
      </c>
      <c r="B31" s="325"/>
      <c r="C31" s="326"/>
      <c r="D31" s="326"/>
      <c r="E31" s="327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9" priority="20" operator="lessThan">
      <formula>1</formula>
    </cfRule>
  </conditionalFormatting>
  <conditionalFormatting sqref="E9">
    <cfRule type="cellIs" dxfId="7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26"/>
  <sheetViews>
    <sheetView showGridLines="0" showRowColHeaders="0" workbookViewId="0"/>
  </sheetViews>
  <sheetFormatPr defaultRowHeight="14.4" x14ac:dyDescent="0.3"/>
  <cols>
    <col min="1" max="16384" width="8.88671875" style="379"/>
  </cols>
  <sheetData>
    <row r="1" spans="1:41" x14ac:dyDescent="0.3">
      <c r="A1" s="379" t="s">
        <v>1246</v>
      </c>
    </row>
    <row r="2" spans="1:41" x14ac:dyDescent="0.3">
      <c r="A2" s="383" t="s">
        <v>336</v>
      </c>
    </row>
    <row r="3" spans="1:41" x14ac:dyDescent="0.3">
      <c r="A3" s="379" t="s">
        <v>220</v>
      </c>
      <c r="B3" s="404">
        <v>2015</v>
      </c>
      <c r="D3" s="380">
        <f>MAX(D5:D1048576)</f>
        <v>3</v>
      </c>
      <c r="F3" s="380">
        <f>SUMIF($E5:$E1048576,"&lt;10",F5:F1048576)</f>
        <v>4366402.0999999996</v>
      </c>
      <c r="G3" s="380">
        <f t="shared" ref="G3:AO3" si="0">SUMIF($E5:$E1048576,"&lt;10",G5:G1048576)</f>
        <v>0</v>
      </c>
      <c r="H3" s="380">
        <f t="shared" si="0"/>
        <v>2014002.45</v>
      </c>
      <c r="I3" s="380">
        <f t="shared" si="0"/>
        <v>0</v>
      </c>
      <c r="J3" s="380">
        <f t="shared" si="0"/>
        <v>172691</v>
      </c>
      <c r="K3" s="380">
        <f t="shared" si="0"/>
        <v>515666.75</v>
      </c>
      <c r="L3" s="380">
        <f t="shared" si="0"/>
        <v>0</v>
      </c>
      <c r="M3" s="380">
        <f t="shared" si="0"/>
        <v>0</v>
      </c>
      <c r="N3" s="380">
        <f t="shared" si="0"/>
        <v>1124392</v>
      </c>
      <c r="O3" s="380">
        <f t="shared" si="0"/>
        <v>94779</v>
      </c>
      <c r="P3" s="380">
        <f t="shared" si="0"/>
        <v>0</v>
      </c>
      <c r="Q3" s="380">
        <f t="shared" si="0"/>
        <v>0</v>
      </c>
      <c r="R3" s="380">
        <f t="shared" si="0"/>
        <v>0</v>
      </c>
      <c r="S3" s="380">
        <f t="shared" si="0"/>
        <v>0</v>
      </c>
      <c r="T3" s="380">
        <f t="shared" si="0"/>
        <v>128139</v>
      </c>
      <c r="U3" s="380">
        <f t="shared" si="0"/>
        <v>0</v>
      </c>
      <c r="V3" s="380">
        <f t="shared" si="0"/>
        <v>0</v>
      </c>
      <c r="W3" s="380">
        <f t="shared" si="0"/>
        <v>0</v>
      </c>
      <c r="X3" s="380">
        <f t="shared" si="0"/>
        <v>0</v>
      </c>
      <c r="Y3" s="380">
        <f t="shared" si="0"/>
        <v>0</v>
      </c>
      <c r="Z3" s="380">
        <f t="shared" si="0"/>
        <v>0</v>
      </c>
      <c r="AA3" s="380">
        <f t="shared" si="0"/>
        <v>0</v>
      </c>
      <c r="AB3" s="380">
        <f t="shared" si="0"/>
        <v>0</v>
      </c>
      <c r="AC3" s="380">
        <f t="shared" si="0"/>
        <v>0</v>
      </c>
      <c r="AD3" s="380">
        <f t="shared" si="0"/>
        <v>0</v>
      </c>
      <c r="AE3" s="380">
        <f t="shared" si="0"/>
        <v>0</v>
      </c>
      <c r="AF3" s="380">
        <f t="shared" si="0"/>
        <v>0</v>
      </c>
      <c r="AG3" s="380">
        <f t="shared" si="0"/>
        <v>0</v>
      </c>
      <c r="AH3" s="380">
        <f t="shared" si="0"/>
        <v>0</v>
      </c>
      <c r="AI3" s="380">
        <f t="shared" si="0"/>
        <v>93192</v>
      </c>
      <c r="AJ3" s="380">
        <f t="shared" si="0"/>
        <v>0</v>
      </c>
      <c r="AK3" s="380">
        <f t="shared" si="0"/>
        <v>0</v>
      </c>
      <c r="AL3" s="380">
        <f t="shared" si="0"/>
        <v>0</v>
      </c>
      <c r="AM3" s="380">
        <f t="shared" si="0"/>
        <v>0</v>
      </c>
      <c r="AN3" s="380">
        <f t="shared" si="0"/>
        <v>223539.9</v>
      </c>
      <c r="AO3" s="380">
        <f t="shared" si="0"/>
        <v>0</v>
      </c>
    </row>
    <row r="4" spans="1:41" x14ac:dyDescent="0.3">
      <c r="A4" s="379" t="s">
        <v>221</v>
      </c>
      <c r="B4" s="404">
        <v>1</v>
      </c>
      <c r="C4" s="381" t="s">
        <v>5</v>
      </c>
      <c r="D4" s="382" t="s">
        <v>68</v>
      </c>
      <c r="E4" s="382" t="s">
        <v>215</v>
      </c>
      <c r="F4" s="382" t="s">
        <v>3</v>
      </c>
      <c r="G4" s="382" t="s">
        <v>216</v>
      </c>
      <c r="H4" s="382" t="s">
        <v>217</v>
      </c>
      <c r="I4" s="382" t="s">
        <v>218</v>
      </c>
      <c r="J4" s="382" t="s">
        <v>219</v>
      </c>
      <c r="K4" s="382">
        <v>305</v>
      </c>
      <c r="L4" s="382">
        <v>306</v>
      </c>
      <c r="M4" s="382">
        <v>407</v>
      </c>
      <c r="N4" s="382">
        <v>408</v>
      </c>
      <c r="O4" s="382">
        <v>409</v>
      </c>
      <c r="P4" s="382">
        <v>410</v>
      </c>
      <c r="Q4" s="382">
        <v>415</v>
      </c>
      <c r="R4" s="382">
        <v>416</v>
      </c>
      <c r="S4" s="382">
        <v>418</v>
      </c>
      <c r="T4" s="382">
        <v>419</v>
      </c>
      <c r="U4" s="382">
        <v>420</v>
      </c>
      <c r="V4" s="382">
        <v>421</v>
      </c>
      <c r="W4" s="382">
        <v>522</v>
      </c>
      <c r="X4" s="382">
        <v>523</v>
      </c>
      <c r="Y4" s="382">
        <v>524</v>
      </c>
      <c r="Z4" s="382">
        <v>525</v>
      </c>
      <c r="AA4" s="382">
        <v>526</v>
      </c>
      <c r="AB4" s="382">
        <v>527</v>
      </c>
      <c r="AC4" s="382">
        <v>528</v>
      </c>
      <c r="AD4" s="382">
        <v>629</v>
      </c>
      <c r="AE4" s="382">
        <v>630</v>
      </c>
      <c r="AF4" s="382">
        <v>636</v>
      </c>
      <c r="AG4" s="382">
        <v>637</v>
      </c>
      <c r="AH4" s="382">
        <v>640</v>
      </c>
      <c r="AI4" s="382">
        <v>642</v>
      </c>
      <c r="AJ4" s="382">
        <v>743</v>
      </c>
      <c r="AK4" s="382">
        <v>745</v>
      </c>
      <c r="AL4" s="382">
        <v>746</v>
      </c>
      <c r="AM4" s="382">
        <v>747</v>
      </c>
      <c r="AN4" s="382">
        <v>930</v>
      </c>
      <c r="AO4" s="382">
        <v>940</v>
      </c>
    </row>
    <row r="5" spans="1:41" x14ac:dyDescent="0.3">
      <c r="A5" s="379" t="s">
        <v>222</v>
      </c>
      <c r="B5" s="404">
        <v>2</v>
      </c>
      <c r="C5" s="379">
        <v>22</v>
      </c>
      <c r="D5" s="379">
        <v>1</v>
      </c>
      <c r="E5" s="379">
        <v>1</v>
      </c>
      <c r="F5" s="379">
        <v>36.85</v>
      </c>
      <c r="G5" s="379">
        <v>0</v>
      </c>
      <c r="H5" s="379">
        <v>9.9499999999999993</v>
      </c>
      <c r="I5" s="379">
        <v>0</v>
      </c>
      <c r="J5" s="379">
        <v>1</v>
      </c>
      <c r="K5" s="379">
        <v>5</v>
      </c>
      <c r="L5" s="379">
        <v>0</v>
      </c>
      <c r="M5" s="379">
        <v>0</v>
      </c>
      <c r="N5" s="379">
        <v>12</v>
      </c>
      <c r="O5" s="379">
        <v>1</v>
      </c>
      <c r="P5" s="379">
        <v>0</v>
      </c>
      <c r="Q5" s="379">
        <v>0</v>
      </c>
      <c r="R5" s="379">
        <v>0</v>
      </c>
      <c r="S5" s="379">
        <v>0</v>
      </c>
      <c r="T5" s="379">
        <v>2</v>
      </c>
      <c r="U5" s="379">
        <v>0</v>
      </c>
      <c r="V5" s="379">
        <v>0</v>
      </c>
      <c r="W5" s="379">
        <v>0</v>
      </c>
      <c r="X5" s="379">
        <v>0</v>
      </c>
      <c r="Y5" s="379">
        <v>0</v>
      </c>
      <c r="Z5" s="379">
        <v>0</v>
      </c>
      <c r="AA5" s="379">
        <v>0</v>
      </c>
      <c r="AB5" s="379">
        <v>0</v>
      </c>
      <c r="AC5" s="379">
        <v>0</v>
      </c>
      <c r="AD5" s="379">
        <v>0</v>
      </c>
      <c r="AE5" s="379">
        <v>0</v>
      </c>
      <c r="AF5" s="379">
        <v>0</v>
      </c>
      <c r="AG5" s="379">
        <v>0</v>
      </c>
      <c r="AH5" s="379">
        <v>0</v>
      </c>
      <c r="AI5" s="379">
        <v>2</v>
      </c>
      <c r="AJ5" s="379">
        <v>0</v>
      </c>
      <c r="AK5" s="379">
        <v>0</v>
      </c>
      <c r="AL5" s="379">
        <v>0</v>
      </c>
      <c r="AM5" s="379">
        <v>0</v>
      </c>
      <c r="AN5" s="379">
        <v>3.9</v>
      </c>
      <c r="AO5" s="379">
        <v>0</v>
      </c>
    </row>
    <row r="6" spans="1:41" x14ac:dyDescent="0.3">
      <c r="A6" s="379" t="s">
        <v>223</v>
      </c>
      <c r="B6" s="404">
        <v>3</v>
      </c>
      <c r="C6" s="379">
        <v>22</v>
      </c>
      <c r="D6" s="379">
        <v>1</v>
      </c>
      <c r="E6" s="379">
        <v>2</v>
      </c>
      <c r="F6" s="379">
        <v>5840.1</v>
      </c>
      <c r="G6" s="379">
        <v>0</v>
      </c>
      <c r="H6" s="379">
        <v>1548</v>
      </c>
      <c r="I6" s="379">
        <v>0</v>
      </c>
      <c r="J6" s="379">
        <v>176</v>
      </c>
      <c r="K6" s="379">
        <v>769.5</v>
      </c>
      <c r="L6" s="379">
        <v>0</v>
      </c>
      <c r="M6" s="379">
        <v>0</v>
      </c>
      <c r="N6" s="379">
        <v>1982</v>
      </c>
      <c r="O6" s="379">
        <v>168</v>
      </c>
      <c r="P6" s="379">
        <v>0</v>
      </c>
      <c r="Q6" s="379">
        <v>0</v>
      </c>
      <c r="R6" s="379">
        <v>0</v>
      </c>
      <c r="S6" s="379">
        <v>0</v>
      </c>
      <c r="T6" s="379">
        <v>336</v>
      </c>
      <c r="U6" s="379">
        <v>0</v>
      </c>
      <c r="V6" s="379">
        <v>0</v>
      </c>
      <c r="W6" s="379">
        <v>0</v>
      </c>
      <c r="X6" s="379">
        <v>0</v>
      </c>
      <c r="Y6" s="379">
        <v>0</v>
      </c>
      <c r="Z6" s="379">
        <v>0</v>
      </c>
      <c r="AA6" s="379">
        <v>0</v>
      </c>
      <c r="AB6" s="379">
        <v>0</v>
      </c>
      <c r="AC6" s="379">
        <v>0</v>
      </c>
      <c r="AD6" s="379">
        <v>0</v>
      </c>
      <c r="AE6" s="379">
        <v>0</v>
      </c>
      <c r="AF6" s="379">
        <v>0</v>
      </c>
      <c r="AG6" s="379">
        <v>0</v>
      </c>
      <c r="AH6" s="379">
        <v>0</v>
      </c>
      <c r="AI6" s="379">
        <v>248</v>
      </c>
      <c r="AJ6" s="379">
        <v>0</v>
      </c>
      <c r="AK6" s="379">
        <v>0</v>
      </c>
      <c r="AL6" s="379">
        <v>0</v>
      </c>
      <c r="AM6" s="379">
        <v>0</v>
      </c>
      <c r="AN6" s="379">
        <v>612.6</v>
      </c>
      <c r="AO6" s="379">
        <v>0</v>
      </c>
    </row>
    <row r="7" spans="1:41" x14ac:dyDescent="0.3">
      <c r="A7" s="379" t="s">
        <v>224</v>
      </c>
      <c r="B7" s="404">
        <v>4</v>
      </c>
      <c r="C7" s="379">
        <v>22</v>
      </c>
      <c r="D7" s="379">
        <v>1</v>
      </c>
      <c r="E7" s="379">
        <v>3</v>
      </c>
      <c r="F7" s="379">
        <v>26</v>
      </c>
      <c r="G7" s="379">
        <v>0</v>
      </c>
      <c r="H7" s="379">
        <v>26</v>
      </c>
      <c r="I7" s="379">
        <v>0</v>
      </c>
      <c r="J7" s="379">
        <v>0</v>
      </c>
      <c r="K7" s="379">
        <v>0</v>
      </c>
      <c r="L7" s="379">
        <v>0</v>
      </c>
      <c r="M7" s="379">
        <v>0</v>
      </c>
      <c r="N7" s="379">
        <v>0</v>
      </c>
      <c r="O7" s="379">
        <v>0</v>
      </c>
      <c r="P7" s="379">
        <v>0</v>
      </c>
      <c r="Q7" s="379">
        <v>0</v>
      </c>
      <c r="R7" s="379">
        <v>0</v>
      </c>
      <c r="S7" s="379">
        <v>0</v>
      </c>
      <c r="T7" s="379">
        <v>0</v>
      </c>
      <c r="U7" s="379">
        <v>0</v>
      </c>
      <c r="V7" s="379">
        <v>0</v>
      </c>
      <c r="W7" s="379">
        <v>0</v>
      </c>
      <c r="X7" s="379">
        <v>0</v>
      </c>
      <c r="Y7" s="379">
        <v>0</v>
      </c>
      <c r="Z7" s="379">
        <v>0</v>
      </c>
      <c r="AA7" s="379">
        <v>0</v>
      </c>
      <c r="AB7" s="379">
        <v>0</v>
      </c>
      <c r="AC7" s="379">
        <v>0</v>
      </c>
      <c r="AD7" s="379">
        <v>0</v>
      </c>
      <c r="AE7" s="379">
        <v>0</v>
      </c>
      <c r="AF7" s="379">
        <v>0</v>
      </c>
      <c r="AG7" s="379">
        <v>0</v>
      </c>
      <c r="AH7" s="379">
        <v>0</v>
      </c>
      <c r="AI7" s="379">
        <v>0</v>
      </c>
      <c r="AJ7" s="379">
        <v>0</v>
      </c>
      <c r="AK7" s="379">
        <v>0</v>
      </c>
      <c r="AL7" s="379">
        <v>0</v>
      </c>
      <c r="AM7" s="379">
        <v>0</v>
      </c>
      <c r="AN7" s="379">
        <v>0</v>
      </c>
      <c r="AO7" s="379">
        <v>0</v>
      </c>
    </row>
    <row r="8" spans="1:41" x14ac:dyDescent="0.3">
      <c r="A8" s="379" t="s">
        <v>225</v>
      </c>
      <c r="B8" s="404">
        <v>5</v>
      </c>
      <c r="C8" s="379">
        <v>22</v>
      </c>
      <c r="D8" s="379">
        <v>1</v>
      </c>
      <c r="E8" s="379">
        <v>4</v>
      </c>
      <c r="F8" s="379">
        <v>474.5</v>
      </c>
      <c r="G8" s="379">
        <v>0</v>
      </c>
      <c r="H8" s="379">
        <v>238</v>
      </c>
      <c r="I8" s="379">
        <v>0</v>
      </c>
      <c r="J8" s="379">
        <v>12</v>
      </c>
      <c r="K8" s="379">
        <v>0</v>
      </c>
      <c r="L8" s="379">
        <v>0</v>
      </c>
      <c r="M8" s="379">
        <v>0</v>
      </c>
      <c r="N8" s="379">
        <v>195.5</v>
      </c>
      <c r="O8" s="379">
        <v>13</v>
      </c>
      <c r="P8" s="379">
        <v>0</v>
      </c>
      <c r="Q8" s="379">
        <v>0</v>
      </c>
      <c r="R8" s="379">
        <v>0</v>
      </c>
      <c r="S8" s="379">
        <v>0</v>
      </c>
      <c r="T8" s="379">
        <v>16</v>
      </c>
      <c r="U8" s="379">
        <v>0</v>
      </c>
      <c r="V8" s="379">
        <v>0</v>
      </c>
      <c r="W8" s="379">
        <v>0</v>
      </c>
      <c r="X8" s="379">
        <v>0</v>
      </c>
      <c r="Y8" s="379">
        <v>0</v>
      </c>
      <c r="Z8" s="379">
        <v>0</v>
      </c>
      <c r="AA8" s="379">
        <v>0</v>
      </c>
      <c r="AB8" s="379">
        <v>0</v>
      </c>
      <c r="AC8" s="379">
        <v>0</v>
      </c>
      <c r="AD8" s="379">
        <v>0</v>
      </c>
      <c r="AE8" s="379">
        <v>0</v>
      </c>
      <c r="AF8" s="379">
        <v>0</v>
      </c>
      <c r="AG8" s="379">
        <v>0</v>
      </c>
      <c r="AH8" s="379">
        <v>0</v>
      </c>
      <c r="AI8" s="379">
        <v>0</v>
      </c>
      <c r="AJ8" s="379">
        <v>0</v>
      </c>
      <c r="AK8" s="379">
        <v>0</v>
      </c>
      <c r="AL8" s="379">
        <v>0</v>
      </c>
      <c r="AM8" s="379">
        <v>0</v>
      </c>
      <c r="AN8" s="379">
        <v>0</v>
      </c>
      <c r="AO8" s="379">
        <v>0</v>
      </c>
    </row>
    <row r="9" spans="1:41" x14ac:dyDescent="0.3">
      <c r="A9" s="379" t="s">
        <v>226</v>
      </c>
      <c r="B9" s="404">
        <v>6</v>
      </c>
      <c r="C9" s="379">
        <v>22</v>
      </c>
      <c r="D9" s="379">
        <v>1</v>
      </c>
      <c r="E9" s="379">
        <v>6</v>
      </c>
      <c r="F9" s="379">
        <v>1430886</v>
      </c>
      <c r="G9" s="379">
        <v>0</v>
      </c>
      <c r="H9" s="379">
        <v>666283</v>
      </c>
      <c r="I9" s="379">
        <v>0</v>
      </c>
      <c r="J9" s="379">
        <v>49841</v>
      </c>
      <c r="K9" s="379">
        <v>174143</v>
      </c>
      <c r="L9" s="379">
        <v>0</v>
      </c>
      <c r="M9" s="379">
        <v>0</v>
      </c>
      <c r="N9" s="379">
        <v>372465</v>
      </c>
      <c r="O9" s="379">
        <v>29811</v>
      </c>
      <c r="P9" s="379">
        <v>0</v>
      </c>
      <c r="Q9" s="379">
        <v>0</v>
      </c>
      <c r="R9" s="379">
        <v>0</v>
      </c>
      <c r="S9" s="379">
        <v>0</v>
      </c>
      <c r="T9" s="379">
        <v>42687</v>
      </c>
      <c r="U9" s="379">
        <v>0</v>
      </c>
      <c r="V9" s="379">
        <v>0</v>
      </c>
      <c r="W9" s="379">
        <v>0</v>
      </c>
      <c r="X9" s="379">
        <v>0</v>
      </c>
      <c r="Y9" s="379">
        <v>0</v>
      </c>
      <c r="Z9" s="379">
        <v>0</v>
      </c>
      <c r="AA9" s="379">
        <v>0</v>
      </c>
      <c r="AB9" s="379">
        <v>0</v>
      </c>
      <c r="AC9" s="379">
        <v>0</v>
      </c>
      <c r="AD9" s="379">
        <v>0</v>
      </c>
      <c r="AE9" s="379">
        <v>0</v>
      </c>
      <c r="AF9" s="379">
        <v>0</v>
      </c>
      <c r="AG9" s="379">
        <v>0</v>
      </c>
      <c r="AH9" s="379">
        <v>0</v>
      </c>
      <c r="AI9" s="379">
        <v>25577</v>
      </c>
      <c r="AJ9" s="379">
        <v>0</v>
      </c>
      <c r="AK9" s="379">
        <v>0</v>
      </c>
      <c r="AL9" s="379">
        <v>0</v>
      </c>
      <c r="AM9" s="379">
        <v>0</v>
      </c>
      <c r="AN9" s="379">
        <v>70079</v>
      </c>
      <c r="AO9" s="379">
        <v>0</v>
      </c>
    </row>
    <row r="10" spans="1:41" x14ac:dyDescent="0.3">
      <c r="A10" s="379" t="s">
        <v>227</v>
      </c>
      <c r="B10" s="404">
        <v>7</v>
      </c>
      <c r="C10" s="379">
        <v>22</v>
      </c>
      <c r="D10" s="379">
        <v>1</v>
      </c>
      <c r="E10" s="379">
        <v>9</v>
      </c>
      <c r="F10" s="379">
        <v>15290</v>
      </c>
      <c r="G10" s="379">
        <v>0</v>
      </c>
      <c r="H10" s="379">
        <v>4700</v>
      </c>
      <c r="I10" s="379">
        <v>0</v>
      </c>
      <c r="J10" s="379">
        <v>0</v>
      </c>
      <c r="K10" s="379">
        <v>6000</v>
      </c>
      <c r="L10" s="379">
        <v>0</v>
      </c>
      <c r="M10" s="379">
        <v>0</v>
      </c>
      <c r="N10" s="379">
        <v>3000</v>
      </c>
      <c r="O10" s="379">
        <v>0</v>
      </c>
      <c r="P10" s="379">
        <v>0</v>
      </c>
      <c r="Q10" s="379">
        <v>0</v>
      </c>
      <c r="R10" s="379">
        <v>0</v>
      </c>
      <c r="S10" s="379">
        <v>0</v>
      </c>
      <c r="T10" s="379">
        <v>0</v>
      </c>
      <c r="U10" s="379">
        <v>0</v>
      </c>
      <c r="V10" s="379">
        <v>0</v>
      </c>
      <c r="W10" s="379">
        <v>0</v>
      </c>
      <c r="X10" s="379">
        <v>0</v>
      </c>
      <c r="Y10" s="379">
        <v>0</v>
      </c>
      <c r="Z10" s="379">
        <v>0</v>
      </c>
      <c r="AA10" s="379">
        <v>0</v>
      </c>
      <c r="AB10" s="379">
        <v>0</v>
      </c>
      <c r="AC10" s="379">
        <v>0</v>
      </c>
      <c r="AD10" s="379">
        <v>0</v>
      </c>
      <c r="AE10" s="379">
        <v>0</v>
      </c>
      <c r="AF10" s="379">
        <v>0</v>
      </c>
      <c r="AG10" s="379">
        <v>0</v>
      </c>
      <c r="AH10" s="379">
        <v>0</v>
      </c>
      <c r="AI10" s="379">
        <v>1590</v>
      </c>
      <c r="AJ10" s="379">
        <v>0</v>
      </c>
      <c r="AK10" s="379">
        <v>0</v>
      </c>
      <c r="AL10" s="379">
        <v>0</v>
      </c>
      <c r="AM10" s="379">
        <v>0</v>
      </c>
      <c r="AN10" s="379">
        <v>0</v>
      </c>
      <c r="AO10" s="379">
        <v>0</v>
      </c>
    </row>
    <row r="11" spans="1:41" x14ac:dyDescent="0.3">
      <c r="A11" s="379" t="s">
        <v>228</v>
      </c>
      <c r="B11" s="404">
        <v>8</v>
      </c>
      <c r="C11" s="379">
        <v>22</v>
      </c>
      <c r="D11" s="379">
        <v>1</v>
      </c>
      <c r="E11" s="379">
        <v>11</v>
      </c>
      <c r="F11" s="379">
        <v>4855.6950700314683</v>
      </c>
      <c r="G11" s="379">
        <v>0</v>
      </c>
      <c r="H11" s="379">
        <v>3605.6950700314678</v>
      </c>
      <c r="I11" s="379">
        <v>0</v>
      </c>
      <c r="J11" s="379">
        <v>0</v>
      </c>
      <c r="K11" s="379">
        <v>1250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  <c r="S11" s="379">
        <v>0</v>
      </c>
      <c r="T11" s="379">
        <v>0</v>
      </c>
      <c r="U11" s="379">
        <v>0</v>
      </c>
      <c r="V11" s="379">
        <v>0</v>
      </c>
      <c r="W11" s="379">
        <v>0</v>
      </c>
      <c r="X11" s="379">
        <v>0</v>
      </c>
      <c r="Y11" s="379">
        <v>0</v>
      </c>
      <c r="Z11" s="379">
        <v>0</v>
      </c>
      <c r="AA11" s="379">
        <v>0</v>
      </c>
      <c r="AB11" s="379">
        <v>0</v>
      </c>
      <c r="AC11" s="379">
        <v>0</v>
      </c>
      <c r="AD11" s="379">
        <v>0</v>
      </c>
      <c r="AE11" s="379">
        <v>0</v>
      </c>
      <c r="AF11" s="379">
        <v>0</v>
      </c>
      <c r="AG11" s="379">
        <v>0</v>
      </c>
      <c r="AH11" s="379">
        <v>0</v>
      </c>
      <c r="AI11" s="379">
        <v>0</v>
      </c>
      <c r="AJ11" s="379">
        <v>0</v>
      </c>
      <c r="AK11" s="379">
        <v>0</v>
      </c>
      <c r="AL11" s="379">
        <v>0</v>
      </c>
      <c r="AM11" s="379">
        <v>0</v>
      </c>
      <c r="AN11" s="379">
        <v>0</v>
      </c>
      <c r="AO11" s="379">
        <v>0</v>
      </c>
    </row>
    <row r="12" spans="1:41" x14ac:dyDescent="0.3">
      <c r="A12" s="379" t="s">
        <v>229</v>
      </c>
      <c r="B12" s="404">
        <v>9</v>
      </c>
      <c r="C12" s="379">
        <v>22</v>
      </c>
      <c r="D12" s="379">
        <v>2</v>
      </c>
      <c r="E12" s="379">
        <v>1</v>
      </c>
      <c r="F12" s="379">
        <v>36.65</v>
      </c>
      <c r="G12" s="379">
        <v>0</v>
      </c>
      <c r="H12" s="379">
        <v>9.75</v>
      </c>
      <c r="I12" s="379">
        <v>0</v>
      </c>
      <c r="J12" s="379">
        <v>1</v>
      </c>
      <c r="K12" s="379">
        <v>5</v>
      </c>
      <c r="L12" s="379">
        <v>0</v>
      </c>
      <c r="M12" s="379">
        <v>0</v>
      </c>
      <c r="N12" s="379">
        <v>12</v>
      </c>
      <c r="O12" s="379">
        <v>1</v>
      </c>
      <c r="P12" s="379">
        <v>0</v>
      </c>
      <c r="Q12" s="379">
        <v>0</v>
      </c>
      <c r="R12" s="379">
        <v>0</v>
      </c>
      <c r="S12" s="379">
        <v>0</v>
      </c>
      <c r="T12" s="379">
        <v>2</v>
      </c>
      <c r="U12" s="379">
        <v>0</v>
      </c>
      <c r="V12" s="379">
        <v>0</v>
      </c>
      <c r="W12" s="379">
        <v>0</v>
      </c>
      <c r="X12" s="379">
        <v>0</v>
      </c>
      <c r="Y12" s="379">
        <v>0</v>
      </c>
      <c r="Z12" s="379">
        <v>0</v>
      </c>
      <c r="AA12" s="379">
        <v>0</v>
      </c>
      <c r="AB12" s="379">
        <v>0</v>
      </c>
      <c r="AC12" s="379">
        <v>0</v>
      </c>
      <c r="AD12" s="379">
        <v>0</v>
      </c>
      <c r="AE12" s="379">
        <v>0</v>
      </c>
      <c r="AF12" s="379">
        <v>0</v>
      </c>
      <c r="AG12" s="379">
        <v>0</v>
      </c>
      <c r="AH12" s="379">
        <v>0</v>
      </c>
      <c r="AI12" s="379">
        <v>2</v>
      </c>
      <c r="AJ12" s="379">
        <v>0</v>
      </c>
      <c r="AK12" s="379">
        <v>0</v>
      </c>
      <c r="AL12" s="379">
        <v>0</v>
      </c>
      <c r="AM12" s="379">
        <v>0</v>
      </c>
      <c r="AN12" s="379">
        <v>3.9</v>
      </c>
      <c r="AO12" s="379">
        <v>0</v>
      </c>
    </row>
    <row r="13" spans="1:41" x14ac:dyDescent="0.3">
      <c r="A13" s="379" t="s">
        <v>230</v>
      </c>
      <c r="B13" s="404">
        <v>10</v>
      </c>
      <c r="C13" s="379">
        <v>22</v>
      </c>
      <c r="D13" s="379">
        <v>2</v>
      </c>
      <c r="E13" s="379">
        <v>2</v>
      </c>
      <c r="F13" s="379">
        <v>5110</v>
      </c>
      <c r="G13" s="379">
        <v>0</v>
      </c>
      <c r="H13" s="379">
        <v>1400</v>
      </c>
      <c r="I13" s="379">
        <v>0</v>
      </c>
      <c r="J13" s="379">
        <v>160</v>
      </c>
      <c r="K13" s="379">
        <v>774</v>
      </c>
      <c r="L13" s="379">
        <v>0</v>
      </c>
      <c r="M13" s="379">
        <v>0</v>
      </c>
      <c r="N13" s="379">
        <v>1720</v>
      </c>
      <c r="O13" s="379">
        <v>136</v>
      </c>
      <c r="P13" s="379">
        <v>0</v>
      </c>
      <c r="Q13" s="379">
        <v>0</v>
      </c>
      <c r="R13" s="379">
        <v>0</v>
      </c>
      <c r="S13" s="379">
        <v>0</v>
      </c>
      <c r="T13" s="379">
        <v>264</v>
      </c>
      <c r="U13" s="379">
        <v>0</v>
      </c>
      <c r="V13" s="379">
        <v>0</v>
      </c>
      <c r="W13" s="379">
        <v>0</v>
      </c>
      <c r="X13" s="379">
        <v>0</v>
      </c>
      <c r="Y13" s="379">
        <v>0</v>
      </c>
      <c r="Z13" s="379">
        <v>0</v>
      </c>
      <c r="AA13" s="379">
        <v>0</v>
      </c>
      <c r="AB13" s="379">
        <v>0</v>
      </c>
      <c r="AC13" s="379">
        <v>0</v>
      </c>
      <c r="AD13" s="379">
        <v>0</v>
      </c>
      <c r="AE13" s="379">
        <v>0</v>
      </c>
      <c r="AF13" s="379">
        <v>0</v>
      </c>
      <c r="AG13" s="379">
        <v>0</v>
      </c>
      <c r="AH13" s="379">
        <v>0</v>
      </c>
      <c r="AI13" s="379">
        <v>272</v>
      </c>
      <c r="AJ13" s="379">
        <v>0</v>
      </c>
      <c r="AK13" s="379">
        <v>0</v>
      </c>
      <c r="AL13" s="379">
        <v>0</v>
      </c>
      <c r="AM13" s="379">
        <v>0</v>
      </c>
      <c r="AN13" s="379">
        <v>384</v>
      </c>
      <c r="AO13" s="379">
        <v>0</v>
      </c>
    </row>
    <row r="14" spans="1:41" x14ac:dyDescent="0.3">
      <c r="A14" s="379" t="s">
        <v>231</v>
      </c>
      <c r="B14" s="404">
        <v>11</v>
      </c>
      <c r="C14" s="379">
        <v>22</v>
      </c>
      <c r="D14" s="379">
        <v>2</v>
      </c>
      <c r="E14" s="379">
        <v>3</v>
      </c>
      <c r="F14" s="379">
        <v>14</v>
      </c>
      <c r="G14" s="379">
        <v>0</v>
      </c>
      <c r="H14" s="379">
        <v>14</v>
      </c>
      <c r="I14" s="379">
        <v>0</v>
      </c>
      <c r="J14" s="379">
        <v>0</v>
      </c>
      <c r="K14" s="379">
        <v>0</v>
      </c>
      <c r="L14" s="379">
        <v>0</v>
      </c>
      <c r="M14" s="379">
        <v>0</v>
      </c>
      <c r="N14" s="379">
        <v>0</v>
      </c>
      <c r="O14" s="379">
        <v>0</v>
      </c>
      <c r="P14" s="379">
        <v>0</v>
      </c>
      <c r="Q14" s="379">
        <v>0</v>
      </c>
      <c r="R14" s="379">
        <v>0</v>
      </c>
      <c r="S14" s="379">
        <v>0</v>
      </c>
      <c r="T14" s="379">
        <v>0</v>
      </c>
      <c r="U14" s="379">
        <v>0</v>
      </c>
      <c r="V14" s="379">
        <v>0</v>
      </c>
      <c r="W14" s="379">
        <v>0</v>
      </c>
      <c r="X14" s="379">
        <v>0</v>
      </c>
      <c r="Y14" s="379">
        <v>0</v>
      </c>
      <c r="Z14" s="379">
        <v>0</v>
      </c>
      <c r="AA14" s="379">
        <v>0</v>
      </c>
      <c r="AB14" s="379">
        <v>0</v>
      </c>
      <c r="AC14" s="379">
        <v>0</v>
      </c>
      <c r="AD14" s="379">
        <v>0</v>
      </c>
      <c r="AE14" s="379">
        <v>0</v>
      </c>
      <c r="AF14" s="379">
        <v>0</v>
      </c>
      <c r="AG14" s="379">
        <v>0</v>
      </c>
      <c r="AH14" s="379">
        <v>0</v>
      </c>
      <c r="AI14" s="379">
        <v>0</v>
      </c>
      <c r="AJ14" s="379">
        <v>0</v>
      </c>
      <c r="AK14" s="379">
        <v>0</v>
      </c>
      <c r="AL14" s="379">
        <v>0</v>
      </c>
      <c r="AM14" s="379">
        <v>0</v>
      </c>
      <c r="AN14" s="379">
        <v>0</v>
      </c>
      <c r="AO14" s="379">
        <v>0</v>
      </c>
    </row>
    <row r="15" spans="1:41" x14ac:dyDescent="0.3">
      <c r="A15" s="379" t="s">
        <v>232</v>
      </c>
      <c r="B15" s="404">
        <v>12</v>
      </c>
      <c r="C15" s="379">
        <v>22</v>
      </c>
      <c r="D15" s="379">
        <v>2</v>
      </c>
      <c r="E15" s="379">
        <v>4</v>
      </c>
      <c r="F15" s="379">
        <v>465.5</v>
      </c>
      <c r="G15" s="379">
        <v>0</v>
      </c>
      <c r="H15" s="379">
        <v>250</v>
      </c>
      <c r="I15" s="379">
        <v>0</v>
      </c>
      <c r="J15" s="379">
        <v>15</v>
      </c>
      <c r="K15" s="379">
        <v>0</v>
      </c>
      <c r="L15" s="379">
        <v>0</v>
      </c>
      <c r="M15" s="379">
        <v>0</v>
      </c>
      <c r="N15" s="379">
        <v>172.5</v>
      </c>
      <c r="O15" s="379">
        <v>12</v>
      </c>
      <c r="P15" s="379">
        <v>0</v>
      </c>
      <c r="Q15" s="379">
        <v>0</v>
      </c>
      <c r="R15" s="379">
        <v>0</v>
      </c>
      <c r="S15" s="379">
        <v>0</v>
      </c>
      <c r="T15" s="379">
        <v>16</v>
      </c>
      <c r="U15" s="379">
        <v>0</v>
      </c>
      <c r="V15" s="379">
        <v>0</v>
      </c>
      <c r="W15" s="379">
        <v>0</v>
      </c>
      <c r="X15" s="379">
        <v>0</v>
      </c>
      <c r="Y15" s="379">
        <v>0</v>
      </c>
      <c r="Z15" s="379">
        <v>0</v>
      </c>
      <c r="AA15" s="379">
        <v>0</v>
      </c>
      <c r="AB15" s="379">
        <v>0</v>
      </c>
      <c r="AC15" s="379">
        <v>0</v>
      </c>
      <c r="AD15" s="379">
        <v>0</v>
      </c>
      <c r="AE15" s="379">
        <v>0</v>
      </c>
      <c r="AF15" s="379">
        <v>0</v>
      </c>
      <c r="AG15" s="379">
        <v>0</v>
      </c>
      <c r="AH15" s="379">
        <v>0</v>
      </c>
      <c r="AI15" s="379">
        <v>0</v>
      </c>
      <c r="AJ15" s="379">
        <v>0</v>
      </c>
      <c r="AK15" s="379">
        <v>0</v>
      </c>
      <c r="AL15" s="379">
        <v>0</v>
      </c>
      <c r="AM15" s="379">
        <v>0</v>
      </c>
      <c r="AN15" s="379">
        <v>0</v>
      </c>
      <c r="AO15" s="379">
        <v>0</v>
      </c>
    </row>
    <row r="16" spans="1:41" x14ac:dyDescent="0.3">
      <c r="A16" s="379" t="s">
        <v>220</v>
      </c>
      <c r="B16" s="404">
        <v>2015</v>
      </c>
      <c r="C16" s="379">
        <v>22</v>
      </c>
      <c r="D16" s="379">
        <v>2</v>
      </c>
      <c r="E16" s="379">
        <v>6</v>
      </c>
      <c r="F16" s="379">
        <v>1434993</v>
      </c>
      <c r="G16" s="379">
        <v>0</v>
      </c>
      <c r="H16" s="379">
        <v>677849</v>
      </c>
      <c r="I16" s="379">
        <v>0</v>
      </c>
      <c r="J16" s="379">
        <v>51201</v>
      </c>
      <c r="K16" s="379">
        <v>164555</v>
      </c>
      <c r="L16" s="379">
        <v>0</v>
      </c>
      <c r="M16" s="379">
        <v>0</v>
      </c>
      <c r="N16" s="379">
        <v>369339</v>
      </c>
      <c r="O16" s="379">
        <v>31455</v>
      </c>
      <c r="P16" s="379">
        <v>0</v>
      </c>
      <c r="Q16" s="379">
        <v>0</v>
      </c>
      <c r="R16" s="379">
        <v>0</v>
      </c>
      <c r="S16" s="379">
        <v>0</v>
      </c>
      <c r="T16" s="379">
        <v>42708</v>
      </c>
      <c r="U16" s="379">
        <v>0</v>
      </c>
      <c r="V16" s="379">
        <v>0</v>
      </c>
      <c r="W16" s="379">
        <v>0</v>
      </c>
      <c r="X16" s="379">
        <v>0</v>
      </c>
      <c r="Y16" s="379">
        <v>0</v>
      </c>
      <c r="Z16" s="379">
        <v>0</v>
      </c>
      <c r="AA16" s="379">
        <v>0</v>
      </c>
      <c r="AB16" s="379">
        <v>0</v>
      </c>
      <c r="AC16" s="379">
        <v>0</v>
      </c>
      <c r="AD16" s="379">
        <v>0</v>
      </c>
      <c r="AE16" s="379">
        <v>0</v>
      </c>
      <c r="AF16" s="379">
        <v>0</v>
      </c>
      <c r="AG16" s="379">
        <v>0</v>
      </c>
      <c r="AH16" s="379">
        <v>0</v>
      </c>
      <c r="AI16" s="379">
        <v>33107</v>
      </c>
      <c r="AJ16" s="379">
        <v>0</v>
      </c>
      <c r="AK16" s="379">
        <v>0</v>
      </c>
      <c r="AL16" s="379">
        <v>0</v>
      </c>
      <c r="AM16" s="379">
        <v>0</v>
      </c>
      <c r="AN16" s="379">
        <v>64779</v>
      </c>
      <c r="AO16" s="379">
        <v>0</v>
      </c>
    </row>
    <row r="17" spans="3:41" x14ac:dyDescent="0.3">
      <c r="C17" s="379">
        <v>22</v>
      </c>
      <c r="D17" s="379">
        <v>2</v>
      </c>
      <c r="E17" s="379">
        <v>9</v>
      </c>
      <c r="F17" s="379">
        <v>16090</v>
      </c>
      <c r="G17" s="379">
        <v>0</v>
      </c>
      <c r="H17" s="379">
        <v>0</v>
      </c>
      <c r="I17" s="379">
        <v>0</v>
      </c>
      <c r="J17" s="379">
        <v>0</v>
      </c>
      <c r="K17" s="379">
        <v>0</v>
      </c>
      <c r="L17" s="379">
        <v>0</v>
      </c>
      <c r="M17" s="379">
        <v>0</v>
      </c>
      <c r="N17" s="379">
        <v>2200</v>
      </c>
      <c r="O17" s="379">
        <v>1590</v>
      </c>
      <c r="P17" s="379">
        <v>0</v>
      </c>
      <c r="Q17" s="379">
        <v>0</v>
      </c>
      <c r="R17" s="379">
        <v>0</v>
      </c>
      <c r="S17" s="379">
        <v>0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9">
        <v>0</v>
      </c>
      <c r="Z17" s="379">
        <v>0</v>
      </c>
      <c r="AA17" s="379">
        <v>0</v>
      </c>
      <c r="AB17" s="379">
        <v>0</v>
      </c>
      <c r="AC17" s="379">
        <v>0</v>
      </c>
      <c r="AD17" s="379">
        <v>0</v>
      </c>
      <c r="AE17" s="379">
        <v>0</v>
      </c>
      <c r="AF17" s="379">
        <v>0</v>
      </c>
      <c r="AG17" s="379">
        <v>0</v>
      </c>
      <c r="AH17" s="379">
        <v>0</v>
      </c>
      <c r="AI17" s="379">
        <v>0</v>
      </c>
      <c r="AJ17" s="379">
        <v>0</v>
      </c>
      <c r="AK17" s="379">
        <v>0</v>
      </c>
      <c r="AL17" s="379">
        <v>0</v>
      </c>
      <c r="AM17" s="379">
        <v>0</v>
      </c>
      <c r="AN17" s="379">
        <v>12300</v>
      </c>
      <c r="AO17" s="379">
        <v>0</v>
      </c>
    </row>
    <row r="18" spans="3:41" x14ac:dyDescent="0.3">
      <c r="C18" s="379">
        <v>22</v>
      </c>
      <c r="D18" s="379">
        <v>2</v>
      </c>
      <c r="E18" s="379">
        <v>11</v>
      </c>
      <c r="F18" s="379">
        <v>4855.6950700314683</v>
      </c>
      <c r="G18" s="379">
        <v>0</v>
      </c>
      <c r="H18" s="379">
        <v>3605.6950700314678</v>
      </c>
      <c r="I18" s="379">
        <v>0</v>
      </c>
      <c r="J18" s="379">
        <v>0</v>
      </c>
      <c r="K18" s="379">
        <v>1250</v>
      </c>
      <c r="L18" s="379">
        <v>0</v>
      </c>
      <c r="M18" s="379">
        <v>0</v>
      </c>
      <c r="N18" s="379">
        <v>0</v>
      </c>
      <c r="O18" s="379">
        <v>0</v>
      </c>
      <c r="P18" s="379">
        <v>0</v>
      </c>
      <c r="Q18" s="379">
        <v>0</v>
      </c>
      <c r="R18" s="379">
        <v>0</v>
      </c>
      <c r="S18" s="379">
        <v>0</v>
      </c>
      <c r="T18" s="379">
        <v>0</v>
      </c>
      <c r="U18" s="379">
        <v>0</v>
      </c>
      <c r="V18" s="379">
        <v>0</v>
      </c>
      <c r="W18" s="379">
        <v>0</v>
      </c>
      <c r="X18" s="379">
        <v>0</v>
      </c>
      <c r="Y18" s="379">
        <v>0</v>
      </c>
      <c r="Z18" s="379">
        <v>0</v>
      </c>
      <c r="AA18" s="379">
        <v>0</v>
      </c>
      <c r="AB18" s="379">
        <v>0</v>
      </c>
      <c r="AC18" s="379">
        <v>0</v>
      </c>
      <c r="AD18" s="379">
        <v>0</v>
      </c>
      <c r="AE18" s="379">
        <v>0</v>
      </c>
      <c r="AF18" s="379">
        <v>0</v>
      </c>
      <c r="AG18" s="379">
        <v>0</v>
      </c>
      <c r="AH18" s="379">
        <v>0</v>
      </c>
      <c r="AI18" s="379">
        <v>0</v>
      </c>
      <c r="AJ18" s="379">
        <v>0</v>
      </c>
      <c r="AK18" s="379">
        <v>0</v>
      </c>
      <c r="AL18" s="379">
        <v>0</v>
      </c>
      <c r="AM18" s="379">
        <v>0</v>
      </c>
      <c r="AN18" s="379">
        <v>0</v>
      </c>
      <c r="AO18" s="379">
        <v>0</v>
      </c>
    </row>
    <row r="19" spans="3:41" x14ac:dyDescent="0.3">
      <c r="C19" s="379">
        <v>22</v>
      </c>
      <c r="D19" s="379">
        <v>3</v>
      </c>
      <c r="E19" s="379">
        <v>1</v>
      </c>
      <c r="F19" s="379">
        <v>36.65</v>
      </c>
      <c r="G19" s="379">
        <v>0</v>
      </c>
      <c r="H19" s="379">
        <v>9.75</v>
      </c>
      <c r="I19" s="379">
        <v>0</v>
      </c>
      <c r="J19" s="379">
        <v>1</v>
      </c>
      <c r="K19" s="379">
        <v>5</v>
      </c>
      <c r="L19" s="379">
        <v>0</v>
      </c>
      <c r="M19" s="379">
        <v>0</v>
      </c>
      <c r="N19" s="379">
        <v>12</v>
      </c>
      <c r="O19" s="379">
        <v>1</v>
      </c>
      <c r="P19" s="379">
        <v>0</v>
      </c>
      <c r="Q19" s="379">
        <v>0</v>
      </c>
      <c r="R19" s="379">
        <v>0</v>
      </c>
      <c r="S19" s="379">
        <v>0</v>
      </c>
      <c r="T19" s="379">
        <v>2</v>
      </c>
      <c r="U19" s="379">
        <v>0</v>
      </c>
      <c r="V19" s="379">
        <v>0</v>
      </c>
      <c r="W19" s="379">
        <v>0</v>
      </c>
      <c r="X19" s="379">
        <v>0</v>
      </c>
      <c r="Y19" s="379">
        <v>0</v>
      </c>
      <c r="Z19" s="379">
        <v>0</v>
      </c>
      <c r="AA19" s="379">
        <v>0</v>
      </c>
      <c r="AB19" s="379">
        <v>0</v>
      </c>
      <c r="AC19" s="379">
        <v>0</v>
      </c>
      <c r="AD19" s="379">
        <v>0</v>
      </c>
      <c r="AE19" s="379">
        <v>0</v>
      </c>
      <c r="AF19" s="379">
        <v>0</v>
      </c>
      <c r="AG19" s="379">
        <v>0</v>
      </c>
      <c r="AH19" s="379">
        <v>0</v>
      </c>
      <c r="AI19" s="379">
        <v>2</v>
      </c>
      <c r="AJ19" s="379">
        <v>0</v>
      </c>
      <c r="AK19" s="379">
        <v>0</v>
      </c>
      <c r="AL19" s="379">
        <v>0</v>
      </c>
      <c r="AM19" s="379">
        <v>0</v>
      </c>
      <c r="AN19" s="379">
        <v>3.9</v>
      </c>
      <c r="AO19" s="379">
        <v>0</v>
      </c>
    </row>
    <row r="20" spans="3:41" x14ac:dyDescent="0.3">
      <c r="C20" s="379">
        <v>22</v>
      </c>
      <c r="D20" s="379">
        <v>3</v>
      </c>
      <c r="E20" s="379">
        <v>2</v>
      </c>
      <c r="F20" s="379">
        <v>6098.6</v>
      </c>
      <c r="G20" s="379">
        <v>0</v>
      </c>
      <c r="H20" s="379">
        <v>1614</v>
      </c>
      <c r="I20" s="379">
        <v>0</v>
      </c>
      <c r="J20" s="379">
        <v>160</v>
      </c>
      <c r="K20" s="379">
        <v>828</v>
      </c>
      <c r="L20" s="379">
        <v>0</v>
      </c>
      <c r="M20" s="379">
        <v>0</v>
      </c>
      <c r="N20" s="379">
        <v>2032</v>
      </c>
      <c r="O20" s="379">
        <v>176</v>
      </c>
      <c r="P20" s="379">
        <v>0</v>
      </c>
      <c r="Q20" s="379">
        <v>0</v>
      </c>
      <c r="R20" s="379">
        <v>0</v>
      </c>
      <c r="S20" s="379">
        <v>0</v>
      </c>
      <c r="T20" s="379">
        <v>312</v>
      </c>
      <c r="U20" s="379">
        <v>0</v>
      </c>
      <c r="V20" s="379">
        <v>0</v>
      </c>
      <c r="W20" s="379">
        <v>0</v>
      </c>
      <c r="X20" s="379">
        <v>0</v>
      </c>
      <c r="Y20" s="379">
        <v>0</v>
      </c>
      <c r="Z20" s="379">
        <v>0</v>
      </c>
      <c r="AA20" s="379">
        <v>0</v>
      </c>
      <c r="AB20" s="379">
        <v>0</v>
      </c>
      <c r="AC20" s="379">
        <v>0</v>
      </c>
      <c r="AD20" s="379">
        <v>0</v>
      </c>
      <c r="AE20" s="379">
        <v>0</v>
      </c>
      <c r="AF20" s="379">
        <v>0</v>
      </c>
      <c r="AG20" s="379">
        <v>0</v>
      </c>
      <c r="AH20" s="379">
        <v>0</v>
      </c>
      <c r="AI20" s="379">
        <v>352</v>
      </c>
      <c r="AJ20" s="379">
        <v>0</v>
      </c>
      <c r="AK20" s="379">
        <v>0</v>
      </c>
      <c r="AL20" s="379">
        <v>0</v>
      </c>
      <c r="AM20" s="379">
        <v>0</v>
      </c>
      <c r="AN20" s="379">
        <v>624.6</v>
      </c>
      <c r="AO20" s="379">
        <v>0</v>
      </c>
    </row>
    <row r="21" spans="3:41" x14ac:dyDescent="0.3">
      <c r="C21" s="379">
        <v>22</v>
      </c>
      <c r="D21" s="379">
        <v>3</v>
      </c>
      <c r="E21" s="379">
        <v>3</v>
      </c>
      <c r="F21" s="379">
        <v>18</v>
      </c>
      <c r="G21" s="379">
        <v>0</v>
      </c>
      <c r="H21" s="379">
        <v>18</v>
      </c>
      <c r="I21" s="379">
        <v>0</v>
      </c>
      <c r="J21" s="379">
        <v>0</v>
      </c>
      <c r="K21" s="379">
        <v>0</v>
      </c>
      <c r="L21" s="379">
        <v>0</v>
      </c>
      <c r="M21" s="379">
        <v>0</v>
      </c>
      <c r="N21" s="379">
        <v>0</v>
      </c>
      <c r="O21" s="379">
        <v>0</v>
      </c>
      <c r="P21" s="379">
        <v>0</v>
      </c>
      <c r="Q21" s="379">
        <v>0</v>
      </c>
      <c r="R21" s="379">
        <v>0</v>
      </c>
      <c r="S21" s="379">
        <v>0</v>
      </c>
      <c r="T21" s="379">
        <v>0</v>
      </c>
      <c r="U21" s="379">
        <v>0</v>
      </c>
      <c r="V21" s="379">
        <v>0</v>
      </c>
      <c r="W21" s="379">
        <v>0</v>
      </c>
      <c r="X21" s="379">
        <v>0</v>
      </c>
      <c r="Y21" s="379">
        <v>0</v>
      </c>
      <c r="Z21" s="379">
        <v>0</v>
      </c>
      <c r="AA21" s="379">
        <v>0</v>
      </c>
      <c r="AB21" s="379">
        <v>0</v>
      </c>
      <c r="AC21" s="379">
        <v>0</v>
      </c>
      <c r="AD21" s="379">
        <v>0</v>
      </c>
      <c r="AE21" s="379">
        <v>0</v>
      </c>
      <c r="AF21" s="379">
        <v>0</v>
      </c>
      <c r="AG21" s="379">
        <v>0</v>
      </c>
      <c r="AH21" s="379">
        <v>0</v>
      </c>
      <c r="AI21" s="379">
        <v>0</v>
      </c>
      <c r="AJ21" s="379">
        <v>0</v>
      </c>
      <c r="AK21" s="379">
        <v>0</v>
      </c>
      <c r="AL21" s="379">
        <v>0</v>
      </c>
      <c r="AM21" s="379">
        <v>0</v>
      </c>
      <c r="AN21" s="379">
        <v>0</v>
      </c>
      <c r="AO21" s="379">
        <v>0</v>
      </c>
    </row>
    <row r="22" spans="3:41" x14ac:dyDescent="0.3">
      <c r="C22" s="379">
        <v>22</v>
      </c>
      <c r="D22" s="379">
        <v>3</v>
      </c>
      <c r="E22" s="379">
        <v>4</v>
      </c>
      <c r="F22" s="379">
        <v>500.25</v>
      </c>
      <c r="G22" s="379">
        <v>0</v>
      </c>
      <c r="H22" s="379">
        <v>270</v>
      </c>
      <c r="I22" s="379">
        <v>0</v>
      </c>
      <c r="J22" s="379">
        <v>14</v>
      </c>
      <c r="K22" s="379">
        <v>4.25</v>
      </c>
      <c r="L22" s="379">
        <v>0</v>
      </c>
      <c r="M22" s="379">
        <v>0</v>
      </c>
      <c r="N22" s="379">
        <v>182</v>
      </c>
      <c r="O22" s="379">
        <v>12</v>
      </c>
      <c r="P22" s="379">
        <v>0</v>
      </c>
      <c r="Q22" s="379">
        <v>0</v>
      </c>
      <c r="R22" s="379">
        <v>0</v>
      </c>
      <c r="S22" s="379">
        <v>0</v>
      </c>
      <c r="T22" s="379">
        <v>18</v>
      </c>
      <c r="U22" s="379">
        <v>0</v>
      </c>
      <c r="V22" s="379">
        <v>0</v>
      </c>
      <c r="W22" s="379">
        <v>0</v>
      </c>
      <c r="X22" s="379">
        <v>0</v>
      </c>
      <c r="Y22" s="379">
        <v>0</v>
      </c>
      <c r="Z22" s="379">
        <v>0</v>
      </c>
      <c r="AA22" s="379">
        <v>0</v>
      </c>
      <c r="AB22" s="379">
        <v>0</v>
      </c>
      <c r="AC22" s="379">
        <v>0</v>
      </c>
      <c r="AD22" s="379">
        <v>0</v>
      </c>
      <c r="AE22" s="379">
        <v>0</v>
      </c>
      <c r="AF22" s="379">
        <v>0</v>
      </c>
      <c r="AG22" s="379">
        <v>0</v>
      </c>
      <c r="AH22" s="379">
        <v>0</v>
      </c>
      <c r="AI22" s="379">
        <v>0</v>
      </c>
      <c r="AJ22" s="379">
        <v>0</v>
      </c>
      <c r="AK22" s="379">
        <v>0</v>
      </c>
      <c r="AL22" s="379">
        <v>0</v>
      </c>
      <c r="AM22" s="379">
        <v>0</v>
      </c>
      <c r="AN22" s="379">
        <v>0</v>
      </c>
      <c r="AO22" s="379">
        <v>0</v>
      </c>
    </row>
    <row r="23" spans="3:41" x14ac:dyDescent="0.3">
      <c r="C23" s="379">
        <v>22</v>
      </c>
      <c r="D23" s="379">
        <v>3</v>
      </c>
      <c r="E23" s="379">
        <v>6</v>
      </c>
      <c r="F23" s="379">
        <v>1436696</v>
      </c>
      <c r="G23" s="379">
        <v>0</v>
      </c>
      <c r="H23" s="379">
        <v>659763</v>
      </c>
      <c r="I23" s="379">
        <v>0</v>
      </c>
      <c r="J23" s="379">
        <v>61109</v>
      </c>
      <c r="K23" s="379">
        <v>168578</v>
      </c>
      <c r="L23" s="379">
        <v>0</v>
      </c>
      <c r="M23" s="379">
        <v>0</v>
      </c>
      <c r="N23" s="379">
        <v>368868</v>
      </c>
      <c r="O23" s="379">
        <v>30403</v>
      </c>
      <c r="P23" s="379">
        <v>0</v>
      </c>
      <c r="Q23" s="379">
        <v>0</v>
      </c>
      <c r="R23" s="379">
        <v>0</v>
      </c>
      <c r="S23" s="379">
        <v>0</v>
      </c>
      <c r="T23" s="379">
        <v>41186</v>
      </c>
      <c r="U23" s="379">
        <v>0</v>
      </c>
      <c r="V23" s="379">
        <v>0</v>
      </c>
      <c r="W23" s="379">
        <v>0</v>
      </c>
      <c r="X23" s="379">
        <v>0</v>
      </c>
      <c r="Y23" s="379">
        <v>0</v>
      </c>
      <c r="Z23" s="379">
        <v>0</v>
      </c>
      <c r="AA23" s="379">
        <v>0</v>
      </c>
      <c r="AB23" s="379">
        <v>0</v>
      </c>
      <c r="AC23" s="379">
        <v>0</v>
      </c>
      <c r="AD23" s="379">
        <v>0</v>
      </c>
      <c r="AE23" s="379">
        <v>0</v>
      </c>
      <c r="AF23" s="379">
        <v>0</v>
      </c>
      <c r="AG23" s="379">
        <v>0</v>
      </c>
      <c r="AH23" s="379">
        <v>0</v>
      </c>
      <c r="AI23" s="379">
        <v>32040</v>
      </c>
      <c r="AJ23" s="379">
        <v>0</v>
      </c>
      <c r="AK23" s="379">
        <v>0</v>
      </c>
      <c r="AL23" s="379">
        <v>0</v>
      </c>
      <c r="AM23" s="379">
        <v>0</v>
      </c>
      <c r="AN23" s="379">
        <v>74749</v>
      </c>
      <c r="AO23" s="379">
        <v>0</v>
      </c>
    </row>
    <row r="24" spans="3:41" x14ac:dyDescent="0.3">
      <c r="C24" s="379">
        <v>22</v>
      </c>
      <c r="D24" s="379">
        <v>3</v>
      </c>
      <c r="E24" s="379">
        <v>9</v>
      </c>
      <c r="F24" s="379">
        <v>13790</v>
      </c>
      <c r="G24" s="379">
        <v>0</v>
      </c>
      <c r="H24" s="379">
        <v>0</v>
      </c>
      <c r="I24" s="379">
        <v>0</v>
      </c>
      <c r="J24" s="379">
        <v>10000</v>
      </c>
      <c r="K24" s="379">
        <v>0</v>
      </c>
      <c r="L24" s="379">
        <v>0</v>
      </c>
      <c r="M24" s="379">
        <v>0</v>
      </c>
      <c r="N24" s="379">
        <v>2200</v>
      </c>
      <c r="O24" s="379">
        <v>1000</v>
      </c>
      <c r="P24" s="379">
        <v>0</v>
      </c>
      <c r="Q24" s="379">
        <v>0</v>
      </c>
      <c r="R24" s="379">
        <v>0</v>
      </c>
      <c r="S24" s="379">
        <v>0</v>
      </c>
      <c r="T24" s="379">
        <v>590</v>
      </c>
      <c r="U24" s="379">
        <v>0</v>
      </c>
      <c r="V24" s="379">
        <v>0</v>
      </c>
      <c r="W24" s="379">
        <v>0</v>
      </c>
      <c r="X24" s="379">
        <v>0</v>
      </c>
      <c r="Y24" s="379">
        <v>0</v>
      </c>
      <c r="Z24" s="379">
        <v>0</v>
      </c>
      <c r="AA24" s="379">
        <v>0</v>
      </c>
      <c r="AB24" s="379">
        <v>0</v>
      </c>
      <c r="AC24" s="379">
        <v>0</v>
      </c>
      <c r="AD24" s="379">
        <v>0</v>
      </c>
      <c r="AE24" s="379">
        <v>0</v>
      </c>
      <c r="AF24" s="379">
        <v>0</v>
      </c>
      <c r="AG24" s="379">
        <v>0</v>
      </c>
      <c r="AH24" s="379">
        <v>0</v>
      </c>
      <c r="AI24" s="379">
        <v>0</v>
      </c>
      <c r="AJ24" s="379">
        <v>0</v>
      </c>
      <c r="AK24" s="379">
        <v>0</v>
      </c>
      <c r="AL24" s="379">
        <v>0</v>
      </c>
      <c r="AM24" s="379">
        <v>0</v>
      </c>
      <c r="AN24" s="379">
        <v>0</v>
      </c>
      <c r="AO24" s="379">
        <v>0</v>
      </c>
    </row>
    <row r="25" spans="3:41" x14ac:dyDescent="0.3">
      <c r="C25" s="379">
        <v>22</v>
      </c>
      <c r="D25" s="379">
        <v>3</v>
      </c>
      <c r="E25" s="379">
        <v>10</v>
      </c>
      <c r="F25" s="379">
        <v>400</v>
      </c>
      <c r="G25" s="379">
        <v>0</v>
      </c>
      <c r="H25" s="379">
        <v>400</v>
      </c>
      <c r="I25" s="379">
        <v>0</v>
      </c>
      <c r="J25" s="379">
        <v>0</v>
      </c>
      <c r="K25" s="379">
        <v>0</v>
      </c>
      <c r="L25" s="379">
        <v>0</v>
      </c>
      <c r="M25" s="379">
        <v>0</v>
      </c>
      <c r="N25" s="379">
        <v>0</v>
      </c>
      <c r="O25" s="379">
        <v>0</v>
      </c>
      <c r="P25" s="379">
        <v>0</v>
      </c>
      <c r="Q25" s="379">
        <v>0</v>
      </c>
      <c r="R25" s="379">
        <v>0</v>
      </c>
      <c r="S25" s="379">
        <v>0</v>
      </c>
      <c r="T25" s="379">
        <v>0</v>
      </c>
      <c r="U25" s="379">
        <v>0</v>
      </c>
      <c r="V25" s="379">
        <v>0</v>
      </c>
      <c r="W25" s="379">
        <v>0</v>
      </c>
      <c r="X25" s="379">
        <v>0</v>
      </c>
      <c r="Y25" s="379">
        <v>0</v>
      </c>
      <c r="Z25" s="379">
        <v>0</v>
      </c>
      <c r="AA25" s="379">
        <v>0</v>
      </c>
      <c r="AB25" s="379">
        <v>0</v>
      </c>
      <c r="AC25" s="379">
        <v>0</v>
      </c>
      <c r="AD25" s="379">
        <v>0</v>
      </c>
      <c r="AE25" s="379">
        <v>0</v>
      </c>
      <c r="AF25" s="379">
        <v>0</v>
      </c>
      <c r="AG25" s="379">
        <v>0</v>
      </c>
      <c r="AH25" s="379">
        <v>0</v>
      </c>
      <c r="AI25" s="379">
        <v>0</v>
      </c>
      <c r="AJ25" s="379">
        <v>0</v>
      </c>
      <c r="AK25" s="379">
        <v>0</v>
      </c>
      <c r="AL25" s="379">
        <v>0</v>
      </c>
      <c r="AM25" s="379">
        <v>0</v>
      </c>
      <c r="AN25" s="379">
        <v>0</v>
      </c>
      <c r="AO25" s="379">
        <v>0</v>
      </c>
    </row>
    <row r="26" spans="3:41" x14ac:dyDescent="0.3">
      <c r="C26" s="379">
        <v>22</v>
      </c>
      <c r="D26" s="379">
        <v>3</v>
      </c>
      <c r="E26" s="379">
        <v>11</v>
      </c>
      <c r="F26" s="379">
        <v>4855.6950700314683</v>
      </c>
      <c r="G26" s="379">
        <v>0</v>
      </c>
      <c r="H26" s="379">
        <v>3605.6950700314678</v>
      </c>
      <c r="I26" s="379">
        <v>0</v>
      </c>
      <c r="J26" s="379">
        <v>0</v>
      </c>
      <c r="K26" s="379">
        <v>1250</v>
      </c>
      <c r="L26" s="379">
        <v>0</v>
      </c>
      <c r="M26" s="379">
        <v>0</v>
      </c>
      <c r="N26" s="379">
        <v>0</v>
      </c>
      <c r="O26" s="379">
        <v>0</v>
      </c>
      <c r="P26" s="379">
        <v>0</v>
      </c>
      <c r="Q26" s="379">
        <v>0</v>
      </c>
      <c r="R26" s="379">
        <v>0</v>
      </c>
      <c r="S26" s="379">
        <v>0</v>
      </c>
      <c r="T26" s="379">
        <v>0</v>
      </c>
      <c r="U26" s="379">
        <v>0</v>
      </c>
      <c r="V26" s="379">
        <v>0</v>
      </c>
      <c r="W26" s="379">
        <v>0</v>
      </c>
      <c r="X26" s="379">
        <v>0</v>
      </c>
      <c r="Y26" s="379">
        <v>0</v>
      </c>
      <c r="Z26" s="379">
        <v>0</v>
      </c>
      <c r="AA26" s="379">
        <v>0</v>
      </c>
      <c r="AB26" s="379">
        <v>0</v>
      </c>
      <c r="AC26" s="379">
        <v>0</v>
      </c>
      <c r="AD26" s="379">
        <v>0</v>
      </c>
      <c r="AE26" s="379">
        <v>0</v>
      </c>
      <c r="AF26" s="379">
        <v>0</v>
      </c>
      <c r="AG26" s="379">
        <v>0</v>
      </c>
      <c r="AH26" s="379">
        <v>0</v>
      </c>
      <c r="AI26" s="379">
        <v>0</v>
      </c>
      <c r="AJ26" s="379">
        <v>0</v>
      </c>
      <c r="AK26" s="379">
        <v>0</v>
      </c>
      <c r="AL26" s="379">
        <v>0</v>
      </c>
      <c r="AM26" s="379">
        <v>0</v>
      </c>
      <c r="AN26" s="379">
        <v>0</v>
      </c>
      <c r="AO26" s="3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551" t="s">
        <v>1251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50" t="s">
        <v>160</v>
      </c>
      <c r="B3" s="351">
        <f>SUBTOTAL(9,B6:B1048576)</f>
        <v>15533130</v>
      </c>
      <c r="C3" s="352">
        <f t="shared" ref="C3:R3" si="0">SUBTOTAL(9,C6:C1048576)</f>
        <v>1</v>
      </c>
      <c r="D3" s="352">
        <f t="shared" si="0"/>
        <v>16139996</v>
      </c>
      <c r="E3" s="352">
        <f t="shared" si="0"/>
        <v>1.0390691380294892</v>
      </c>
      <c r="F3" s="352">
        <f t="shared" si="0"/>
        <v>16551374</v>
      </c>
      <c r="G3" s="353">
        <f>IF(B3&lt;&gt;0,F3/B3,"")</f>
        <v>1.0655530469390264</v>
      </c>
      <c r="H3" s="354">
        <f t="shared" si="0"/>
        <v>15514724.160000054</v>
      </c>
      <c r="I3" s="352">
        <f t="shared" si="0"/>
        <v>1</v>
      </c>
      <c r="J3" s="352">
        <f t="shared" si="0"/>
        <v>16850683.300000098</v>
      </c>
      <c r="K3" s="352">
        <f t="shared" si="0"/>
        <v>1.0861091132670218</v>
      </c>
      <c r="L3" s="352">
        <f t="shared" si="0"/>
        <v>17935295.910000045</v>
      </c>
      <c r="M3" s="355">
        <f>IF(H3&lt;&gt;0,L3/H3,"")</f>
        <v>1.1560177109845555</v>
      </c>
      <c r="N3" s="351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123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  <c r="N4" s="553" t="s">
        <v>126</v>
      </c>
      <c r="O4" s="554"/>
      <c r="P4" s="554"/>
      <c r="Q4" s="554"/>
      <c r="R4" s="554"/>
      <c r="S4" s="555"/>
    </row>
    <row r="5" spans="1:19" ht="14.4" customHeight="1" thickBot="1" x14ac:dyDescent="0.35">
      <c r="A5" s="783"/>
      <c r="B5" s="784">
        <v>2013</v>
      </c>
      <c r="C5" s="785"/>
      <c r="D5" s="785">
        <v>2014</v>
      </c>
      <c r="E5" s="785"/>
      <c r="F5" s="785">
        <v>2015</v>
      </c>
      <c r="G5" s="786" t="s">
        <v>2</v>
      </c>
      <c r="H5" s="784">
        <v>2013</v>
      </c>
      <c r="I5" s="785"/>
      <c r="J5" s="785">
        <v>2014</v>
      </c>
      <c r="K5" s="785"/>
      <c r="L5" s="785">
        <v>2015</v>
      </c>
      <c r="M5" s="786" t="s">
        <v>2</v>
      </c>
      <c r="N5" s="784">
        <v>2013</v>
      </c>
      <c r="O5" s="785"/>
      <c r="P5" s="785">
        <v>2014</v>
      </c>
      <c r="Q5" s="785"/>
      <c r="R5" s="785">
        <v>2015</v>
      </c>
      <c r="S5" s="786" t="s">
        <v>2</v>
      </c>
    </row>
    <row r="6" spans="1:19" ht="14.4" customHeight="1" thickBot="1" x14ac:dyDescent="0.35">
      <c r="A6" s="789" t="s">
        <v>1247</v>
      </c>
      <c r="B6" s="787">
        <v>15533130</v>
      </c>
      <c r="C6" s="788">
        <v>1</v>
      </c>
      <c r="D6" s="787">
        <v>16139996</v>
      </c>
      <c r="E6" s="788">
        <v>1.0390691380294892</v>
      </c>
      <c r="F6" s="787">
        <v>16551374</v>
      </c>
      <c r="G6" s="456">
        <v>1.0655530469390264</v>
      </c>
      <c r="H6" s="787">
        <v>15514724.160000054</v>
      </c>
      <c r="I6" s="788">
        <v>1</v>
      </c>
      <c r="J6" s="787">
        <v>16850683.300000098</v>
      </c>
      <c r="K6" s="788">
        <v>1.0861091132670218</v>
      </c>
      <c r="L6" s="787">
        <v>17935295.910000045</v>
      </c>
      <c r="M6" s="456">
        <v>1.1560177109845555</v>
      </c>
      <c r="N6" s="787"/>
      <c r="O6" s="788"/>
      <c r="P6" s="787"/>
      <c r="Q6" s="788"/>
      <c r="R6" s="787"/>
      <c r="S6" s="457"/>
    </row>
    <row r="7" spans="1:19" ht="14.4" customHeight="1" x14ac:dyDescent="0.3">
      <c r="A7" s="790" t="s">
        <v>1248</v>
      </c>
    </row>
    <row r="8" spans="1:19" ht="14.4" customHeight="1" x14ac:dyDescent="0.3">
      <c r="A8" s="791" t="s">
        <v>1249</v>
      </c>
    </row>
    <row r="9" spans="1:19" ht="14.4" customHeight="1" x14ac:dyDescent="0.3">
      <c r="A9" s="790" t="s">
        <v>1250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7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1255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3" t="s">
        <v>336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50" t="s">
        <v>160</v>
      </c>
      <c r="B3" s="468">
        <f t="shared" ref="B3:G3" si="0">SUBTOTAL(9,B6:B1048576)</f>
        <v>4611</v>
      </c>
      <c r="C3" s="469">
        <f t="shared" si="0"/>
        <v>4664</v>
      </c>
      <c r="D3" s="469">
        <f t="shared" si="0"/>
        <v>5275</v>
      </c>
      <c r="E3" s="354">
        <f t="shared" si="0"/>
        <v>15533130</v>
      </c>
      <c r="F3" s="352">
        <f t="shared" si="0"/>
        <v>16139996</v>
      </c>
      <c r="G3" s="470">
        <f t="shared" si="0"/>
        <v>16551374</v>
      </c>
    </row>
    <row r="4" spans="1:7" ht="14.4" customHeight="1" x14ac:dyDescent="0.3">
      <c r="A4" s="552" t="s">
        <v>168</v>
      </c>
      <c r="B4" s="553" t="s">
        <v>312</v>
      </c>
      <c r="C4" s="554"/>
      <c r="D4" s="554"/>
      <c r="E4" s="556" t="s">
        <v>124</v>
      </c>
      <c r="F4" s="557"/>
      <c r="G4" s="558"/>
    </row>
    <row r="5" spans="1:7" ht="14.4" customHeight="1" thickBot="1" x14ac:dyDescent="0.35">
      <c r="A5" s="783"/>
      <c r="B5" s="784">
        <v>2013</v>
      </c>
      <c r="C5" s="785">
        <v>2014</v>
      </c>
      <c r="D5" s="785">
        <v>2015</v>
      </c>
      <c r="E5" s="784">
        <v>2013</v>
      </c>
      <c r="F5" s="785">
        <v>2014</v>
      </c>
      <c r="G5" s="792">
        <v>2015</v>
      </c>
    </row>
    <row r="6" spans="1:7" ht="14.4" customHeight="1" x14ac:dyDescent="0.3">
      <c r="A6" s="748" t="s">
        <v>1252</v>
      </c>
      <c r="B6" s="229">
        <v>1</v>
      </c>
      <c r="C6" s="229">
        <v>7</v>
      </c>
      <c r="D6" s="229">
        <v>469</v>
      </c>
      <c r="E6" s="793">
        <v>14328</v>
      </c>
      <c r="F6" s="793">
        <v>21160</v>
      </c>
      <c r="G6" s="794">
        <v>0</v>
      </c>
    </row>
    <row r="7" spans="1:7" ht="14.4" customHeight="1" x14ac:dyDescent="0.3">
      <c r="A7" s="687" t="s">
        <v>791</v>
      </c>
      <c r="B7" s="664">
        <v>466</v>
      </c>
      <c r="C7" s="664">
        <v>687</v>
      </c>
      <c r="D7" s="664">
        <v>793</v>
      </c>
      <c r="E7" s="795">
        <v>768242</v>
      </c>
      <c r="F7" s="795">
        <v>1027445</v>
      </c>
      <c r="G7" s="796">
        <v>1051958</v>
      </c>
    </row>
    <row r="8" spans="1:7" ht="14.4" customHeight="1" x14ac:dyDescent="0.3">
      <c r="A8" s="687" t="s">
        <v>1253</v>
      </c>
      <c r="B8" s="664">
        <v>192</v>
      </c>
      <c r="C8" s="664">
        <v>236</v>
      </c>
      <c r="D8" s="664">
        <v>237</v>
      </c>
      <c r="E8" s="795">
        <v>2750976</v>
      </c>
      <c r="F8" s="795">
        <v>3381408</v>
      </c>
      <c r="G8" s="796">
        <v>3398580</v>
      </c>
    </row>
    <row r="9" spans="1:7" ht="14.4" customHeight="1" x14ac:dyDescent="0.3">
      <c r="A9" s="687" t="s">
        <v>792</v>
      </c>
      <c r="B9" s="664">
        <v>407</v>
      </c>
      <c r="C9" s="664">
        <v>454</v>
      </c>
      <c r="D9" s="664">
        <v>483</v>
      </c>
      <c r="E9" s="795">
        <v>693207</v>
      </c>
      <c r="F9" s="795">
        <v>963951</v>
      </c>
      <c r="G9" s="796">
        <v>1158058</v>
      </c>
    </row>
    <row r="10" spans="1:7" ht="14.4" customHeight="1" x14ac:dyDescent="0.3">
      <c r="A10" s="687" t="s">
        <v>1254</v>
      </c>
      <c r="B10" s="664">
        <v>619</v>
      </c>
      <c r="C10" s="664">
        <v>255</v>
      </c>
      <c r="D10" s="664"/>
      <c r="E10" s="795">
        <v>997186</v>
      </c>
      <c r="F10" s="795">
        <v>21807</v>
      </c>
      <c r="G10" s="796"/>
    </row>
    <row r="11" spans="1:7" ht="14.4" customHeight="1" x14ac:dyDescent="0.3">
      <c r="A11" s="687" t="s">
        <v>793</v>
      </c>
      <c r="B11" s="664">
        <v>267</v>
      </c>
      <c r="C11" s="664">
        <v>285</v>
      </c>
      <c r="D11" s="664">
        <v>263</v>
      </c>
      <c r="E11" s="795">
        <v>3796988</v>
      </c>
      <c r="F11" s="795">
        <v>4077643</v>
      </c>
      <c r="G11" s="796">
        <v>3757115</v>
      </c>
    </row>
    <row r="12" spans="1:7" ht="14.4" customHeight="1" x14ac:dyDescent="0.3">
      <c r="A12" s="687" t="s">
        <v>794</v>
      </c>
      <c r="B12" s="664">
        <v>732</v>
      </c>
      <c r="C12" s="664">
        <v>524</v>
      </c>
      <c r="D12" s="664">
        <v>811</v>
      </c>
      <c r="E12" s="795">
        <v>1221668</v>
      </c>
      <c r="F12" s="795">
        <v>696155</v>
      </c>
      <c r="G12" s="796">
        <v>1405774</v>
      </c>
    </row>
    <row r="13" spans="1:7" ht="14.4" customHeight="1" x14ac:dyDescent="0.3">
      <c r="A13" s="687" t="s">
        <v>795</v>
      </c>
      <c r="B13" s="664">
        <v>806</v>
      </c>
      <c r="C13" s="664">
        <v>831</v>
      </c>
      <c r="D13" s="664">
        <v>736</v>
      </c>
      <c r="E13" s="795">
        <v>1119315</v>
      </c>
      <c r="F13" s="795">
        <v>1004796</v>
      </c>
      <c r="G13" s="796">
        <v>836508</v>
      </c>
    </row>
    <row r="14" spans="1:7" ht="14.4" customHeight="1" x14ac:dyDescent="0.3">
      <c r="A14" s="687" t="s">
        <v>796</v>
      </c>
      <c r="B14" s="664">
        <v>270</v>
      </c>
      <c r="C14" s="664">
        <v>228</v>
      </c>
      <c r="D14" s="664">
        <v>201</v>
      </c>
      <c r="E14" s="795">
        <v>686114</v>
      </c>
      <c r="F14" s="795">
        <v>522173</v>
      </c>
      <c r="G14" s="796">
        <v>584920</v>
      </c>
    </row>
    <row r="15" spans="1:7" ht="14.4" customHeight="1" x14ac:dyDescent="0.3">
      <c r="A15" s="687" t="s">
        <v>800</v>
      </c>
      <c r="B15" s="664"/>
      <c r="C15" s="664">
        <v>20</v>
      </c>
      <c r="D15" s="664">
        <v>423</v>
      </c>
      <c r="E15" s="795"/>
      <c r="F15" s="795">
        <v>22662</v>
      </c>
      <c r="G15" s="796">
        <v>616659</v>
      </c>
    </row>
    <row r="16" spans="1:7" ht="14.4" customHeight="1" x14ac:dyDescent="0.3">
      <c r="A16" s="687" t="s">
        <v>797</v>
      </c>
      <c r="B16" s="664">
        <v>599</v>
      </c>
      <c r="C16" s="664">
        <v>845</v>
      </c>
      <c r="D16" s="664">
        <v>585</v>
      </c>
      <c r="E16" s="795">
        <v>1029611</v>
      </c>
      <c r="F16" s="795">
        <v>1195454</v>
      </c>
      <c r="G16" s="796">
        <v>781321</v>
      </c>
    </row>
    <row r="17" spans="1:7" ht="14.4" customHeight="1" x14ac:dyDescent="0.3">
      <c r="A17" s="687" t="s">
        <v>798</v>
      </c>
      <c r="B17" s="664">
        <v>251</v>
      </c>
      <c r="C17" s="664">
        <v>221</v>
      </c>
      <c r="D17" s="664">
        <v>211</v>
      </c>
      <c r="E17" s="795">
        <v>2455461</v>
      </c>
      <c r="F17" s="795">
        <v>3080724</v>
      </c>
      <c r="G17" s="796">
        <v>2954215</v>
      </c>
    </row>
    <row r="18" spans="1:7" ht="14.4" customHeight="1" thickBot="1" x14ac:dyDescent="0.35">
      <c r="A18" s="799" t="s">
        <v>799</v>
      </c>
      <c r="B18" s="670">
        <v>1</v>
      </c>
      <c r="C18" s="670">
        <v>71</v>
      </c>
      <c r="D18" s="670">
        <v>63</v>
      </c>
      <c r="E18" s="797">
        <v>34</v>
      </c>
      <c r="F18" s="797">
        <v>124618</v>
      </c>
      <c r="G18" s="798">
        <v>6266</v>
      </c>
    </row>
    <row r="19" spans="1:7" ht="14.4" customHeight="1" x14ac:dyDescent="0.3">
      <c r="A19" s="790" t="s">
        <v>1248</v>
      </c>
    </row>
    <row r="20" spans="1:7" ht="14.4" customHeight="1" x14ac:dyDescent="0.3">
      <c r="A20" s="791" t="s">
        <v>1249</v>
      </c>
    </row>
    <row r="21" spans="1:7" ht="14.4" customHeight="1" x14ac:dyDescent="0.3">
      <c r="A21" s="790" t="s">
        <v>1250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85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4" bestFit="1" customWidth="1"/>
    <col min="2" max="2" width="2.109375" style="254" bestFit="1" customWidth="1"/>
    <col min="3" max="3" width="8" style="254" customWidth="1"/>
    <col min="4" max="4" width="50.88671875" style="254" bestFit="1" customWidth="1"/>
    <col min="5" max="6" width="11.109375" style="337" customWidth="1"/>
    <col min="7" max="8" width="9.33203125" style="254" hidden="1" customWidth="1"/>
    <col min="9" max="10" width="11.109375" style="337" customWidth="1"/>
    <col min="11" max="12" width="9.33203125" style="254" hidden="1" customWidth="1"/>
    <col min="13" max="14" width="11.109375" style="337" customWidth="1"/>
    <col min="15" max="15" width="11.109375" style="340" customWidth="1"/>
    <col min="16" max="16" width="11.109375" style="337" customWidth="1"/>
    <col min="17" max="16384" width="8.88671875" style="254"/>
  </cols>
  <sheetData>
    <row r="1" spans="1:16" ht="18.600000000000001" customHeight="1" thickBot="1" x14ac:dyDescent="0.4">
      <c r="A1" s="478" t="s">
        <v>1411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</row>
    <row r="2" spans="1:16" ht="14.4" customHeight="1" thickBot="1" x14ac:dyDescent="0.35">
      <c r="A2" s="383" t="s">
        <v>336</v>
      </c>
      <c r="B2" s="255"/>
      <c r="C2" s="467"/>
      <c r="D2" s="255"/>
      <c r="E2" s="358"/>
      <c r="F2" s="358"/>
      <c r="G2" s="255"/>
      <c r="H2" s="255"/>
      <c r="I2" s="358"/>
      <c r="J2" s="358"/>
      <c r="K2" s="255"/>
      <c r="L2" s="255"/>
      <c r="M2" s="358"/>
      <c r="N2" s="358"/>
      <c r="O2" s="359"/>
      <c r="P2" s="358"/>
    </row>
    <row r="3" spans="1:16" ht="14.4" customHeight="1" thickBot="1" x14ac:dyDescent="0.35">
      <c r="D3" s="112" t="s">
        <v>160</v>
      </c>
      <c r="E3" s="211">
        <f t="shared" ref="E3:N3" si="0">SUBTOTAL(9,E6:E1048576)</f>
        <v>905884.41</v>
      </c>
      <c r="F3" s="212">
        <f t="shared" si="0"/>
        <v>31047854.159999996</v>
      </c>
      <c r="G3" s="78"/>
      <c r="H3" s="78"/>
      <c r="I3" s="212">
        <f t="shared" si="0"/>
        <v>922071.63</v>
      </c>
      <c r="J3" s="212">
        <f t="shared" si="0"/>
        <v>32990679.300000004</v>
      </c>
      <c r="K3" s="78"/>
      <c r="L3" s="78"/>
      <c r="M3" s="212">
        <f t="shared" si="0"/>
        <v>903370.98</v>
      </c>
      <c r="N3" s="212">
        <f t="shared" si="0"/>
        <v>34486669.910000011</v>
      </c>
      <c r="O3" s="79">
        <f>IF(F3=0,0,N3/F3)</f>
        <v>1.1107585642562814</v>
      </c>
      <c r="P3" s="213">
        <f>IF(M3=0,0,N3/M3)</f>
        <v>38.175534385662921</v>
      </c>
    </row>
    <row r="4" spans="1:16" ht="14.4" customHeight="1" x14ac:dyDescent="0.3">
      <c r="A4" s="560" t="s">
        <v>119</v>
      </c>
      <c r="B4" s="561" t="s">
        <v>120</v>
      </c>
      <c r="C4" s="566" t="s">
        <v>90</v>
      </c>
      <c r="D4" s="562" t="s">
        <v>81</v>
      </c>
      <c r="E4" s="563">
        <v>2013</v>
      </c>
      <c r="F4" s="564"/>
      <c r="G4" s="210"/>
      <c r="H4" s="210"/>
      <c r="I4" s="563">
        <v>2014</v>
      </c>
      <c r="J4" s="564"/>
      <c r="K4" s="210"/>
      <c r="L4" s="210"/>
      <c r="M4" s="563">
        <v>2015</v>
      </c>
      <c r="N4" s="564"/>
      <c r="O4" s="565" t="s">
        <v>2</v>
      </c>
      <c r="P4" s="559" t="s">
        <v>122</v>
      </c>
    </row>
    <row r="5" spans="1:16" ht="14.4" customHeight="1" thickBot="1" x14ac:dyDescent="0.35">
      <c r="A5" s="800"/>
      <c r="B5" s="801"/>
      <c r="C5" s="802"/>
      <c r="D5" s="803"/>
      <c r="E5" s="804" t="s">
        <v>91</v>
      </c>
      <c r="F5" s="805" t="s">
        <v>14</v>
      </c>
      <c r="G5" s="806"/>
      <c r="H5" s="806"/>
      <c r="I5" s="804" t="s">
        <v>91</v>
      </c>
      <c r="J5" s="805" t="s">
        <v>14</v>
      </c>
      <c r="K5" s="806"/>
      <c r="L5" s="806"/>
      <c r="M5" s="804" t="s">
        <v>91</v>
      </c>
      <c r="N5" s="805" t="s">
        <v>14</v>
      </c>
      <c r="O5" s="807"/>
      <c r="P5" s="808"/>
    </row>
    <row r="6" spans="1:16" ht="14.4" customHeight="1" x14ac:dyDescent="0.3">
      <c r="A6" s="733" t="s">
        <v>1256</v>
      </c>
      <c r="B6" s="734" t="s">
        <v>1257</v>
      </c>
      <c r="C6" s="734" t="s">
        <v>1258</v>
      </c>
      <c r="D6" s="734" t="s">
        <v>732</v>
      </c>
      <c r="E6" s="229"/>
      <c r="F6" s="229"/>
      <c r="G6" s="734"/>
      <c r="H6" s="734"/>
      <c r="I6" s="229">
        <v>47.300000000000004</v>
      </c>
      <c r="J6" s="229">
        <v>93560.850000000049</v>
      </c>
      <c r="K6" s="734"/>
      <c r="L6" s="734">
        <v>1978.0306553911214</v>
      </c>
      <c r="M6" s="229">
        <v>88.410000000000039</v>
      </c>
      <c r="N6" s="229">
        <v>168205.61000000007</v>
      </c>
      <c r="O6" s="739"/>
      <c r="P6" s="747">
        <v>1902.5631715869245</v>
      </c>
    </row>
    <row r="7" spans="1:16" ht="14.4" customHeight="1" x14ac:dyDescent="0.3">
      <c r="A7" s="660" t="s">
        <v>1256</v>
      </c>
      <c r="B7" s="661" t="s">
        <v>1257</v>
      </c>
      <c r="C7" s="661" t="s">
        <v>1259</v>
      </c>
      <c r="D7" s="661" t="s">
        <v>1260</v>
      </c>
      <c r="E7" s="664"/>
      <c r="F7" s="664"/>
      <c r="G7" s="661"/>
      <c r="H7" s="661"/>
      <c r="I7" s="664">
        <v>1.2</v>
      </c>
      <c r="J7" s="664">
        <v>12404.89</v>
      </c>
      <c r="K7" s="661"/>
      <c r="L7" s="661">
        <v>10337.408333333333</v>
      </c>
      <c r="M7" s="664">
        <v>0.73</v>
      </c>
      <c r="N7" s="664">
        <v>7218.1699999999992</v>
      </c>
      <c r="O7" s="677"/>
      <c r="P7" s="665">
        <v>9887.9041095890407</v>
      </c>
    </row>
    <row r="8" spans="1:16" ht="14.4" customHeight="1" x14ac:dyDescent="0.3">
      <c r="A8" s="660" t="s">
        <v>1256</v>
      </c>
      <c r="B8" s="661" t="s">
        <v>1257</v>
      </c>
      <c r="C8" s="661" t="s">
        <v>1261</v>
      </c>
      <c r="D8" s="661" t="s">
        <v>743</v>
      </c>
      <c r="E8" s="664"/>
      <c r="F8" s="664"/>
      <c r="G8" s="661"/>
      <c r="H8" s="661"/>
      <c r="I8" s="664"/>
      <c r="J8" s="664"/>
      <c r="K8" s="661"/>
      <c r="L8" s="661"/>
      <c r="M8" s="664">
        <v>1.8700000000000012</v>
      </c>
      <c r="N8" s="664">
        <v>16556.979999999996</v>
      </c>
      <c r="O8" s="677"/>
      <c r="P8" s="665">
        <v>8853.9999999999927</v>
      </c>
    </row>
    <row r="9" spans="1:16" ht="14.4" customHeight="1" x14ac:dyDescent="0.3">
      <c r="A9" s="660" t="s">
        <v>1256</v>
      </c>
      <c r="B9" s="661" t="s">
        <v>1257</v>
      </c>
      <c r="C9" s="661" t="s">
        <v>1262</v>
      </c>
      <c r="D9" s="661" t="s">
        <v>1248</v>
      </c>
      <c r="E9" s="664">
        <v>16.499999999999993</v>
      </c>
      <c r="F9" s="664">
        <v>18020.490000000013</v>
      </c>
      <c r="G9" s="661">
        <v>1</v>
      </c>
      <c r="H9" s="661">
        <v>1092.1509090909103</v>
      </c>
      <c r="I9" s="664">
        <v>28.629999999999971</v>
      </c>
      <c r="J9" s="664">
        <v>31268.300000000021</v>
      </c>
      <c r="K9" s="661">
        <v>1.7351525957396274</v>
      </c>
      <c r="L9" s="661">
        <v>1092.1515892420557</v>
      </c>
      <c r="M9" s="664"/>
      <c r="N9" s="664"/>
      <c r="O9" s="677"/>
      <c r="P9" s="665"/>
    </row>
    <row r="10" spans="1:16" ht="14.4" customHeight="1" x14ac:dyDescent="0.3">
      <c r="A10" s="660" t="s">
        <v>1256</v>
      </c>
      <c r="B10" s="661" t="s">
        <v>1257</v>
      </c>
      <c r="C10" s="661" t="s">
        <v>1263</v>
      </c>
      <c r="D10" s="661" t="s">
        <v>743</v>
      </c>
      <c r="E10" s="664">
        <v>324.81000000000006</v>
      </c>
      <c r="F10" s="664">
        <v>709483.30999999912</v>
      </c>
      <c r="G10" s="661">
        <v>1</v>
      </c>
      <c r="H10" s="661">
        <v>2184.3025461038728</v>
      </c>
      <c r="I10" s="664">
        <v>359.55999999999972</v>
      </c>
      <c r="J10" s="664">
        <v>785370.67999999935</v>
      </c>
      <c r="K10" s="661">
        <v>1.1069614590370003</v>
      </c>
      <c r="L10" s="661">
        <v>2184.2548670597398</v>
      </c>
      <c r="M10" s="664">
        <v>319.21999999999974</v>
      </c>
      <c r="N10" s="664">
        <v>565265.92000000121</v>
      </c>
      <c r="O10" s="677">
        <v>0.79672898859312402</v>
      </c>
      <c r="P10" s="665">
        <v>1770.7722573773626</v>
      </c>
    </row>
    <row r="11" spans="1:16" ht="14.4" customHeight="1" x14ac:dyDescent="0.3">
      <c r="A11" s="660" t="s">
        <v>1256</v>
      </c>
      <c r="B11" s="661" t="s">
        <v>1257</v>
      </c>
      <c r="C11" s="661" t="s">
        <v>1264</v>
      </c>
      <c r="D11" s="661" t="s">
        <v>736</v>
      </c>
      <c r="E11" s="664">
        <v>20.50000000000006</v>
      </c>
      <c r="F11" s="664">
        <v>19344.779999999995</v>
      </c>
      <c r="G11" s="661">
        <v>1</v>
      </c>
      <c r="H11" s="661">
        <v>943.6478048780458</v>
      </c>
      <c r="I11" s="664">
        <v>20.760000000000051</v>
      </c>
      <c r="J11" s="664">
        <v>19580.980000000007</v>
      </c>
      <c r="K11" s="661">
        <v>1.0122100122100128</v>
      </c>
      <c r="L11" s="661">
        <v>943.20712909441033</v>
      </c>
      <c r="M11" s="664">
        <v>21.27000000000006</v>
      </c>
      <c r="N11" s="664">
        <v>19183.109999999986</v>
      </c>
      <c r="O11" s="677">
        <v>0.99164270671467913</v>
      </c>
      <c r="P11" s="665">
        <v>901.88575458391779</v>
      </c>
    </row>
    <row r="12" spans="1:16" ht="14.4" customHeight="1" x14ac:dyDescent="0.3">
      <c r="A12" s="660" t="s">
        <v>1256</v>
      </c>
      <c r="B12" s="661" t="s">
        <v>1257</v>
      </c>
      <c r="C12" s="661" t="s">
        <v>1265</v>
      </c>
      <c r="D12" s="661" t="s">
        <v>1266</v>
      </c>
      <c r="E12" s="664"/>
      <c r="F12" s="664"/>
      <c r="G12" s="661"/>
      <c r="H12" s="661"/>
      <c r="I12" s="664">
        <v>3</v>
      </c>
      <c r="J12" s="664">
        <v>37215.050000000003</v>
      </c>
      <c r="K12" s="661"/>
      <c r="L12" s="661">
        <v>12405.016666666668</v>
      </c>
      <c r="M12" s="664"/>
      <c r="N12" s="664"/>
      <c r="O12" s="677"/>
      <c r="P12" s="665"/>
    </row>
    <row r="13" spans="1:16" ht="14.4" customHeight="1" x14ac:dyDescent="0.3">
      <c r="A13" s="660" t="s">
        <v>1256</v>
      </c>
      <c r="B13" s="661" t="s">
        <v>1257</v>
      </c>
      <c r="C13" s="661" t="s">
        <v>1267</v>
      </c>
      <c r="D13" s="661" t="s">
        <v>1266</v>
      </c>
      <c r="E13" s="664"/>
      <c r="F13" s="664"/>
      <c r="G13" s="661"/>
      <c r="H13" s="661"/>
      <c r="I13" s="664"/>
      <c r="J13" s="664"/>
      <c r="K13" s="661"/>
      <c r="L13" s="661"/>
      <c r="M13" s="664">
        <v>3</v>
      </c>
      <c r="N13" s="664">
        <v>487524</v>
      </c>
      <c r="O13" s="677"/>
      <c r="P13" s="665">
        <v>162508</v>
      </c>
    </row>
    <row r="14" spans="1:16" ht="14.4" customHeight="1" x14ac:dyDescent="0.3">
      <c r="A14" s="660" t="s">
        <v>1256</v>
      </c>
      <c r="B14" s="661" t="s">
        <v>1268</v>
      </c>
      <c r="C14" s="661" t="s">
        <v>1269</v>
      </c>
      <c r="D14" s="661" t="s">
        <v>1270</v>
      </c>
      <c r="E14" s="664"/>
      <c r="F14" s="664"/>
      <c r="G14" s="661"/>
      <c r="H14" s="661"/>
      <c r="I14" s="664">
        <v>720</v>
      </c>
      <c r="J14" s="664">
        <v>15069.6</v>
      </c>
      <c r="K14" s="661"/>
      <c r="L14" s="661">
        <v>20.93</v>
      </c>
      <c r="M14" s="664">
        <v>900</v>
      </c>
      <c r="N14" s="664">
        <v>18729</v>
      </c>
      <c r="O14" s="677"/>
      <c r="P14" s="665">
        <v>20.81</v>
      </c>
    </row>
    <row r="15" spans="1:16" ht="14.4" customHeight="1" x14ac:dyDescent="0.3">
      <c r="A15" s="660" t="s">
        <v>1256</v>
      </c>
      <c r="B15" s="661" t="s">
        <v>1268</v>
      </c>
      <c r="C15" s="661" t="s">
        <v>1271</v>
      </c>
      <c r="D15" s="661" t="s">
        <v>1272</v>
      </c>
      <c r="E15" s="664">
        <v>5410</v>
      </c>
      <c r="F15" s="664">
        <v>10312.599999999999</v>
      </c>
      <c r="G15" s="661">
        <v>1</v>
      </c>
      <c r="H15" s="661">
        <v>1.9062107208872456</v>
      </c>
      <c r="I15" s="664">
        <v>4800</v>
      </c>
      <c r="J15" s="664">
        <v>9600</v>
      </c>
      <c r="K15" s="661">
        <v>0.93090006399937952</v>
      </c>
      <c r="L15" s="661">
        <v>2</v>
      </c>
      <c r="M15" s="664">
        <v>5490</v>
      </c>
      <c r="N15" s="664">
        <v>11583.9</v>
      </c>
      <c r="O15" s="677">
        <v>1.1232763803502512</v>
      </c>
      <c r="P15" s="665">
        <v>2.11</v>
      </c>
    </row>
    <row r="16" spans="1:16" ht="14.4" customHeight="1" x14ac:dyDescent="0.3">
      <c r="A16" s="660" t="s">
        <v>1256</v>
      </c>
      <c r="B16" s="661" t="s">
        <v>1268</v>
      </c>
      <c r="C16" s="661" t="s">
        <v>1273</v>
      </c>
      <c r="D16" s="661" t="s">
        <v>1274</v>
      </c>
      <c r="E16" s="664">
        <v>8195</v>
      </c>
      <c r="F16" s="664">
        <v>39113.9</v>
      </c>
      <c r="G16" s="661">
        <v>1</v>
      </c>
      <c r="H16" s="661">
        <v>4.7728981086028064</v>
      </c>
      <c r="I16" s="664">
        <v>10960</v>
      </c>
      <c r="J16" s="664">
        <v>55896</v>
      </c>
      <c r="K16" s="661">
        <v>1.4290571893879158</v>
      </c>
      <c r="L16" s="661">
        <v>5.0999999999999996</v>
      </c>
      <c r="M16" s="664">
        <v>10960</v>
      </c>
      <c r="N16" s="664">
        <v>58307.199999999953</v>
      </c>
      <c r="O16" s="677">
        <v>1.4907027936360207</v>
      </c>
      <c r="P16" s="665">
        <v>5.3199999999999958</v>
      </c>
    </row>
    <row r="17" spans="1:16" ht="14.4" customHeight="1" x14ac:dyDescent="0.3">
      <c r="A17" s="660" t="s">
        <v>1256</v>
      </c>
      <c r="B17" s="661" t="s">
        <v>1268</v>
      </c>
      <c r="C17" s="661" t="s">
        <v>1275</v>
      </c>
      <c r="D17" s="661" t="s">
        <v>1276</v>
      </c>
      <c r="E17" s="664"/>
      <c r="F17" s="664"/>
      <c r="G17" s="661"/>
      <c r="H17" s="661"/>
      <c r="I17" s="664"/>
      <c r="J17" s="664"/>
      <c r="K17" s="661"/>
      <c r="L17" s="661"/>
      <c r="M17" s="664">
        <v>1</v>
      </c>
      <c r="N17" s="664">
        <v>7.74</v>
      </c>
      <c r="O17" s="677"/>
      <c r="P17" s="665">
        <v>7.74</v>
      </c>
    </row>
    <row r="18" spans="1:16" ht="14.4" customHeight="1" x14ac:dyDescent="0.3">
      <c r="A18" s="660" t="s">
        <v>1256</v>
      </c>
      <c r="B18" s="661" t="s">
        <v>1268</v>
      </c>
      <c r="C18" s="661" t="s">
        <v>1277</v>
      </c>
      <c r="D18" s="661" t="s">
        <v>1278</v>
      </c>
      <c r="E18" s="664"/>
      <c r="F18" s="664"/>
      <c r="G18" s="661"/>
      <c r="H18" s="661"/>
      <c r="I18" s="664">
        <v>480</v>
      </c>
      <c r="J18" s="664">
        <v>3513.6</v>
      </c>
      <c r="K18" s="661"/>
      <c r="L18" s="661">
        <v>7.3199999999999994</v>
      </c>
      <c r="M18" s="664"/>
      <c r="N18" s="664"/>
      <c r="O18" s="677"/>
      <c r="P18" s="665"/>
    </row>
    <row r="19" spans="1:16" ht="14.4" customHeight="1" x14ac:dyDescent="0.3">
      <c r="A19" s="660" t="s">
        <v>1256</v>
      </c>
      <c r="B19" s="661" t="s">
        <v>1268</v>
      </c>
      <c r="C19" s="661" t="s">
        <v>1279</v>
      </c>
      <c r="D19" s="661" t="s">
        <v>1280</v>
      </c>
      <c r="E19" s="664">
        <v>2200</v>
      </c>
      <c r="F19" s="664">
        <v>12528</v>
      </c>
      <c r="G19" s="661">
        <v>1</v>
      </c>
      <c r="H19" s="661">
        <v>5.6945454545454544</v>
      </c>
      <c r="I19" s="664"/>
      <c r="J19" s="664"/>
      <c r="K19" s="661"/>
      <c r="L19" s="661"/>
      <c r="M19" s="664"/>
      <c r="N19" s="664"/>
      <c r="O19" s="677"/>
      <c r="P19" s="665"/>
    </row>
    <row r="20" spans="1:16" ht="14.4" customHeight="1" x14ac:dyDescent="0.3">
      <c r="A20" s="660" t="s">
        <v>1256</v>
      </c>
      <c r="B20" s="661" t="s">
        <v>1268</v>
      </c>
      <c r="C20" s="661" t="s">
        <v>1281</v>
      </c>
      <c r="D20" s="661" t="s">
        <v>1282</v>
      </c>
      <c r="E20" s="664">
        <v>178700</v>
      </c>
      <c r="F20" s="664">
        <v>991641.5</v>
      </c>
      <c r="G20" s="661">
        <v>1</v>
      </c>
      <c r="H20" s="661">
        <v>5.5491969781757131</v>
      </c>
      <c r="I20" s="664">
        <v>206500</v>
      </c>
      <c r="J20" s="664">
        <v>1146075</v>
      </c>
      <c r="K20" s="661">
        <v>1.1557352127759881</v>
      </c>
      <c r="L20" s="661">
        <v>5.55</v>
      </c>
      <c r="M20" s="664">
        <v>187270</v>
      </c>
      <c r="N20" s="664">
        <v>1093656.8000000003</v>
      </c>
      <c r="O20" s="677">
        <v>1.1028751822105067</v>
      </c>
      <c r="P20" s="665">
        <v>5.8400000000000016</v>
      </c>
    </row>
    <row r="21" spans="1:16" ht="14.4" customHeight="1" x14ac:dyDescent="0.3">
      <c r="A21" s="660" t="s">
        <v>1256</v>
      </c>
      <c r="B21" s="661" t="s">
        <v>1268</v>
      </c>
      <c r="C21" s="661" t="s">
        <v>1283</v>
      </c>
      <c r="D21" s="661" t="s">
        <v>1284</v>
      </c>
      <c r="E21" s="664">
        <v>4446</v>
      </c>
      <c r="F21" s="664">
        <v>34812.360000000008</v>
      </c>
      <c r="G21" s="661">
        <v>1</v>
      </c>
      <c r="H21" s="661">
        <v>7.8300404858299615</v>
      </c>
      <c r="I21" s="664">
        <v>3743</v>
      </c>
      <c r="J21" s="664">
        <v>30767.46</v>
      </c>
      <c r="K21" s="661">
        <v>0.8838085093914918</v>
      </c>
      <c r="L21" s="661">
        <v>8.2200000000000006</v>
      </c>
      <c r="M21" s="664">
        <v>1625.2</v>
      </c>
      <c r="N21" s="664">
        <v>13684.179999999998</v>
      </c>
      <c r="O21" s="677">
        <v>0.39308395064281754</v>
      </c>
      <c r="P21" s="665">
        <v>8.4199975387644592</v>
      </c>
    </row>
    <row r="22" spans="1:16" ht="14.4" customHeight="1" x14ac:dyDescent="0.3">
      <c r="A22" s="660" t="s">
        <v>1256</v>
      </c>
      <c r="B22" s="661" t="s">
        <v>1268</v>
      </c>
      <c r="C22" s="661" t="s">
        <v>1285</v>
      </c>
      <c r="D22" s="661" t="s">
        <v>1286</v>
      </c>
      <c r="E22" s="664">
        <v>1490</v>
      </c>
      <c r="F22" s="664">
        <v>11665.900000000001</v>
      </c>
      <c r="G22" s="661">
        <v>1</v>
      </c>
      <c r="H22" s="661">
        <v>7.8294630872483229</v>
      </c>
      <c r="I22" s="664">
        <v>2299</v>
      </c>
      <c r="J22" s="664">
        <v>18139.11</v>
      </c>
      <c r="K22" s="661">
        <v>1.5548830351708824</v>
      </c>
      <c r="L22" s="661">
        <v>7.8900000000000006</v>
      </c>
      <c r="M22" s="664">
        <v>745</v>
      </c>
      <c r="N22" s="664">
        <v>5997.25</v>
      </c>
      <c r="O22" s="677">
        <v>0.51408378264857402</v>
      </c>
      <c r="P22" s="665">
        <v>8.0500000000000007</v>
      </c>
    </row>
    <row r="23" spans="1:16" ht="14.4" customHeight="1" x14ac:dyDescent="0.3">
      <c r="A23" s="660" t="s">
        <v>1256</v>
      </c>
      <c r="B23" s="661" t="s">
        <v>1268</v>
      </c>
      <c r="C23" s="661" t="s">
        <v>1287</v>
      </c>
      <c r="D23" s="661" t="s">
        <v>1288</v>
      </c>
      <c r="E23" s="664">
        <v>2936</v>
      </c>
      <c r="F23" s="664">
        <v>26622.400000000009</v>
      </c>
      <c r="G23" s="661">
        <v>1</v>
      </c>
      <c r="H23" s="661">
        <v>9.0675749318801113</v>
      </c>
      <c r="I23" s="664">
        <v>3962</v>
      </c>
      <c r="J23" s="664">
        <v>37322.039999999994</v>
      </c>
      <c r="K23" s="661">
        <v>1.4019036600757251</v>
      </c>
      <c r="L23" s="661">
        <v>9.4199999999999982</v>
      </c>
      <c r="M23" s="664">
        <v>3719.1</v>
      </c>
      <c r="N23" s="664">
        <v>35219.869999999995</v>
      </c>
      <c r="O23" s="677">
        <v>1.3229412074042906</v>
      </c>
      <c r="P23" s="665">
        <v>9.4699981178242041</v>
      </c>
    </row>
    <row r="24" spans="1:16" ht="14.4" customHeight="1" x14ac:dyDescent="0.3">
      <c r="A24" s="660" t="s">
        <v>1256</v>
      </c>
      <c r="B24" s="661" t="s">
        <v>1268</v>
      </c>
      <c r="C24" s="661" t="s">
        <v>1289</v>
      </c>
      <c r="D24" s="661" t="s">
        <v>1290</v>
      </c>
      <c r="E24" s="664"/>
      <c r="F24" s="664"/>
      <c r="G24" s="661"/>
      <c r="H24" s="661"/>
      <c r="I24" s="664">
        <v>74.38000000000001</v>
      </c>
      <c r="J24" s="664">
        <v>2847.37</v>
      </c>
      <c r="K24" s="661"/>
      <c r="L24" s="661">
        <v>38.281392847539657</v>
      </c>
      <c r="M24" s="664">
        <v>74.580000000000013</v>
      </c>
      <c r="N24" s="664">
        <v>2713.31</v>
      </c>
      <c r="O24" s="677"/>
      <c r="P24" s="665">
        <v>36.381201394475724</v>
      </c>
    </row>
    <row r="25" spans="1:16" ht="14.4" customHeight="1" x14ac:dyDescent="0.3">
      <c r="A25" s="660" t="s">
        <v>1256</v>
      </c>
      <c r="B25" s="661" t="s">
        <v>1268</v>
      </c>
      <c r="C25" s="661" t="s">
        <v>1291</v>
      </c>
      <c r="D25" s="661" t="s">
        <v>1292</v>
      </c>
      <c r="E25" s="664">
        <v>5000</v>
      </c>
      <c r="F25" s="664">
        <v>32690</v>
      </c>
      <c r="G25" s="661">
        <v>1</v>
      </c>
      <c r="H25" s="661">
        <v>6.5380000000000003</v>
      </c>
      <c r="I25" s="664">
        <v>2000</v>
      </c>
      <c r="J25" s="664">
        <v>12960</v>
      </c>
      <c r="K25" s="661">
        <v>0.39645151422453351</v>
      </c>
      <c r="L25" s="661">
        <v>6.48</v>
      </c>
      <c r="M25" s="664"/>
      <c r="N25" s="664"/>
      <c r="O25" s="677"/>
      <c r="P25" s="665"/>
    </row>
    <row r="26" spans="1:16" ht="14.4" customHeight="1" x14ac:dyDescent="0.3">
      <c r="A26" s="660" t="s">
        <v>1256</v>
      </c>
      <c r="B26" s="661" t="s">
        <v>1268</v>
      </c>
      <c r="C26" s="661" t="s">
        <v>1293</v>
      </c>
      <c r="D26" s="661" t="s">
        <v>1294</v>
      </c>
      <c r="E26" s="664">
        <v>9348</v>
      </c>
      <c r="F26" s="664">
        <v>160256.82</v>
      </c>
      <c r="G26" s="661">
        <v>1</v>
      </c>
      <c r="H26" s="661">
        <v>17.143433889602054</v>
      </c>
      <c r="I26" s="664">
        <v>14101</v>
      </c>
      <c r="J26" s="664">
        <v>269611.12</v>
      </c>
      <c r="K26" s="661">
        <v>1.6823690873187174</v>
      </c>
      <c r="L26" s="661">
        <v>19.12</v>
      </c>
      <c r="M26" s="664">
        <v>15464</v>
      </c>
      <c r="N26" s="664">
        <v>308352.15999999997</v>
      </c>
      <c r="O26" s="677">
        <v>1.9241125588290093</v>
      </c>
      <c r="P26" s="665">
        <v>19.939999999999998</v>
      </c>
    </row>
    <row r="27" spans="1:16" ht="14.4" customHeight="1" x14ac:dyDescent="0.3">
      <c r="A27" s="660" t="s">
        <v>1256</v>
      </c>
      <c r="B27" s="661" t="s">
        <v>1268</v>
      </c>
      <c r="C27" s="661" t="s">
        <v>1295</v>
      </c>
      <c r="D27" s="661" t="s">
        <v>1296</v>
      </c>
      <c r="E27" s="664">
        <v>13.600000000000001</v>
      </c>
      <c r="F27" s="664">
        <v>15921.330000000002</v>
      </c>
      <c r="G27" s="661">
        <v>1</v>
      </c>
      <c r="H27" s="661">
        <v>1170.6860294117648</v>
      </c>
      <c r="I27" s="664">
        <v>18.8</v>
      </c>
      <c r="J27" s="664">
        <v>29029.61</v>
      </c>
      <c r="K27" s="661">
        <v>1.8233156400878567</v>
      </c>
      <c r="L27" s="661">
        <v>1544.1281914893616</v>
      </c>
      <c r="M27" s="664">
        <v>2.6</v>
      </c>
      <c r="N27" s="664">
        <v>3781.12</v>
      </c>
      <c r="O27" s="677">
        <v>0.23748769732176894</v>
      </c>
      <c r="P27" s="665">
        <v>1454.2769230769229</v>
      </c>
    </row>
    <row r="28" spans="1:16" ht="14.4" customHeight="1" x14ac:dyDescent="0.3">
      <c r="A28" s="660" t="s">
        <v>1256</v>
      </c>
      <c r="B28" s="661" t="s">
        <v>1268</v>
      </c>
      <c r="C28" s="661" t="s">
        <v>1297</v>
      </c>
      <c r="D28" s="661" t="s">
        <v>1298</v>
      </c>
      <c r="E28" s="664"/>
      <c r="F28" s="664"/>
      <c r="G28" s="661"/>
      <c r="H28" s="661"/>
      <c r="I28" s="664"/>
      <c r="J28" s="664"/>
      <c r="K28" s="661"/>
      <c r="L28" s="661"/>
      <c r="M28" s="664">
        <v>5</v>
      </c>
      <c r="N28" s="664">
        <v>22105.35</v>
      </c>
      <c r="O28" s="677"/>
      <c r="P28" s="665">
        <v>4421.07</v>
      </c>
    </row>
    <row r="29" spans="1:16" ht="14.4" customHeight="1" x14ac:dyDescent="0.3">
      <c r="A29" s="660" t="s">
        <v>1256</v>
      </c>
      <c r="B29" s="661" t="s">
        <v>1268</v>
      </c>
      <c r="C29" s="661" t="s">
        <v>1299</v>
      </c>
      <c r="D29" s="661" t="s">
        <v>1300</v>
      </c>
      <c r="E29" s="664">
        <v>42</v>
      </c>
      <c r="F29" s="664">
        <v>95940.03</v>
      </c>
      <c r="G29" s="661">
        <v>1</v>
      </c>
      <c r="H29" s="661">
        <v>2284.2864285714286</v>
      </c>
      <c r="I29" s="664">
        <v>45</v>
      </c>
      <c r="J29" s="664">
        <v>98790.750000000058</v>
      </c>
      <c r="K29" s="661">
        <v>1.0297135616905693</v>
      </c>
      <c r="L29" s="661">
        <v>2195.3500000000013</v>
      </c>
      <c r="M29" s="664">
        <v>42</v>
      </c>
      <c r="N29" s="664">
        <v>92130.360000000044</v>
      </c>
      <c r="O29" s="677">
        <v>0.96029113186643833</v>
      </c>
      <c r="P29" s="665">
        <v>2193.5800000000008</v>
      </c>
    </row>
    <row r="30" spans="1:16" ht="14.4" customHeight="1" x14ac:dyDescent="0.3">
      <c r="A30" s="660" t="s">
        <v>1256</v>
      </c>
      <c r="B30" s="661" t="s">
        <v>1268</v>
      </c>
      <c r="C30" s="661" t="s">
        <v>1301</v>
      </c>
      <c r="D30" s="661" t="s">
        <v>1302</v>
      </c>
      <c r="E30" s="664"/>
      <c r="F30" s="664"/>
      <c r="G30" s="661"/>
      <c r="H30" s="661"/>
      <c r="I30" s="664"/>
      <c r="J30" s="664"/>
      <c r="K30" s="661"/>
      <c r="L30" s="661"/>
      <c r="M30" s="664">
        <v>254</v>
      </c>
      <c r="N30" s="664">
        <v>62631.32</v>
      </c>
      <c r="O30" s="677"/>
      <c r="P30" s="665">
        <v>246.58</v>
      </c>
    </row>
    <row r="31" spans="1:16" ht="14.4" customHeight="1" x14ac:dyDescent="0.3">
      <c r="A31" s="660" t="s">
        <v>1256</v>
      </c>
      <c r="B31" s="661" t="s">
        <v>1268</v>
      </c>
      <c r="C31" s="661" t="s">
        <v>1303</v>
      </c>
      <c r="D31" s="661" t="s">
        <v>1304</v>
      </c>
      <c r="E31" s="664">
        <v>328469</v>
      </c>
      <c r="F31" s="664">
        <v>1019271.43</v>
      </c>
      <c r="G31" s="661">
        <v>1</v>
      </c>
      <c r="H31" s="661">
        <v>3.1030977961390573</v>
      </c>
      <c r="I31" s="664">
        <v>290219</v>
      </c>
      <c r="J31" s="664">
        <v>946113.94000000006</v>
      </c>
      <c r="K31" s="661">
        <v>0.92822570333399812</v>
      </c>
      <c r="L31" s="661">
        <v>3.2600000000000002</v>
      </c>
      <c r="M31" s="664">
        <v>289084</v>
      </c>
      <c r="N31" s="664">
        <v>988667.28</v>
      </c>
      <c r="O31" s="677">
        <v>0.96997448461790003</v>
      </c>
      <c r="P31" s="665">
        <v>3.42</v>
      </c>
    </row>
    <row r="32" spans="1:16" ht="14.4" customHeight="1" x14ac:dyDescent="0.3">
      <c r="A32" s="660" t="s">
        <v>1256</v>
      </c>
      <c r="B32" s="661" t="s">
        <v>1268</v>
      </c>
      <c r="C32" s="661" t="s">
        <v>1305</v>
      </c>
      <c r="D32" s="661" t="s">
        <v>1306</v>
      </c>
      <c r="E32" s="664">
        <v>2420</v>
      </c>
      <c r="F32" s="664">
        <v>567663.80000000005</v>
      </c>
      <c r="G32" s="661">
        <v>1</v>
      </c>
      <c r="H32" s="661">
        <v>234.5718181818182</v>
      </c>
      <c r="I32" s="664">
        <v>220</v>
      </c>
      <c r="J32" s="664">
        <v>53528.2</v>
      </c>
      <c r="K32" s="661">
        <v>9.4295602432284728E-2</v>
      </c>
      <c r="L32" s="661">
        <v>243.30999999999997</v>
      </c>
      <c r="M32" s="664"/>
      <c r="N32" s="664"/>
      <c r="O32" s="677"/>
      <c r="P32" s="665"/>
    </row>
    <row r="33" spans="1:16" ht="14.4" customHeight="1" x14ac:dyDescent="0.3">
      <c r="A33" s="660" t="s">
        <v>1256</v>
      </c>
      <c r="B33" s="661" t="s">
        <v>1268</v>
      </c>
      <c r="C33" s="661" t="s">
        <v>1307</v>
      </c>
      <c r="D33" s="661" t="s">
        <v>1308</v>
      </c>
      <c r="E33" s="664"/>
      <c r="F33" s="664"/>
      <c r="G33" s="661"/>
      <c r="H33" s="661"/>
      <c r="I33" s="664"/>
      <c r="J33" s="664"/>
      <c r="K33" s="661"/>
      <c r="L33" s="661"/>
      <c r="M33" s="664">
        <v>2900</v>
      </c>
      <c r="N33" s="664">
        <v>36627</v>
      </c>
      <c r="O33" s="677"/>
      <c r="P33" s="665">
        <v>12.63</v>
      </c>
    </row>
    <row r="34" spans="1:16" ht="14.4" customHeight="1" x14ac:dyDescent="0.3">
      <c r="A34" s="660" t="s">
        <v>1256</v>
      </c>
      <c r="B34" s="661" t="s">
        <v>1268</v>
      </c>
      <c r="C34" s="661" t="s">
        <v>1309</v>
      </c>
      <c r="D34" s="661" t="s">
        <v>1310</v>
      </c>
      <c r="E34" s="664">
        <v>349351</v>
      </c>
      <c r="F34" s="664">
        <v>11577897.77</v>
      </c>
      <c r="G34" s="661">
        <v>1</v>
      </c>
      <c r="H34" s="661">
        <v>33.14116109586061</v>
      </c>
      <c r="I34" s="664">
        <v>366860</v>
      </c>
      <c r="J34" s="664">
        <v>12216438.000000004</v>
      </c>
      <c r="K34" s="661">
        <v>1.055151655566916</v>
      </c>
      <c r="L34" s="661">
        <v>33.300000000000011</v>
      </c>
      <c r="M34" s="664">
        <v>366984</v>
      </c>
      <c r="N34" s="664">
        <v>12312313.200000005</v>
      </c>
      <c r="O34" s="677">
        <v>1.0634325371142057</v>
      </c>
      <c r="P34" s="665">
        <v>33.550000000000011</v>
      </c>
    </row>
    <row r="35" spans="1:16" ht="14.4" customHeight="1" x14ac:dyDescent="0.3">
      <c r="A35" s="660" t="s">
        <v>1256</v>
      </c>
      <c r="B35" s="661" t="s">
        <v>1268</v>
      </c>
      <c r="C35" s="661" t="s">
        <v>1311</v>
      </c>
      <c r="D35" s="661" t="s">
        <v>1312</v>
      </c>
      <c r="E35" s="664">
        <v>841</v>
      </c>
      <c r="F35" s="664">
        <v>132394.23999999999</v>
      </c>
      <c r="G35" s="661">
        <v>1</v>
      </c>
      <c r="H35" s="661">
        <v>157.42478002378121</v>
      </c>
      <c r="I35" s="664">
        <v>925</v>
      </c>
      <c r="J35" s="664">
        <v>146723.5</v>
      </c>
      <c r="K35" s="661">
        <v>1.1082317478464321</v>
      </c>
      <c r="L35" s="661">
        <v>158.62</v>
      </c>
      <c r="M35" s="664">
        <v>2620</v>
      </c>
      <c r="N35" s="664">
        <v>441443.8000000001</v>
      </c>
      <c r="O35" s="677">
        <v>3.3343127314300087</v>
      </c>
      <c r="P35" s="665">
        <v>168.49000000000004</v>
      </c>
    </row>
    <row r="36" spans="1:16" ht="14.4" customHeight="1" x14ac:dyDescent="0.3">
      <c r="A36" s="660" t="s">
        <v>1256</v>
      </c>
      <c r="B36" s="661" t="s">
        <v>1268</v>
      </c>
      <c r="C36" s="661" t="s">
        <v>1313</v>
      </c>
      <c r="D36" s="661" t="s">
        <v>1314</v>
      </c>
      <c r="E36" s="664">
        <v>2050</v>
      </c>
      <c r="F36" s="664">
        <v>39143.5</v>
      </c>
      <c r="G36" s="661">
        <v>1</v>
      </c>
      <c r="H36" s="661">
        <v>19.094390243902438</v>
      </c>
      <c r="I36" s="664">
        <v>3170</v>
      </c>
      <c r="J36" s="664">
        <v>61307.80000000001</v>
      </c>
      <c r="K36" s="661">
        <v>1.5662319414462174</v>
      </c>
      <c r="L36" s="661">
        <v>19.340000000000003</v>
      </c>
      <c r="M36" s="664">
        <v>2290</v>
      </c>
      <c r="N36" s="664">
        <v>46349.599999999999</v>
      </c>
      <c r="O36" s="677">
        <v>1.1840944218069411</v>
      </c>
      <c r="P36" s="665">
        <v>20.239999999999998</v>
      </c>
    </row>
    <row r="37" spans="1:16" ht="14.4" customHeight="1" x14ac:dyDescent="0.3">
      <c r="A37" s="660" t="s">
        <v>1256</v>
      </c>
      <c r="B37" s="661" t="s">
        <v>1268</v>
      </c>
      <c r="C37" s="661" t="s">
        <v>1267</v>
      </c>
      <c r="D37" s="661" t="s">
        <v>1248</v>
      </c>
      <c r="E37" s="664"/>
      <c r="F37" s="664"/>
      <c r="G37" s="661"/>
      <c r="H37" s="661"/>
      <c r="I37" s="664">
        <v>2801</v>
      </c>
      <c r="J37" s="664">
        <v>43750</v>
      </c>
      <c r="K37" s="661"/>
      <c r="L37" s="661">
        <v>15.61942163513031</v>
      </c>
      <c r="M37" s="664">
        <v>2104</v>
      </c>
      <c r="N37" s="664">
        <v>84953</v>
      </c>
      <c r="O37" s="677"/>
      <c r="P37" s="665">
        <v>40.37690114068441</v>
      </c>
    </row>
    <row r="38" spans="1:16" ht="14.4" customHeight="1" x14ac:dyDescent="0.3">
      <c r="A38" s="660" t="s">
        <v>1256</v>
      </c>
      <c r="B38" s="661" t="s">
        <v>1268</v>
      </c>
      <c r="C38" s="661" t="s">
        <v>1315</v>
      </c>
      <c r="D38" s="661" t="s">
        <v>1316</v>
      </c>
      <c r="E38" s="664"/>
      <c r="F38" s="664"/>
      <c r="G38" s="661"/>
      <c r="H38" s="661"/>
      <c r="I38" s="664"/>
      <c r="J38" s="664"/>
      <c r="K38" s="661"/>
      <c r="L38" s="661"/>
      <c r="M38" s="664">
        <v>500</v>
      </c>
      <c r="N38" s="664">
        <v>2880</v>
      </c>
      <c r="O38" s="677"/>
      <c r="P38" s="665">
        <v>5.76</v>
      </c>
    </row>
    <row r="39" spans="1:16" ht="14.4" customHeight="1" x14ac:dyDescent="0.3">
      <c r="A39" s="660" t="s">
        <v>1256</v>
      </c>
      <c r="B39" s="661" t="s">
        <v>1268</v>
      </c>
      <c r="C39" s="661" t="s">
        <v>1317</v>
      </c>
      <c r="D39" s="661" t="s">
        <v>1318</v>
      </c>
      <c r="E39" s="664"/>
      <c r="F39" s="664"/>
      <c r="G39" s="661"/>
      <c r="H39" s="661"/>
      <c r="I39" s="664">
        <v>8</v>
      </c>
      <c r="J39" s="664">
        <v>458.24</v>
      </c>
      <c r="K39" s="661"/>
      <c r="L39" s="661">
        <v>57.28</v>
      </c>
      <c r="M39" s="664">
        <v>14</v>
      </c>
      <c r="N39" s="664">
        <v>906.91999999999985</v>
      </c>
      <c r="O39" s="677"/>
      <c r="P39" s="665">
        <v>64.779999999999987</v>
      </c>
    </row>
    <row r="40" spans="1:16" ht="14.4" customHeight="1" x14ac:dyDescent="0.3">
      <c r="A40" s="660" t="s">
        <v>1256</v>
      </c>
      <c r="B40" s="661" t="s">
        <v>1268</v>
      </c>
      <c r="C40" s="661" t="s">
        <v>1319</v>
      </c>
      <c r="D40" s="661" t="s">
        <v>1320</v>
      </c>
      <c r="E40" s="664"/>
      <c r="F40" s="664"/>
      <c r="G40" s="661"/>
      <c r="H40" s="661"/>
      <c r="I40" s="664">
        <v>2441</v>
      </c>
      <c r="J40" s="664">
        <v>143579.62</v>
      </c>
      <c r="K40" s="661"/>
      <c r="L40" s="661">
        <v>58.82</v>
      </c>
      <c r="M40" s="664">
        <v>3747</v>
      </c>
      <c r="N40" s="664">
        <v>228754.35</v>
      </c>
      <c r="O40" s="677"/>
      <c r="P40" s="665">
        <v>61.050000000000004</v>
      </c>
    </row>
    <row r="41" spans="1:16" ht="14.4" customHeight="1" x14ac:dyDescent="0.3">
      <c r="A41" s="660" t="s">
        <v>1256</v>
      </c>
      <c r="B41" s="661" t="s">
        <v>1268</v>
      </c>
      <c r="C41" s="661" t="s">
        <v>1321</v>
      </c>
      <c r="D41" s="661" t="s">
        <v>1322</v>
      </c>
      <c r="E41" s="664"/>
      <c r="F41" s="664"/>
      <c r="G41" s="661"/>
      <c r="H41" s="661"/>
      <c r="I41" s="664">
        <v>1</v>
      </c>
      <c r="J41" s="664">
        <v>53.91</v>
      </c>
      <c r="K41" s="661"/>
      <c r="L41" s="661">
        <v>53.91</v>
      </c>
      <c r="M41" s="664">
        <v>1</v>
      </c>
      <c r="N41" s="664">
        <v>51.56</v>
      </c>
      <c r="O41" s="677"/>
      <c r="P41" s="665">
        <v>51.56</v>
      </c>
    </row>
    <row r="42" spans="1:16" ht="14.4" customHeight="1" x14ac:dyDescent="0.3">
      <c r="A42" s="660" t="s">
        <v>1256</v>
      </c>
      <c r="B42" s="661" t="s">
        <v>1268</v>
      </c>
      <c r="C42" s="661" t="s">
        <v>1323</v>
      </c>
      <c r="D42" s="661" t="s">
        <v>1248</v>
      </c>
      <c r="E42" s="664"/>
      <c r="F42" s="664"/>
      <c r="G42" s="661"/>
      <c r="H42" s="661"/>
      <c r="I42" s="664"/>
      <c r="J42" s="664"/>
      <c r="K42" s="661"/>
      <c r="L42" s="661"/>
      <c r="M42" s="664">
        <v>3</v>
      </c>
      <c r="N42" s="664">
        <v>37212.01</v>
      </c>
      <c r="O42" s="677"/>
      <c r="P42" s="665">
        <v>12404.003333333334</v>
      </c>
    </row>
    <row r="43" spans="1:16" ht="14.4" customHeight="1" x14ac:dyDescent="0.3">
      <c r="A43" s="660" t="s">
        <v>1256</v>
      </c>
      <c r="B43" s="661" t="s">
        <v>1324</v>
      </c>
      <c r="C43" s="661" t="s">
        <v>1325</v>
      </c>
      <c r="D43" s="661" t="s">
        <v>1326</v>
      </c>
      <c r="E43" s="664"/>
      <c r="F43" s="664"/>
      <c r="G43" s="661"/>
      <c r="H43" s="661"/>
      <c r="I43" s="664">
        <v>599</v>
      </c>
      <c r="J43" s="664">
        <v>529707.68000000203</v>
      </c>
      <c r="K43" s="661"/>
      <c r="L43" s="661">
        <v>884.32000000000335</v>
      </c>
      <c r="M43" s="664">
        <v>862</v>
      </c>
      <c r="N43" s="664">
        <v>762283.83999999799</v>
      </c>
      <c r="O43" s="677"/>
      <c r="P43" s="665">
        <v>884.31999999999766</v>
      </c>
    </row>
    <row r="44" spans="1:16" ht="14.4" customHeight="1" x14ac:dyDescent="0.3">
      <c r="A44" s="660" t="s">
        <v>1256</v>
      </c>
      <c r="B44" s="661" t="s">
        <v>1327</v>
      </c>
      <c r="C44" s="661" t="s">
        <v>1328</v>
      </c>
      <c r="D44" s="661" t="s">
        <v>1329</v>
      </c>
      <c r="E44" s="664">
        <v>125</v>
      </c>
      <c r="F44" s="664">
        <v>4250</v>
      </c>
      <c r="G44" s="661">
        <v>1</v>
      </c>
      <c r="H44" s="661">
        <v>34</v>
      </c>
      <c r="I44" s="664">
        <v>114</v>
      </c>
      <c r="J44" s="664">
        <v>3876</v>
      </c>
      <c r="K44" s="661">
        <v>0.91200000000000003</v>
      </c>
      <c r="L44" s="661">
        <v>34</v>
      </c>
      <c r="M44" s="664">
        <v>97</v>
      </c>
      <c r="N44" s="664">
        <v>3395</v>
      </c>
      <c r="O44" s="677">
        <v>0.79882352941176471</v>
      </c>
      <c r="P44" s="665">
        <v>35</v>
      </c>
    </row>
    <row r="45" spans="1:16" ht="14.4" customHeight="1" x14ac:dyDescent="0.3">
      <c r="A45" s="660" t="s">
        <v>1256</v>
      </c>
      <c r="B45" s="661" t="s">
        <v>1327</v>
      </c>
      <c r="C45" s="661" t="s">
        <v>1330</v>
      </c>
      <c r="D45" s="661" t="s">
        <v>1331</v>
      </c>
      <c r="E45" s="664">
        <v>44</v>
      </c>
      <c r="F45" s="664">
        <v>18480</v>
      </c>
      <c r="G45" s="661">
        <v>1</v>
      </c>
      <c r="H45" s="661">
        <v>420</v>
      </c>
      <c r="I45" s="664">
        <v>51</v>
      </c>
      <c r="J45" s="664">
        <v>21420</v>
      </c>
      <c r="K45" s="661">
        <v>1.1590909090909092</v>
      </c>
      <c r="L45" s="661">
        <v>420</v>
      </c>
      <c r="M45" s="664">
        <v>66</v>
      </c>
      <c r="N45" s="664">
        <v>27984</v>
      </c>
      <c r="O45" s="677">
        <v>1.5142857142857142</v>
      </c>
      <c r="P45" s="665">
        <v>424</v>
      </c>
    </row>
    <row r="46" spans="1:16" ht="14.4" customHeight="1" x14ac:dyDescent="0.3">
      <c r="A46" s="660" t="s">
        <v>1256</v>
      </c>
      <c r="B46" s="661" t="s">
        <v>1327</v>
      </c>
      <c r="C46" s="661" t="s">
        <v>1332</v>
      </c>
      <c r="D46" s="661" t="s">
        <v>1333</v>
      </c>
      <c r="E46" s="664">
        <v>478</v>
      </c>
      <c r="F46" s="664">
        <v>77914</v>
      </c>
      <c r="G46" s="661">
        <v>1</v>
      </c>
      <c r="H46" s="661">
        <v>163</v>
      </c>
      <c r="I46" s="664">
        <v>482</v>
      </c>
      <c r="J46" s="664">
        <v>78566</v>
      </c>
      <c r="K46" s="661">
        <v>1.00836820083682</v>
      </c>
      <c r="L46" s="661">
        <v>163</v>
      </c>
      <c r="M46" s="664">
        <v>455</v>
      </c>
      <c r="N46" s="664">
        <v>75075</v>
      </c>
      <c r="O46" s="677">
        <v>0.96356238930102422</v>
      </c>
      <c r="P46" s="665">
        <v>165</v>
      </c>
    </row>
    <row r="47" spans="1:16" ht="14.4" customHeight="1" x14ac:dyDescent="0.3">
      <c r="A47" s="660" t="s">
        <v>1256</v>
      </c>
      <c r="B47" s="661" t="s">
        <v>1327</v>
      </c>
      <c r="C47" s="661" t="s">
        <v>1334</v>
      </c>
      <c r="D47" s="661" t="s">
        <v>1335</v>
      </c>
      <c r="E47" s="664"/>
      <c r="F47" s="664"/>
      <c r="G47" s="661"/>
      <c r="H47" s="661"/>
      <c r="I47" s="664"/>
      <c r="J47" s="664"/>
      <c r="K47" s="661"/>
      <c r="L47" s="661"/>
      <c r="M47" s="664">
        <v>1</v>
      </c>
      <c r="N47" s="664">
        <v>328</v>
      </c>
      <c r="O47" s="677"/>
      <c r="P47" s="665">
        <v>328</v>
      </c>
    </row>
    <row r="48" spans="1:16" ht="14.4" customHeight="1" x14ac:dyDescent="0.3">
      <c r="A48" s="660" t="s">
        <v>1256</v>
      </c>
      <c r="B48" s="661" t="s">
        <v>1327</v>
      </c>
      <c r="C48" s="661" t="s">
        <v>1336</v>
      </c>
      <c r="D48" s="661" t="s">
        <v>1337</v>
      </c>
      <c r="E48" s="664"/>
      <c r="F48" s="664"/>
      <c r="G48" s="661"/>
      <c r="H48" s="661"/>
      <c r="I48" s="664">
        <v>5</v>
      </c>
      <c r="J48" s="664">
        <v>1505</v>
      </c>
      <c r="K48" s="661"/>
      <c r="L48" s="661">
        <v>301</v>
      </c>
      <c r="M48" s="664">
        <v>6</v>
      </c>
      <c r="N48" s="664">
        <v>1812</v>
      </c>
      <c r="O48" s="677"/>
      <c r="P48" s="665">
        <v>302</v>
      </c>
    </row>
    <row r="49" spans="1:16" ht="14.4" customHeight="1" x14ac:dyDescent="0.3">
      <c r="A49" s="660" t="s">
        <v>1256</v>
      </c>
      <c r="B49" s="661" t="s">
        <v>1327</v>
      </c>
      <c r="C49" s="661" t="s">
        <v>1338</v>
      </c>
      <c r="D49" s="661" t="s">
        <v>1339</v>
      </c>
      <c r="E49" s="664"/>
      <c r="F49" s="664"/>
      <c r="G49" s="661"/>
      <c r="H49" s="661"/>
      <c r="I49" s="664">
        <v>1</v>
      </c>
      <c r="J49" s="664">
        <v>1376</v>
      </c>
      <c r="K49" s="661"/>
      <c r="L49" s="661">
        <v>1376</v>
      </c>
      <c r="M49" s="664"/>
      <c r="N49" s="664"/>
      <c r="O49" s="677"/>
      <c r="P49" s="665"/>
    </row>
    <row r="50" spans="1:16" ht="14.4" customHeight="1" x14ac:dyDescent="0.3">
      <c r="A50" s="660" t="s">
        <v>1256</v>
      </c>
      <c r="B50" s="661" t="s">
        <v>1327</v>
      </c>
      <c r="C50" s="661" t="s">
        <v>803</v>
      </c>
      <c r="D50" s="661" t="s">
        <v>1340</v>
      </c>
      <c r="E50" s="664">
        <v>5</v>
      </c>
      <c r="F50" s="664">
        <v>8320</v>
      </c>
      <c r="G50" s="661">
        <v>1</v>
      </c>
      <c r="H50" s="661">
        <v>1664</v>
      </c>
      <c r="I50" s="664">
        <v>2</v>
      </c>
      <c r="J50" s="664">
        <v>3328</v>
      </c>
      <c r="K50" s="661">
        <v>0.4</v>
      </c>
      <c r="L50" s="661">
        <v>1664</v>
      </c>
      <c r="M50" s="664"/>
      <c r="N50" s="664"/>
      <c r="O50" s="677"/>
      <c r="P50" s="665"/>
    </row>
    <row r="51" spans="1:16" ht="14.4" customHeight="1" x14ac:dyDescent="0.3">
      <c r="A51" s="660" t="s">
        <v>1256</v>
      </c>
      <c r="B51" s="661" t="s">
        <v>1327</v>
      </c>
      <c r="C51" s="661" t="s">
        <v>1341</v>
      </c>
      <c r="D51" s="661" t="s">
        <v>1342</v>
      </c>
      <c r="E51" s="664">
        <v>26</v>
      </c>
      <c r="F51" s="664">
        <v>51090</v>
      </c>
      <c r="G51" s="661">
        <v>1</v>
      </c>
      <c r="H51" s="661">
        <v>1965</v>
      </c>
      <c r="I51" s="664">
        <v>28</v>
      </c>
      <c r="J51" s="664">
        <v>55020</v>
      </c>
      <c r="K51" s="661">
        <v>1.0769230769230769</v>
      </c>
      <c r="L51" s="661">
        <v>1965</v>
      </c>
      <c r="M51" s="664">
        <v>18</v>
      </c>
      <c r="N51" s="664">
        <v>35550</v>
      </c>
      <c r="O51" s="677">
        <v>0.69583088667058135</v>
      </c>
      <c r="P51" s="665">
        <v>1975</v>
      </c>
    </row>
    <row r="52" spans="1:16" ht="14.4" customHeight="1" x14ac:dyDescent="0.3">
      <c r="A52" s="660" t="s">
        <v>1256</v>
      </c>
      <c r="B52" s="661" t="s">
        <v>1327</v>
      </c>
      <c r="C52" s="661" t="s">
        <v>1343</v>
      </c>
      <c r="D52" s="661" t="s">
        <v>1344</v>
      </c>
      <c r="E52" s="664"/>
      <c r="F52" s="664"/>
      <c r="G52" s="661"/>
      <c r="H52" s="661"/>
      <c r="I52" s="664"/>
      <c r="J52" s="664"/>
      <c r="K52" s="661"/>
      <c r="L52" s="661"/>
      <c r="M52" s="664">
        <v>1</v>
      </c>
      <c r="N52" s="664">
        <v>3009</v>
      </c>
      <c r="O52" s="677"/>
      <c r="P52" s="665">
        <v>3009</v>
      </c>
    </row>
    <row r="53" spans="1:16" ht="14.4" customHeight="1" x14ac:dyDescent="0.3">
      <c r="A53" s="660" t="s">
        <v>1256</v>
      </c>
      <c r="B53" s="661" t="s">
        <v>1327</v>
      </c>
      <c r="C53" s="661" t="s">
        <v>1345</v>
      </c>
      <c r="D53" s="661" t="s">
        <v>1346</v>
      </c>
      <c r="E53" s="664"/>
      <c r="F53" s="664"/>
      <c r="G53" s="661"/>
      <c r="H53" s="661"/>
      <c r="I53" s="664">
        <v>3</v>
      </c>
      <c r="J53" s="664">
        <v>3918</v>
      </c>
      <c r="K53" s="661"/>
      <c r="L53" s="661">
        <v>1306</v>
      </c>
      <c r="M53" s="664"/>
      <c r="N53" s="664"/>
      <c r="O53" s="677"/>
      <c r="P53" s="665"/>
    </row>
    <row r="54" spans="1:16" ht="14.4" customHeight="1" x14ac:dyDescent="0.3">
      <c r="A54" s="660" t="s">
        <v>1256</v>
      </c>
      <c r="B54" s="661" t="s">
        <v>1327</v>
      </c>
      <c r="C54" s="661" t="s">
        <v>1347</v>
      </c>
      <c r="D54" s="661" t="s">
        <v>1348</v>
      </c>
      <c r="E54" s="664">
        <v>38</v>
      </c>
      <c r="F54" s="664">
        <v>52554</v>
      </c>
      <c r="G54" s="661">
        <v>1</v>
      </c>
      <c r="H54" s="661">
        <v>1383</v>
      </c>
      <c r="I54" s="664">
        <v>20</v>
      </c>
      <c r="J54" s="664">
        <v>27660</v>
      </c>
      <c r="K54" s="661">
        <v>0.52631578947368418</v>
      </c>
      <c r="L54" s="661">
        <v>1383</v>
      </c>
      <c r="M54" s="664">
        <v>23</v>
      </c>
      <c r="N54" s="664">
        <v>31993</v>
      </c>
      <c r="O54" s="677">
        <v>0.60876431860562474</v>
      </c>
      <c r="P54" s="665">
        <v>1391</v>
      </c>
    </row>
    <row r="55" spans="1:16" ht="14.4" customHeight="1" x14ac:dyDescent="0.3">
      <c r="A55" s="660" t="s">
        <v>1256</v>
      </c>
      <c r="B55" s="661" t="s">
        <v>1327</v>
      </c>
      <c r="C55" s="661" t="s">
        <v>1349</v>
      </c>
      <c r="D55" s="661" t="s">
        <v>1350</v>
      </c>
      <c r="E55" s="664">
        <v>50</v>
      </c>
      <c r="F55" s="664">
        <v>92000</v>
      </c>
      <c r="G55" s="661">
        <v>1</v>
      </c>
      <c r="H55" s="661">
        <v>1840</v>
      </c>
      <c r="I55" s="664">
        <v>52</v>
      </c>
      <c r="J55" s="664">
        <v>95680</v>
      </c>
      <c r="K55" s="661">
        <v>1.04</v>
      </c>
      <c r="L55" s="661">
        <v>1840</v>
      </c>
      <c r="M55" s="664">
        <v>50</v>
      </c>
      <c r="N55" s="664">
        <v>92450</v>
      </c>
      <c r="O55" s="677">
        <v>1.004891304347826</v>
      </c>
      <c r="P55" s="665">
        <v>1849</v>
      </c>
    </row>
    <row r="56" spans="1:16" ht="14.4" customHeight="1" x14ac:dyDescent="0.3">
      <c r="A56" s="660" t="s">
        <v>1256</v>
      </c>
      <c r="B56" s="661" t="s">
        <v>1327</v>
      </c>
      <c r="C56" s="661" t="s">
        <v>1351</v>
      </c>
      <c r="D56" s="661" t="s">
        <v>1352</v>
      </c>
      <c r="E56" s="664"/>
      <c r="F56" s="664"/>
      <c r="G56" s="661"/>
      <c r="H56" s="661"/>
      <c r="I56" s="664"/>
      <c r="J56" s="664"/>
      <c r="K56" s="661"/>
      <c r="L56" s="661"/>
      <c r="M56" s="664">
        <v>1</v>
      </c>
      <c r="N56" s="664">
        <v>1208</v>
      </c>
      <c r="O56" s="677"/>
      <c r="P56" s="665">
        <v>1208</v>
      </c>
    </row>
    <row r="57" spans="1:16" ht="14.4" customHeight="1" x14ac:dyDescent="0.3">
      <c r="A57" s="660" t="s">
        <v>1256</v>
      </c>
      <c r="B57" s="661" t="s">
        <v>1327</v>
      </c>
      <c r="C57" s="661" t="s">
        <v>1353</v>
      </c>
      <c r="D57" s="661" t="s">
        <v>1354</v>
      </c>
      <c r="E57" s="664">
        <v>18</v>
      </c>
      <c r="F57" s="664">
        <v>21042</v>
      </c>
      <c r="G57" s="661">
        <v>1</v>
      </c>
      <c r="H57" s="661">
        <v>1169</v>
      </c>
      <c r="I57" s="664">
        <v>19</v>
      </c>
      <c r="J57" s="664">
        <v>22211</v>
      </c>
      <c r="K57" s="661">
        <v>1.0555555555555556</v>
      </c>
      <c r="L57" s="661">
        <v>1169</v>
      </c>
      <c r="M57" s="664">
        <v>19</v>
      </c>
      <c r="N57" s="664">
        <v>22363</v>
      </c>
      <c r="O57" s="677">
        <v>1.0627792034977663</v>
      </c>
      <c r="P57" s="665">
        <v>1177</v>
      </c>
    </row>
    <row r="58" spans="1:16" ht="14.4" customHeight="1" x14ac:dyDescent="0.3">
      <c r="A58" s="660" t="s">
        <v>1256</v>
      </c>
      <c r="B58" s="661" t="s">
        <v>1327</v>
      </c>
      <c r="C58" s="661" t="s">
        <v>1355</v>
      </c>
      <c r="D58" s="661" t="s">
        <v>1356</v>
      </c>
      <c r="E58" s="664">
        <v>3</v>
      </c>
      <c r="F58" s="664">
        <v>4659</v>
      </c>
      <c r="G58" s="661">
        <v>1</v>
      </c>
      <c r="H58" s="661">
        <v>1553</v>
      </c>
      <c r="I58" s="664"/>
      <c r="J58" s="664"/>
      <c r="K58" s="661"/>
      <c r="L58" s="661"/>
      <c r="M58" s="664"/>
      <c r="N58" s="664"/>
      <c r="O58" s="677"/>
      <c r="P58" s="665"/>
    </row>
    <row r="59" spans="1:16" ht="14.4" customHeight="1" x14ac:dyDescent="0.3">
      <c r="A59" s="660" t="s">
        <v>1256</v>
      </c>
      <c r="B59" s="661" t="s">
        <v>1327</v>
      </c>
      <c r="C59" s="661" t="s">
        <v>1357</v>
      </c>
      <c r="D59" s="661" t="s">
        <v>1358</v>
      </c>
      <c r="E59" s="664">
        <v>42</v>
      </c>
      <c r="F59" s="664">
        <v>27468</v>
      </c>
      <c r="G59" s="661">
        <v>1</v>
      </c>
      <c r="H59" s="661">
        <v>654</v>
      </c>
      <c r="I59" s="664">
        <v>45</v>
      </c>
      <c r="J59" s="664">
        <v>29430</v>
      </c>
      <c r="K59" s="661">
        <v>1.0714285714285714</v>
      </c>
      <c r="L59" s="661">
        <v>654</v>
      </c>
      <c r="M59" s="664">
        <v>42</v>
      </c>
      <c r="N59" s="664">
        <v>27636</v>
      </c>
      <c r="O59" s="677">
        <v>1.0061162079510704</v>
      </c>
      <c r="P59" s="665">
        <v>658</v>
      </c>
    </row>
    <row r="60" spans="1:16" ht="14.4" customHeight="1" x14ac:dyDescent="0.3">
      <c r="A60" s="660" t="s">
        <v>1256</v>
      </c>
      <c r="B60" s="661" t="s">
        <v>1327</v>
      </c>
      <c r="C60" s="661" t="s">
        <v>1359</v>
      </c>
      <c r="D60" s="661" t="s">
        <v>1360</v>
      </c>
      <c r="E60" s="664">
        <v>20</v>
      </c>
      <c r="F60" s="664">
        <v>13700</v>
      </c>
      <c r="G60" s="661">
        <v>1</v>
      </c>
      <c r="H60" s="661">
        <v>685</v>
      </c>
      <c r="I60" s="664">
        <v>25</v>
      </c>
      <c r="J60" s="664">
        <v>17125</v>
      </c>
      <c r="K60" s="661">
        <v>1.25</v>
      </c>
      <c r="L60" s="661">
        <v>685</v>
      </c>
      <c r="M60" s="664">
        <v>21</v>
      </c>
      <c r="N60" s="664">
        <v>14469</v>
      </c>
      <c r="O60" s="677">
        <v>1.0561313868613138</v>
      </c>
      <c r="P60" s="665">
        <v>689</v>
      </c>
    </row>
    <row r="61" spans="1:16" ht="14.4" customHeight="1" x14ac:dyDescent="0.3">
      <c r="A61" s="660" t="s">
        <v>1256</v>
      </c>
      <c r="B61" s="661" t="s">
        <v>1327</v>
      </c>
      <c r="C61" s="661" t="s">
        <v>1361</v>
      </c>
      <c r="D61" s="661" t="s">
        <v>1362</v>
      </c>
      <c r="E61" s="664">
        <v>1370</v>
      </c>
      <c r="F61" s="664">
        <v>2402980</v>
      </c>
      <c r="G61" s="661">
        <v>1</v>
      </c>
      <c r="H61" s="661">
        <v>1754</v>
      </c>
      <c r="I61" s="664">
        <v>1323</v>
      </c>
      <c r="J61" s="664">
        <v>2320542</v>
      </c>
      <c r="K61" s="661">
        <v>0.96569343065693436</v>
      </c>
      <c r="L61" s="661">
        <v>1754</v>
      </c>
      <c r="M61" s="664">
        <v>1423</v>
      </c>
      <c r="N61" s="664">
        <v>2507326</v>
      </c>
      <c r="O61" s="677">
        <v>1.0434235823852049</v>
      </c>
      <c r="P61" s="665">
        <v>1762</v>
      </c>
    </row>
    <row r="62" spans="1:16" ht="14.4" customHeight="1" x14ac:dyDescent="0.3">
      <c r="A62" s="660" t="s">
        <v>1256</v>
      </c>
      <c r="B62" s="661" t="s">
        <v>1327</v>
      </c>
      <c r="C62" s="661" t="s">
        <v>1363</v>
      </c>
      <c r="D62" s="661" t="s">
        <v>1364</v>
      </c>
      <c r="E62" s="664">
        <v>340</v>
      </c>
      <c r="F62" s="664">
        <v>139400</v>
      </c>
      <c r="G62" s="661">
        <v>1</v>
      </c>
      <c r="H62" s="661">
        <v>410</v>
      </c>
      <c r="I62" s="664">
        <v>394</v>
      </c>
      <c r="J62" s="664">
        <v>161540</v>
      </c>
      <c r="K62" s="661">
        <v>1.1588235294117648</v>
      </c>
      <c r="L62" s="661">
        <v>410</v>
      </c>
      <c r="M62" s="664">
        <v>478</v>
      </c>
      <c r="N62" s="664">
        <v>197414</v>
      </c>
      <c r="O62" s="677">
        <v>1.4161692969870876</v>
      </c>
      <c r="P62" s="665">
        <v>413</v>
      </c>
    </row>
    <row r="63" spans="1:16" ht="14.4" customHeight="1" x14ac:dyDescent="0.3">
      <c r="A63" s="660" t="s">
        <v>1256</v>
      </c>
      <c r="B63" s="661" t="s">
        <v>1327</v>
      </c>
      <c r="C63" s="661" t="s">
        <v>1365</v>
      </c>
      <c r="D63" s="661" t="s">
        <v>1366</v>
      </c>
      <c r="E63" s="664"/>
      <c r="F63" s="664"/>
      <c r="G63" s="661"/>
      <c r="H63" s="661"/>
      <c r="I63" s="664">
        <v>2</v>
      </c>
      <c r="J63" s="664">
        <v>6874</v>
      </c>
      <c r="K63" s="661"/>
      <c r="L63" s="661">
        <v>3437</v>
      </c>
      <c r="M63" s="664">
        <v>2</v>
      </c>
      <c r="N63" s="664">
        <v>6910</v>
      </c>
      <c r="O63" s="677"/>
      <c r="P63" s="665">
        <v>3455</v>
      </c>
    </row>
    <row r="64" spans="1:16" ht="14.4" customHeight="1" x14ac:dyDescent="0.3">
      <c r="A64" s="660" t="s">
        <v>1256</v>
      </c>
      <c r="B64" s="661" t="s">
        <v>1327</v>
      </c>
      <c r="C64" s="661" t="s">
        <v>1367</v>
      </c>
      <c r="D64" s="661" t="s">
        <v>1368</v>
      </c>
      <c r="E64" s="664"/>
      <c r="F64" s="664"/>
      <c r="G64" s="661"/>
      <c r="H64" s="661"/>
      <c r="I64" s="664">
        <v>1</v>
      </c>
      <c r="J64" s="664">
        <v>8491</v>
      </c>
      <c r="K64" s="661"/>
      <c r="L64" s="661">
        <v>8491</v>
      </c>
      <c r="M64" s="664"/>
      <c r="N64" s="664"/>
      <c r="O64" s="677"/>
      <c r="P64" s="665"/>
    </row>
    <row r="65" spans="1:16" ht="14.4" customHeight="1" x14ac:dyDescent="0.3">
      <c r="A65" s="660" t="s">
        <v>1256</v>
      </c>
      <c r="B65" s="661" t="s">
        <v>1327</v>
      </c>
      <c r="C65" s="661" t="s">
        <v>1369</v>
      </c>
      <c r="D65" s="661" t="s">
        <v>1370</v>
      </c>
      <c r="E65" s="664">
        <v>822</v>
      </c>
      <c r="F65" s="664">
        <v>11777616</v>
      </c>
      <c r="G65" s="661">
        <v>1</v>
      </c>
      <c r="H65" s="661">
        <v>14328</v>
      </c>
      <c r="I65" s="664">
        <v>871</v>
      </c>
      <c r="J65" s="664">
        <v>12479688</v>
      </c>
      <c r="K65" s="661">
        <v>1.059610705596107</v>
      </c>
      <c r="L65" s="661">
        <v>14328</v>
      </c>
      <c r="M65" s="664">
        <v>883</v>
      </c>
      <c r="N65" s="664">
        <v>12662220</v>
      </c>
      <c r="O65" s="677">
        <v>1.0751089184772198</v>
      </c>
      <c r="P65" s="665">
        <v>14340</v>
      </c>
    </row>
    <row r="66" spans="1:16" ht="14.4" customHeight="1" x14ac:dyDescent="0.3">
      <c r="A66" s="660" t="s">
        <v>1256</v>
      </c>
      <c r="B66" s="661" t="s">
        <v>1327</v>
      </c>
      <c r="C66" s="661" t="s">
        <v>1371</v>
      </c>
      <c r="D66" s="661" t="s">
        <v>1372</v>
      </c>
      <c r="E66" s="664">
        <v>1</v>
      </c>
      <c r="F66" s="664">
        <v>0</v>
      </c>
      <c r="G66" s="661"/>
      <c r="H66" s="661">
        <v>0</v>
      </c>
      <c r="I66" s="664">
        <v>2</v>
      </c>
      <c r="J66" s="664">
        <v>0</v>
      </c>
      <c r="K66" s="661"/>
      <c r="L66" s="661">
        <v>0</v>
      </c>
      <c r="M66" s="664"/>
      <c r="N66" s="664"/>
      <c r="O66" s="677"/>
      <c r="P66" s="665"/>
    </row>
    <row r="67" spans="1:16" ht="14.4" customHeight="1" x14ac:dyDescent="0.3">
      <c r="A67" s="660" t="s">
        <v>1256</v>
      </c>
      <c r="B67" s="661" t="s">
        <v>1327</v>
      </c>
      <c r="C67" s="661" t="s">
        <v>1373</v>
      </c>
      <c r="D67" s="661" t="s">
        <v>1374</v>
      </c>
      <c r="E67" s="664"/>
      <c r="F67" s="664"/>
      <c r="G67" s="661"/>
      <c r="H67" s="661"/>
      <c r="I67" s="664"/>
      <c r="J67" s="664"/>
      <c r="K67" s="661"/>
      <c r="L67" s="661"/>
      <c r="M67" s="664">
        <v>3</v>
      </c>
      <c r="N67" s="664">
        <v>0</v>
      </c>
      <c r="O67" s="677"/>
      <c r="P67" s="665">
        <v>0</v>
      </c>
    </row>
    <row r="68" spans="1:16" ht="14.4" customHeight="1" x14ac:dyDescent="0.3">
      <c r="A68" s="660" t="s">
        <v>1256</v>
      </c>
      <c r="B68" s="661" t="s">
        <v>1327</v>
      </c>
      <c r="C68" s="661" t="s">
        <v>1375</v>
      </c>
      <c r="D68" s="661" t="s">
        <v>1376</v>
      </c>
      <c r="E68" s="664">
        <v>469</v>
      </c>
      <c r="F68" s="664">
        <v>0</v>
      </c>
      <c r="G68" s="661"/>
      <c r="H68" s="661">
        <v>0</v>
      </c>
      <c r="I68" s="664">
        <v>474</v>
      </c>
      <c r="J68" s="664">
        <v>0</v>
      </c>
      <c r="K68" s="661"/>
      <c r="L68" s="661">
        <v>0</v>
      </c>
      <c r="M68" s="664">
        <v>466</v>
      </c>
      <c r="N68" s="664">
        <v>0</v>
      </c>
      <c r="O68" s="677"/>
      <c r="P68" s="665">
        <v>0</v>
      </c>
    </row>
    <row r="69" spans="1:16" ht="14.4" customHeight="1" x14ac:dyDescent="0.3">
      <c r="A69" s="660" t="s">
        <v>1256</v>
      </c>
      <c r="B69" s="661" t="s">
        <v>1327</v>
      </c>
      <c r="C69" s="661" t="s">
        <v>1377</v>
      </c>
      <c r="D69" s="661" t="s">
        <v>1378</v>
      </c>
      <c r="E69" s="664"/>
      <c r="F69" s="664"/>
      <c r="G69" s="661"/>
      <c r="H69" s="661"/>
      <c r="I69" s="664"/>
      <c r="J69" s="664"/>
      <c r="K69" s="661"/>
      <c r="L69" s="661"/>
      <c r="M69" s="664">
        <v>454</v>
      </c>
      <c r="N69" s="664">
        <v>16344</v>
      </c>
      <c r="O69" s="677"/>
      <c r="P69" s="665">
        <v>36</v>
      </c>
    </row>
    <row r="70" spans="1:16" ht="14.4" customHeight="1" x14ac:dyDescent="0.3">
      <c r="A70" s="660" t="s">
        <v>1256</v>
      </c>
      <c r="B70" s="661" t="s">
        <v>1327</v>
      </c>
      <c r="C70" s="661" t="s">
        <v>1379</v>
      </c>
      <c r="D70" s="661" t="s">
        <v>1380</v>
      </c>
      <c r="E70" s="664">
        <v>160</v>
      </c>
      <c r="F70" s="664">
        <v>92800</v>
      </c>
      <c r="G70" s="661">
        <v>1</v>
      </c>
      <c r="H70" s="661">
        <v>580</v>
      </c>
      <c r="I70" s="664">
        <v>173</v>
      </c>
      <c r="J70" s="664">
        <v>100340</v>
      </c>
      <c r="K70" s="661">
        <v>1.08125</v>
      </c>
      <c r="L70" s="661">
        <v>580</v>
      </c>
      <c r="M70" s="664">
        <v>196</v>
      </c>
      <c r="N70" s="664">
        <v>114856</v>
      </c>
      <c r="O70" s="677">
        <v>1.2376724137931034</v>
      </c>
      <c r="P70" s="665">
        <v>586</v>
      </c>
    </row>
    <row r="71" spans="1:16" ht="14.4" customHeight="1" x14ac:dyDescent="0.3">
      <c r="A71" s="660" t="s">
        <v>1256</v>
      </c>
      <c r="B71" s="661" t="s">
        <v>1327</v>
      </c>
      <c r="C71" s="661" t="s">
        <v>1381</v>
      </c>
      <c r="D71" s="661" t="s">
        <v>1382</v>
      </c>
      <c r="E71" s="664"/>
      <c r="F71" s="664"/>
      <c r="G71" s="661"/>
      <c r="H71" s="661"/>
      <c r="I71" s="664">
        <v>1</v>
      </c>
      <c r="J71" s="664">
        <v>1949</v>
      </c>
      <c r="K71" s="661"/>
      <c r="L71" s="661">
        <v>1949</v>
      </c>
      <c r="M71" s="664">
        <v>1</v>
      </c>
      <c r="N71" s="664">
        <v>1965</v>
      </c>
      <c r="O71" s="677"/>
      <c r="P71" s="665">
        <v>1965</v>
      </c>
    </row>
    <row r="72" spans="1:16" ht="14.4" customHeight="1" x14ac:dyDescent="0.3">
      <c r="A72" s="660" t="s">
        <v>1256</v>
      </c>
      <c r="B72" s="661" t="s">
        <v>1327</v>
      </c>
      <c r="C72" s="661" t="s">
        <v>1383</v>
      </c>
      <c r="D72" s="661" t="s">
        <v>1384</v>
      </c>
      <c r="E72" s="664">
        <v>16</v>
      </c>
      <c r="F72" s="664">
        <v>6688</v>
      </c>
      <c r="G72" s="661">
        <v>1</v>
      </c>
      <c r="H72" s="661">
        <v>418</v>
      </c>
      <c r="I72" s="664">
        <v>8</v>
      </c>
      <c r="J72" s="664">
        <v>3344</v>
      </c>
      <c r="K72" s="661">
        <v>0.5</v>
      </c>
      <c r="L72" s="661">
        <v>418</v>
      </c>
      <c r="M72" s="664">
        <v>22</v>
      </c>
      <c r="N72" s="664">
        <v>9262</v>
      </c>
      <c r="O72" s="677">
        <v>1.3848684210526316</v>
      </c>
      <c r="P72" s="665">
        <v>421</v>
      </c>
    </row>
    <row r="73" spans="1:16" ht="14.4" customHeight="1" x14ac:dyDescent="0.3">
      <c r="A73" s="660" t="s">
        <v>1256</v>
      </c>
      <c r="B73" s="661" t="s">
        <v>1327</v>
      </c>
      <c r="C73" s="661" t="s">
        <v>1385</v>
      </c>
      <c r="D73" s="661" t="s">
        <v>1386</v>
      </c>
      <c r="E73" s="664">
        <v>483</v>
      </c>
      <c r="F73" s="664">
        <v>621138</v>
      </c>
      <c r="G73" s="661">
        <v>1</v>
      </c>
      <c r="H73" s="661">
        <v>1286</v>
      </c>
      <c r="I73" s="664">
        <v>421</v>
      </c>
      <c r="J73" s="664">
        <v>541406</v>
      </c>
      <c r="K73" s="661">
        <v>0.87163561076604557</v>
      </c>
      <c r="L73" s="661">
        <v>1286</v>
      </c>
      <c r="M73" s="664">
        <v>416</v>
      </c>
      <c r="N73" s="664">
        <v>538304</v>
      </c>
      <c r="O73" s="677">
        <v>0.86664155147487354</v>
      </c>
      <c r="P73" s="665">
        <v>1294</v>
      </c>
    </row>
    <row r="74" spans="1:16" ht="14.4" customHeight="1" x14ac:dyDescent="0.3">
      <c r="A74" s="660" t="s">
        <v>1256</v>
      </c>
      <c r="B74" s="661" t="s">
        <v>1327</v>
      </c>
      <c r="C74" s="661" t="s">
        <v>1387</v>
      </c>
      <c r="D74" s="661" t="s">
        <v>1388</v>
      </c>
      <c r="E74" s="664">
        <v>53</v>
      </c>
      <c r="F74" s="664">
        <v>25811</v>
      </c>
      <c r="G74" s="661">
        <v>1</v>
      </c>
      <c r="H74" s="661">
        <v>487</v>
      </c>
      <c r="I74" s="664">
        <v>69</v>
      </c>
      <c r="J74" s="664">
        <v>33603</v>
      </c>
      <c r="K74" s="661">
        <v>1.3018867924528301</v>
      </c>
      <c r="L74" s="661">
        <v>487</v>
      </c>
      <c r="M74" s="664">
        <v>61</v>
      </c>
      <c r="N74" s="664">
        <v>29890</v>
      </c>
      <c r="O74" s="677">
        <v>1.1580333966138467</v>
      </c>
      <c r="P74" s="665">
        <v>490</v>
      </c>
    </row>
    <row r="75" spans="1:16" ht="14.4" customHeight="1" x14ac:dyDescent="0.3">
      <c r="A75" s="660" t="s">
        <v>1256</v>
      </c>
      <c r="B75" s="661" t="s">
        <v>1327</v>
      </c>
      <c r="C75" s="661" t="s">
        <v>1389</v>
      </c>
      <c r="D75" s="661" t="s">
        <v>1390</v>
      </c>
      <c r="E75" s="664">
        <v>18</v>
      </c>
      <c r="F75" s="664">
        <v>40356</v>
      </c>
      <c r="G75" s="661">
        <v>1</v>
      </c>
      <c r="H75" s="661">
        <v>2242</v>
      </c>
      <c r="I75" s="664">
        <v>27</v>
      </c>
      <c r="J75" s="664">
        <v>60534</v>
      </c>
      <c r="K75" s="661">
        <v>1.5</v>
      </c>
      <c r="L75" s="661">
        <v>2242</v>
      </c>
      <c r="M75" s="664">
        <v>30</v>
      </c>
      <c r="N75" s="664">
        <v>67740</v>
      </c>
      <c r="O75" s="677">
        <v>1.6785608088016652</v>
      </c>
      <c r="P75" s="665">
        <v>2258</v>
      </c>
    </row>
    <row r="76" spans="1:16" ht="14.4" customHeight="1" x14ac:dyDescent="0.3">
      <c r="A76" s="660" t="s">
        <v>1256</v>
      </c>
      <c r="B76" s="661" t="s">
        <v>1327</v>
      </c>
      <c r="C76" s="661" t="s">
        <v>1391</v>
      </c>
      <c r="D76" s="661" t="s">
        <v>1392</v>
      </c>
      <c r="E76" s="664">
        <v>20</v>
      </c>
      <c r="F76" s="664">
        <v>50700</v>
      </c>
      <c r="G76" s="661">
        <v>1</v>
      </c>
      <c r="H76" s="661">
        <v>2535</v>
      </c>
      <c r="I76" s="664">
        <v>18</v>
      </c>
      <c r="J76" s="664">
        <v>45630</v>
      </c>
      <c r="K76" s="661">
        <v>0.9</v>
      </c>
      <c r="L76" s="661">
        <v>2535</v>
      </c>
      <c r="M76" s="664">
        <v>20</v>
      </c>
      <c r="N76" s="664">
        <v>51020</v>
      </c>
      <c r="O76" s="677">
        <v>1.0063116370808678</v>
      </c>
      <c r="P76" s="665">
        <v>2551</v>
      </c>
    </row>
    <row r="77" spans="1:16" ht="14.4" customHeight="1" x14ac:dyDescent="0.3">
      <c r="A77" s="660" t="s">
        <v>1256</v>
      </c>
      <c r="B77" s="661" t="s">
        <v>1327</v>
      </c>
      <c r="C77" s="661" t="s">
        <v>1393</v>
      </c>
      <c r="D77" s="661" t="s">
        <v>1394</v>
      </c>
      <c r="E77" s="664"/>
      <c r="F77" s="664"/>
      <c r="G77" s="661"/>
      <c r="H77" s="661"/>
      <c r="I77" s="664">
        <v>12</v>
      </c>
      <c r="J77" s="664">
        <v>3924</v>
      </c>
      <c r="K77" s="661"/>
      <c r="L77" s="661">
        <v>327</v>
      </c>
      <c r="M77" s="664">
        <v>12</v>
      </c>
      <c r="N77" s="664">
        <v>3972</v>
      </c>
      <c r="O77" s="677"/>
      <c r="P77" s="665">
        <v>331</v>
      </c>
    </row>
    <row r="78" spans="1:16" ht="14.4" customHeight="1" x14ac:dyDescent="0.3">
      <c r="A78" s="660" t="s">
        <v>1256</v>
      </c>
      <c r="B78" s="661" t="s">
        <v>1327</v>
      </c>
      <c r="C78" s="661" t="s">
        <v>1395</v>
      </c>
      <c r="D78" s="661" t="s">
        <v>1396</v>
      </c>
      <c r="E78" s="664">
        <v>4</v>
      </c>
      <c r="F78" s="664">
        <v>736</v>
      </c>
      <c r="G78" s="661">
        <v>1</v>
      </c>
      <c r="H78" s="661">
        <v>184</v>
      </c>
      <c r="I78" s="664">
        <v>4</v>
      </c>
      <c r="J78" s="664">
        <v>736</v>
      </c>
      <c r="K78" s="661">
        <v>1</v>
      </c>
      <c r="L78" s="661">
        <v>184</v>
      </c>
      <c r="M78" s="664">
        <v>1</v>
      </c>
      <c r="N78" s="664">
        <v>187</v>
      </c>
      <c r="O78" s="677">
        <v>0.25407608695652173</v>
      </c>
      <c r="P78" s="665">
        <v>187</v>
      </c>
    </row>
    <row r="79" spans="1:16" ht="14.4" customHeight="1" x14ac:dyDescent="0.3">
      <c r="A79" s="660" t="s">
        <v>1256</v>
      </c>
      <c r="B79" s="661" t="s">
        <v>1327</v>
      </c>
      <c r="C79" s="661" t="s">
        <v>1397</v>
      </c>
      <c r="D79" s="661" t="s">
        <v>1398</v>
      </c>
      <c r="E79" s="664"/>
      <c r="F79" s="664"/>
      <c r="G79" s="661"/>
      <c r="H79" s="661"/>
      <c r="I79" s="664">
        <v>2</v>
      </c>
      <c r="J79" s="664">
        <v>1964</v>
      </c>
      <c r="K79" s="661"/>
      <c r="L79" s="661">
        <v>982</v>
      </c>
      <c r="M79" s="664">
        <v>3</v>
      </c>
      <c r="N79" s="664">
        <v>3027</v>
      </c>
      <c r="O79" s="677"/>
      <c r="P79" s="665">
        <v>1009</v>
      </c>
    </row>
    <row r="80" spans="1:16" ht="14.4" customHeight="1" x14ac:dyDescent="0.3">
      <c r="A80" s="660" t="s">
        <v>1256</v>
      </c>
      <c r="B80" s="661" t="s">
        <v>1327</v>
      </c>
      <c r="C80" s="661" t="s">
        <v>1399</v>
      </c>
      <c r="D80" s="661" t="s">
        <v>1400</v>
      </c>
      <c r="E80" s="664">
        <v>1</v>
      </c>
      <c r="F80" s="664">
        <v>499</v>
      </c>
      <c r="G80" s="661">
        <v>1</v>
      </c>
      <c r="H80" s="661">
        <v>499</v>
      </c>
      <c r="I80" s="664">
        <v>5</v>
      </c>
      <c r="J80" s="664">
        <v>2495</v>
      </c>
      <c r="K80" s="661">
        <v>5</v>
      </c>
      <c r="L80" s="661">
        <v>499</v>
      </c>
      <c r="M80" s="664">
        <v>1</v>
      </c>
      <c r="N80" s="664">
        <v>502</v>
      </c>
      <c r="O80" s="677">
        <v>1.0060120240480961</v>
      </c>
      <c r="P80" s="665">
        <v>502</v>
      </c>
    </row>
    <row r="81" spans="1:16" ht="14.4" customHeight="1" x14ac:dyDescent="0.3">
      <c r="A81" s="660" t="s">
        <v>1256</v>
      </c>
      <c r="B81" s="661" t="s">
        <v>1327</v>
      </c>
      <c r="C81" s="661" t="s">
        <v>1401</v>
      </c>
      <c r="D81" s="661" t="s">
        <v>1402</v>
      </c>
      <c r="E81" s="664">
        <v>4</v>
      </c>
      <c r="F81" s="664">
        <v>532</v>
      </c>
      <c r="G81" s="661">
        <v>1</v>
      </c>
      <c r="H81" s="661">
        <v>133</v>
      </c>
      <c r="I81" s="664">
        <v>7</v>
      </c>
      <c r="J81" s="664">
        <v>931</v>
      </c>
      <c r="K81" s="661">
        <v>1.75</v>
      </c>
      <c r="L81" s="661">
        <v>133</v>
      </c>
      <c r="M81" s="664">
        <v>1</v>
      </c>
      <c r="N81" s="664">
        <v>134</v>
      </c>
      <c r="O81" s="677">
        <v>0.25187969924812031</v>
      </c>
      <c r="P81" s="665">
        <v>134</v>
      </c>
    </row>
    <row r="82" spans="1:16" ht="14.4" customHeight="1" x14ac:dyDescent="0.3">
      <c r="A82" s="660" t="s">
        <v>1256</v>
      </c>
      <c r="B82" s="661" t="s">
        <v>1327</v>
      </c>
      <c r="C82" s="661" t="s">
        <v>1403</v>
      </c>
      <c r="D82" s="661" t="s">
        <v>1404</v>
      </c>
      <c r="E82" s="664">
        <v>1</v>
      </c>
      <c r="F82" s="664">
        <v>2397</v>
      </c>
      <c r="G82" s="661">
        <v>1</v>
      </c>
      <c r="H82" s="661">
        <v>2397</v>
      </c>
      <c r="I82" s="664"/>
      <c r="J82" s="664"/>
      <c r="K82" s="661"/>
      <c r="L82" s="661"/>
      <c r="M82" s="664"/>
      <c r="N82" s="664"/>
      <c r="O82" s="677"/>
      <c r="P82" s="665"/>
    </row>
    <row r="83" spans="1:16" ht="14.4" customHeight="1" x14ac:dyDescent="0.3">
      <c r="A83" s="660" t="s">
        <v>1256</v>
      </c>
      <c r="B83" s="661" t="s">
        <v>1327</v>
      </c>
      <c r="C83" s="661" t="s">
        <v>1405</v>
      </c>
      <c r="D83" s="661" t="s">
        <v>1406</v>
      </c>
      <c r="E83" s="664"/>
      <c r="F83" s="664"/>
      <c r="G83" s="661"/>
      <c r="H83" s="661"/>
      <c r="I83" s="664">
        <v>3</v>
      </c>
      <c r="J83" s="664">
        <v>4890</v>
      </c>
      <c r="K83" s="661"/>
      <c r="L83" s="661">
        <v>1630</v>
      </c>
      <c r="M83" s="664"/>
      <c r="N83" s="664"/>
      <c r="O83" s="677"/>
      <c r="P83" s="665"/>
    </row>
    <row r="84" spans="1:16" ht="14.4" customHeight="1" x14ac:dyDescent="0.3">
      <c r="A84" s="660" t="s">
        <v>1256</v>
      </c>
      <c r="B84" s="661" t="s">
        <v>1327</v>
      </c>
      <c r="C84" s="661" t="s">
        <v>1407</v>
      </c>
      <c r="D84" s="661" t="s">
        <v>1408</v>
      </c>
      <c r="E84" s="664"/>
      <c r="F84" s="664"/>
      <c r="G84" s="661"/>
      <c r="H84" s="661"/>
      <c r="I84" s="664"/>
      <c r="J84" s="664"/>
      <c r="K84" s="661"/>
      <c r="L84" s="661"/>
      <c r="M84" s="664">
        <v>1</v>
      </c>
      <c r="N84" s="664">
        <v>1138</v>
      </c>
      <c r="O84" s="677"/>
      <c r="P84" s="665">
        <v>1138</v>
      </c>
    </row>
    <row r="85" spans="1:16" ht="14.4" customHeight="1" thickBot="1" x14ac:dyDescent="0.35">
      <c r="A85" s="666" t="s">
        <v>1256</v>
      </c>
      <c r="B85" s="667" t="s">
        <v>1327</v>
      </c>
      <c r="C85" s="667" t="s">
        <v>1409</v>
      </c>
      <c r="D85" s="667" t="s">
        <v>1410</v>
      </c>
      <c r="E85" s="670"/>
      <c r="F85" s="670"/>
      <c r="G85" s="667"/>
      <c r="H85" s="667"/>
      <c r="I85" s="670"/>
      <c r="J85" s="670"/>
      <c r="K85" s="667"/>
      <c r="L85" s="667"/>
      <c r="M85" s="670">
        <v>1</v>
      </c>
      <c r="N85" s="670">
        <v>1891</v>
      </c>
      <c r="O85" s="678"/>
      <c r="P85" s="671">
        <v>1891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336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  <c r="N2" s="356"/>
      <c r="O2" s="224"/>
      <c r="P2" s="356"/>
      <c r="Q2" s="224"/>
      <c r="R2" s="356"/>
      <c r="S2" s="357"/>
    </row>
    <row r="3" spans="1:19" ht="14.4" customHeight="1" thickBot="1" x14ac:dyDescent="0.35">
      <c r="A3" s="350" t="s">
        <v>160</v>
      </c>
      <c r="B3" s="351">
        <f>SUBTOTAL(9,B6:B1048576)</f>
        <v>3255386</v>
      </c>
      <c r="C3" s="352">
        <f t="shared" ref="C3:R3" si="0">SUBTOTAL(9,C6:C1048576)</f>
        <v>19</v>
      </c>
      <c r="D3" s="352">
        <f t="shared" si="0"/>
        <v>3282113</v>
      </c>
      <c r="E3" s="352">
        <f t="shared" si="0"/>
        <v>33.786107348081352</v>
      </c>
      <c r="F3" s="352">
        <f t="shared" si="0"/>
        <v>2520382</v>
      </c>
      <c r="G3" s="355">
        <f>IF(B3&lt;&gt;0,F3/B3,"")</f>
        <v>0.77421909414121703</v>
      </c>
      <c r="H3" s="351">
        <f t="shared" si="0"/>
        <v>3039483.2699999991</v>
      </c>
      <c r="I3" s="352">
        <f t="shared" si="0"/>
        <v>19</v>
      </c>
      <c r="J3" s="352">
        <f t="shared" si="0"/>
        <v>3007603.8999999994</v>
      </c>
      <c r="K3" s="352">
        <f t="shared" si="0"/>
        <v>42.669093315267411</v>
      </c>
      <c r="L3" s="352">
        <f t="shared" si="0"/>
        <v>2142481.8200000003</v>
      </c>
      <c r="M3" s="353">
        <f>IF(H3&lt;&gt;0,L3/H3,"")</f>
        <v>0.70488357055507034</v>
      </c>
      <c r="N3" s="354">
        <f t="shared" si="0"/>
        <v>0</v>
      </c>
      <c r="O3" s="352">
        <f t="shared" si="0"/>
        <v>0</v>
      </c>
      <c r="P3" s="352">
        <f t="shared" si="0"/>
        <v>490349.41000000003</v>
      </c>
      <c r="Q3" s="352">
        <f t="shared" si="0"/>
        <v>0</v>
      </c>
      <c r="R3" s="352">
        <f t="shared" si="0"/>
        <v>206055.52000000002</v>
      </c>
      <c r="S3" s="353" t="str">
        <f>IF(N3&lt;&gt;0,R3/N3,"")</f>
        <v/>
      </c>
    </row>
    <row r="4" spans="1:19" ht="14.4" customHeight="1" x14ac:dyDescent="0.3">
      <c r="A4" s="552" t="s">
        <v>130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  <c r="N4" s="553" t="s">
        <v>126</v>
      </c>
      <c r="O4" s="554"/>
      <c r="P4" s="554"/>
      <c r="Q4" s="554"/>
      <c r="R4" s="554"/>
      <c r="S4" s="555"/>
    </row>
    <row r="5" spans="1:19" ht="14.4" customHeight="1" thickBot="1" x14ac:dyDescent="0.35">
      <c r="A5" s="783"/>
      <c r="B5" s="784">
        <v>2013</v>
      </c>
      <c r="C5" s="785"/>
      <c r="D5" s="785">
        <v>2014</v>
      </c>
      <c r="E5" s="785"/>
      <c r="F5" s="785">
        <v>2015</v>
      </c>
      <c r="G5" s="786" t="s">
        <v>2</v>
      </c>
      <c r="H5" s="784">
        <v>2013</v>
      </c>
      <c r="I5" s="785"/>
      <c r="J5" s="785">
        <v>2014</v>
      </c>
      <c r="K5" s="785"/>
      <c r="L5" s="785">
        <v>2015</v>
      </c>
      <c r="M5" s="786" t="s">
        <v>2</v>
      </c>
      <c r="N5" s="784">
        <v>2013</v>
      </c>
      <c r="O5" s="785"/>
      <c r="P5" s="785">
        <v>2014</v>
      </c>
      <c r="Q5" s="785"/>
      <c r="R5" s="785">
        <v>2015</v>
      </c>
      <c r="S5" s="786" t="s">
        <v>2</v>
      </c>
    </row>
    <row r="6" spans="1:19" ht="14.4" customHeight="1" x14ac:dyDescent="0.3">
      <c r="A6" s="748" t="s">
        <v>1412</v>
      </c>
      <c r="B6" s="793">
        <v>223127</v>
      </c>
      <c r="C6" s="734">
        <v>1</v>
      </c>
      <c r="D6" s="793">
        <v>264423</v>
      </c>
      <c r="E6" s="734">
        <v>1.1850784530782916</v>
      </c>
      <c r="F6" s="793">
        <v>245427</v>
      </c>
      <c r="G6" s="739">
        <v>1.0999430817426847</v>
      </c>
      <c r="H6" s="793">
        <v>354103.21000000008</v>
      </c>
      <c r="I6" s="734">
        <v>1</v>
      </c>
      <c r="J6" s="793">
        <v>318075.60000000003</v>
      </c>
      <c r="K6" s="734">
        <v>0.89825675401248117</v>
      </c>
      <c r="L6" s="793">
        <v>264217.99</v>
      </c>
      <c r="M6" s="739">
        <v>0.74616095685774753</v>
      </c>
      <c r="N6" s="793"/>
      <c r="O6" s="734"/>
      <c r="P6" s="793"/>
      <c r="Q6" s="734"/>
      <c r="R6" s="793"/>
      <c r="S6" s="235"/>
    </row>
    <row r="7" spans="1:19" ht="14.4" customHeight="1" x14ac:dyDescent="0.3">
      <c r="A7" s="687" t="s">
        <v>1413</v>
      </c>
      <c r="B7" s="795">
        <v>113106</v>
      </c>
      <c r="C7" s="661">
        <v>1</v>
      </c>
      <c r="D7" s="795">
        <v>118875</v>
      </c>
      <c r="E7" s="661">
        <v>1.0510052517107846</v>
      </c>
      <c r="F7" s="795">
        <v>73184</v>
      </c>
      <c r="G7" s="677">
        <v>0.64703906070411821</v>
      </c>
      <c r="H7" s="795">
        <v>137049.05999999997</v>
      </c>
      <c r="I7" s="661">
        <v>1</v>
      </c>
      <c r="J7" s="795">
        <v>139649.54000000004</v>
      </c>
      <c r="K7" s="661">
        <v>1.0189748109180761</v>
      </c>
      <c r="L7" s="795">
        <v>103639.02</v>
      </c>
      <c r="M7" s="677">
        <v>0.75621839361758503</v>
      </c>
      <c r="N7" s="795"/>
      <c r="O7" s="661"/>
      <c r="P7" s="795"/>
      <c r="Q7" s="661"/>
      <c r="R7" s="795"/>
      <c r="S7" s="700"/>
    </row>
    <row r="8" spans="1:19" ht="14.4" customHeight="1" x14ac:dyDescent="0.3">
      <c r="A8" s="687" t="s">
        <v>1414</v>
      </c>
      <c r="B8" s="795">
        <v>289098</v>
      </c>
      <c r="C8" s="661">
        <v>1</v>
      </c>
      <c r="D8" s="795">
        <v>395723</v>
      </c>
      <c r="E8" s="661">
        <v>1.3688195698344505</v>
      </c>
      <c r="F8" s="795">
        <v>219809</v>
      </c>
      <c r="G8" s="677">
        <v>0.7603269479553646</v>
      </c>
      <c r="H8" s="795">
        <v>278167.76999999996</v>
      </c>
      <c r="I8" s="661">
        <v>1</v>
      </c>
      <c r="J8" s="795">
        <v>424249.30999999982</v>
      </c>
      <c r="K8" s="661">
        <v>1.5251562393443348</v>
      </c>
      <c r="L8" s="795">
        <v>232725.09000000008</v>
      </c>
      <c r="M8" s="677">
        <v>0.83663571088771393</v>
      </c>
      <c r="N8" s="795"/>
      <c r="O8" s="661"/>
      <c r="P8" s="795"/>
      <c r="Q8" s="661"/>
      <c r="R8" s="795"/>
      <c r="S8" s="700"/>
    </row>
    <row r="9" spans="1:19" ht="14.4" customHeight="1" x14ac:dyDescent="0.3">
      <c r="A9" s="687" t="s">
        <v>1415</v>
      </c>
      <c r="B9" s="795">
        <v>356598</v>
      </c>
      <c r="C9" s="661">
        <v>1</v>
      </c>
      <c r="D9" s="795">
        <v>363390</v>
      </c>
      <c r="E9" s="661">
        <v>1.0190466575808053</v>
      </c>
      <c r="F9" s="795">
        <v>266606</v>
      </c>
      <c r="G9" s="677">
        <v>0.74763739561074372</v>
      </c>
      <c r="H9" s="795">
        <v>279688.83999999997</v>
      </c>
      <c r="I9" s="661">
        <v>1</v>
      </c>
      <c r="J9" s="795">
        <v>299130.28000000003</v>
      </c>
      <c r="K9" s="661">
        <v>1.0695109608234639</v>
      </c>
      <c r="L9" s="795">
        <v>236642.49</v>
      </c>
      <c r="M9" s="677">
        <v>0.84609199995251871</v>
      </c>
      <c r="N9" s="795"/>
      <c r="O9" s="661"/>
      <c r="P9" s="795"/>
      <c r="Q9" s="661"/>
      <c r="R9" s="795"/>
      <c r="S9" s="700"/>
    </row>
    <row r="10" spans="1:19" ht="14.4" customHeight="1" x14ac:dyDescent="0.3">
      <c r="A10" s="687" t="s">
        <v>1416</v>
      </c>
      <c r="B10" s="795">
        <v>17072</v>
      </c>
      <c r="C10" s="661">
        <v>1</v>
      </c>
      <c r="D10" s="795">
        <v>32652</v>
      </c>
      <c r="E10" s="661">
        <v>1.912605435801312</v>
      </c>
      <c r="F10" s="795"/>
      <c r="G10" s="677"/>
      <c r="H10" s="795">
        <v>15978.400000000001</v>
      </c>
      <c r="I10" s="661">
        <v>1</v>
      </c>
      <c r="J10" s="795">
        <v>40083.269999999997</v>
      </c>
      <c r="K10" s="661">
        <v>2.5085909728132973</v>
      </c>
      <c r="L10" s="795"/>
      <c r="M10" s="677"/>
      <c r="N10" s="795"/>
      <c r="O10" s="661"/>
      <c r="P10" s="795"/>
      <c r="Q10" s="661"/>
      <c r="R10" s="795"/>
      <c r="S10" s="700"/>
    </row>
    <row r="11" spans="1:19" ht="14.4" customHeight="1" x14ac:dyDescent="0.3">
      <c r="A11" s="687" t="s">
        <v>1417</v>
      </c>
      <c r="B11" s="795"/>
      <c r="C11" s="661"/>
      <c r="D11" s="795">
        <v>19236</v>
      </c>
      <c r="E11" s="661"/>
      <c r="F11" s="795"/>
      <c r="G11" s="677"/>
      <c r="H11" s="795"/>
      <c r="I11" s="661"/>
      <c r="J11" s="795">
        <v>27601.14</v>
      </c>
      <c r="K11" s="661"/>
      <c r="L11" s="795"/>
      <c r="M11" s="677"/>
      <c r="N11" s="795"/>
      <c r="O11" s="661"/>
      <c r="P11" s="795"/>
      <c r="Q11" s="661"/>
      <c r="R11" s="795"/>
      <c r="S11" s="700"/>
    </row>
    <row r="12" spans="1:19" ht="14.4" customHeight="1" x14ac:dyDescent="0.3">
      <c r="A12" s="687" t="s">
        <v>1418</v>
      </c>
      <c r="B12" s="795"/>
      <c r="C12" s="661"/>
      <c r="D12" s="795"/>
      <c r="E12" s="661"/>
      <c r="F12" s="795">
        <v>2252</v>
      </c>
      <c r="G12" s="677"/>
      <c r="H12" s="795"/>
      <c r="I12" s="661"/>
      <c r="J12" s="795"/>
      <c r="K12" s="661"/>
      <c r="L12" s="795">
        <v>957.6</v>
      </c>
      <c r="M12" s="677"/>
      <c r="N12" s="795"/>
      <c r="O12" s="661"/>
      <c r="P12" s="795"/>
      <c r="Q12" s="661"/>
      <c r="R12" s="795"/>
      <c r="S12" s="700"/>
    </row>
    <row r="13" spans="1:19" ht="14.4" customHeight="1" x14ac:dyDescent="0.3">
      <c r="A13" s="687" t="s">
        <v>1419</v>
      </c>
      <c r="B13" s="795">
        <v>2241</v>
      </c>
      <c r="C13" s="661">
        <v>1</v>
      </c>
      <c r="D13" s="795">
        <v>14815</v>
      </c>
      <c r="E13" s="661">
        <v>6.610887996430165</v>
      </c>
      <c r="F13" s="795">
        <v>1148</v>
      </c>
      <c r="G13" s="677">
        <v>0.51227130745203031</v>
      </c>
      <c r="H13" s="795">
        <v>871.2</v>
      </c>
      <c r="I13" s="661">
        <v>1</v>
      </c>
      <c r="J13" s="795">
        <v>14752.72</v>
      </c>
      <c r="K13" s="661">
        <v>16.933792470156106</v>
      </c>
      <c r="L13" s="795">
        <v>3151.18</v>
      </c>
      <c r="M13" s="677">
        <v>3.6170569329660234</v>
      </c>
      <c r="N13" s="795"/>
      <c r="O13" s="661"/>
      <c r="P13" s="795"/>
      <c r="Q13" s="661"/>
      <c r="R13" s="795"/>
      <c r="S13" s="700"/>
    </row>
    <row r="14" spans="1:19" ht="14.4" customHeight="1" x14ac:dyDescent="0.3">
      <c r="A14" s="687" t="s">
        <v>1420</v>
      </c>
      <c r="B14" s="795">
        <v>26229</v>
      </c>
      <c r="C14" s="661">
        <v>1</v>
      </c>
      <c r="D14" s="795">
        <v>44290</v>
      </c>
      <c r="E14" s="661">
        <v>1.6885889664112241</v>
      </c>
      <c r="F14" s="795">
        <v>21191</v>
      </c>
      <c r="G14" s="677">
        <v>0.80792252849898971</v>
      </c>
      <c r="H14" s="795">
        <v>16320.47</v>
      </c>
      <c r="I14" s="661">
        <v>1</v>
      </c>
      <c r="J14" s="795">
        <v>24882.47</v>
      </c>
      <c r="K14" s="661">
        <v>1.5246172444788662</v>
      </c>
      <c r="L14" s="795">
        <v>15896.240000000002</v>
      </c>
      <c r="M14" s="677">
        <v>0.97400626330001538</v>
      </c>
      <c r="N14" s="795"/>
      <c r="O14" s="661"/>
      <c r="P14" s="795"/>
      <c r="Q14" s="661"/>
      <c r="R14" s="795"/>
      <c r="S14" s="700"/>
    </row>
    <row r="15" spans="1:19" ht="14.4" customHeight="1" x14ac:dyDescent="0.3">
      <c r="A15" s="687" t="s">
        <v>1421</v>
      </c>
      <c r="B15" s="795"/>
      <c r="C15" s="661"/>
      <c r="D15" s="795">
        <v>8205</v>
      </c>
      <c r="E15" s="661"/>
      <c r="F15" s="795">
        <v>10087</v>
      </c>
      <c r="G15" s="677"/>
      <c r="H15" s="795"/>
      <c r="I15" s="661"/>
      <c r="J15" s="795">
        <v>10998.52</v>
      </c>
      <c r="K15" s="661"/>
      <c r="L15" s="795">
        <v>26869.1</v>
      </c>
      <c r="M15" s="677"/>
      <c r="N15" s="795"/>
      <c r="O15" s="661"/>
      <c r="P15" s="795"/>
      <c r="Q15" s="661"/>
      <c r="R15" s="795"/>
      <c r="S15" s="700"/>
    </row>
    <row r="16" spans="1:19" ht="14.4" customHeight="1" x14ac:dyDescent="0.3">
      <c r="A16" s="687" t="s">
        <v>1422</v>
      </c>
      <c r="B16" s="795">
        <v>8418</v>
      </c>
      <c r="C16" s="661">
        <v>1</v>
      </c>
      <c r="D16" s="795">
        <v>24740</v>
      </c>
      <c r="E16" s="661">
        <v>2.9389403658826323</v>
      </c>
      <c r="F16" s="795">
        <v>40009</v>
      </c>
      <c r="G16" s="677">
        <v>4.7527916369684009</v>
      </c>
      <c r="H16" s="795">
        <v>3905.66</v>
      </c>
      <c r="I16" s="661">
        <v>1</v>
      </c>
      <c r="J16" s="795">
        <v>23736.820000000003</v>
      </c>
      <c r="K16" s="661">
        <v>6.0775438722264621</v>
      </c>
      <c r="L16" s="795">
        <v>30394.18</v>
      </c>
      <c r="M16" s="677">
        <v>7.7820854861918347</v>
      </c>
      <c r="N16" s="795"/>
      <c r="O16" s="661"/>
      <c r="P16" s="795"/>
      <c r="Q16" s="661"/>
      <c r="R16" s="795"/>
      <c r="S16" s="700"/>
    </row>
    <row r="17" spans="1:19" ht="14.4" customHeight="1" x14ac:dyDescent="0.3">
      <c r="A17" s="687" t="s">
        <v>1423</v>
      </c>
      <c r="B17" s="795">
        <v>14362</v>
      </c>
      <c r="C17" s="661">
        <v>1</v>
      </c>
      <c r="D17" s="795">
        <v>46748</v>
      </c>
      <c r="E17" s="661">
        <v>3.2549784152624981</v>
      </c>
      <c r="F17" s="795"/>
      <c r="G17" s="677"/>
      <c r="H17" s="795">
        <v>14834.119999999999</v>
      </c>
      <c r="I17" s="661">
        <v>1</v>
      </c>
      <c r="J17" s="795">
        <v>48329.400000000009</v>
      </c>
      <c r="K17" s="661">
        <v>3.2579890145151862</v>
      </c>
      <c r="L17" s="795"/>
      <c r="M17" s="677"/>
      <c r="N17" s="795"/>
      <c r="O17" s="661"/>
      <c r="P17" s="795"/>
      <c r="Q17" s="661"/>
      <c r="R17" s="795"/>
      <c r="S17" s="700"/>
    </row>
    <row r="18" spans="1:19" ht="14.4" customHeight="1" x14ac:dyDescent="0.3">
      <c r="A18" s="687" t="s">
        <v>1424</v>
      </c>
      <c r="B18" s="795">
        <v>562162</v>
      </c>
      <c r="C18" s="661">
        <v>1</v>
      </c>
      <c r="D18" s="795">
        <v>425019</v>
      </c>
      <c r="E18" s="661">
        <v>0.75604363155104759</v>
      </c>
      <c r="F18" s="795">
        <v>198577</v>
      </c>
      <c r="G18" s="677">
        <v>0.3532380345878946</v>
      </c>
      <c r="H18" s="795">
        <v>580007.86999999965</v>
      </c>
      <c r="I18" s="661">
        <v>1</v>
      </c>
      <c r="J18" s="795">
        <v>524814.33999999985</v>
      </c>
      <c r="K18" s="661">
        <v>0.90484003260162693</v>
      </c>
      <c r="L18" s="795">
        <v>181937.44000000003</v>
      </c>
      <c r="M18" s="677">
        <v>0.31368098505284098</v>
      </c>
      <c r="N18" s="795"/>
      <c r="O18" s="661"/>
      <c r="P18" s="795"/>
      <c r="Q18" s="661"/>
      <c r="R18" s="795"/>
      <c r="S18" s="700"/>
    </row>
    <row r="19" spans="1:19" ht="14.4" customHeight="1" x14ac:dyDescent="0.3">
      <c r="A19" s="687" t="s">
        <v>1425</v>
      </c>
      <c r="B19" s="795">
        <v>43448</v>
      </c>
      <c r="C19" s="661">
        <v>1</v>
      </c>
      <c r="D19" s="795">
        <v>46078</v>
      </c>
      <c r="E19" s="661">
        <v>1.0605321303627324</v>
      </c>
      <c r="F19" s="795">
        <v>84805</v>
      </c>
      <c r="G19" s="677">
        <v>1.9518735039587554</v>
      </c>
      <c r="H19" s="795">
        <v>64344.03</v>
      </c>
      <c r="I19" s="661">
        <v>1</v>
      </c>
      <c r="J19" s="795">
        <v>46501.479999999996</v>
      </c>
      <c r="K19" s="661">
        <v>0.72270076959742802</v>
      </c>
      <c r="L19" s="795">
        <v>90984.840000000026</v>
      </c>
      <c r="M19" s="677">
        <v>1.4140370132240712</v>
      </c>
      <c r="N19" s="795"/>
      <c r="O19" s="661"/>
      <c r="P19" s="795"/>
      <c r="Q19" s="661"/>
      <c r="R19" s="795"/>
      <c r="S19" s="700"/>
    </row>
    <row r="20" spans="1:19" ht="14.4" customHeight="1" x14ac:dyDescent="0.3">
      <c r="A20" s="687" t="s">
        <v>1426</v>
      </c>
      <c r="B20" s="795">
        <v>1141</v>
      </c>
      <c r="C20" s="661">
        <v>1</v>
      </c>
      <c r="D20" s="795"/>
      <c r="E20" s="661"/>
      <c r="F20" s="795">
        <v>421</v>
      </c>
      <c r="G20" s="677">
        <v>0.36897458369851011</v>
      </c>
      <c r="H20" s="795">
        <v>2960.84</v>
      </c>
      <c r="I20" s="661">
        <v>1</v>
      </c>
      <c r="J20" s="795"/>
      <c r="K20" s="661"/>
      <c r="L20" s="795">
        <v>422</v>
      </c>
      <c r="M20" s="677">
        <v>0.14252712068196863</v>
      </c>
      <c r="N20" s="795"/>
      <c r="O20" s="661"/>
      <c r="P20" s="795"/>
      <c r="Q20" s="661"/>
      <c r="R20" s="795"/>
      <c r="S20" s="700"/>
    </row>
    <row r="21" spans="1:19" ht="14.4" customHeight="1" x14ac:dyDescent="0.3">
      <c r="A21" s="687" t="s">
        <v>1427</v>
      </c>
      <c r="B21" s="795"/>
      <c r="C21" s="661"/>
      <c r="D21" s="795">
        <v>685</v>
      </c>
      <c r="E21" s="661"/>
      <c r="F21" s="795"/>
      <c r="G21" s="677"/>
      <c r="H21" s="795"/>
      <c r="I21" s="661"/>
      <c r="J21" s="795">
        <v>1934</v>
      </c>
      <c r="K21" s="661"/>
      <c r="L21" s="795"/>
      <c r="M21" s="677"/>
      <c r="N21" s="795"/>
      <c r="O21" s="661"/>
      <c r="P21" s="795"/>
      <c r="Q21" s="661"/>
      <c r="R21" s="795"/>
      <c r="S21" s="700"/>
    </row>
    <row r="22" spans="1:19" ht="14.4" customHeight="1" x14ac:dyDescent="0.3">
      <c r="A22" s="687" t="s">
        <v>1428</v>
      </c>
      <c r="B22" s="795">
        <v>248162</v>
      </c>
      <c r="C22" s="661">
        <v>1</v>
      </c>
      <c r="D22" s="795">
        <v>263926</v>
      </c>
      <c r="E22" s="661">
        <v>1.0635230212522466</v>
      </c>
      <c r="F22" s="795">
        <v>123292</v>
      </c>
      <c r="G22" s="677">
        <v>0.49682062523674053</v>
      </c>
      <c r="H22" s="795">
        <v>295283.90999999992</v>
      </c>
      <c r="I22" s="661">
        <v>1</v>
      </c>
      <c r="J22" s="795">
        <v>242144.53000000009</v>
      </c>
      <c r="K22" s="661">
        <v>0.82003970348401356</v>
      </c>
      <c r="L22" s="795">
        <v>116739.47000000003</v>
      </c>
      <c r="M22" s="677">
        <v>0.39534653276570358</v>
      </c>
      <c r="N22" s="795"/>
      <c r="O22" s="661"/>
      <c r="P22" s="795"/>
      <c r="Q22" s="661"/>
      <c r="R22" s="795"/>
      <c r="S22" s="700"/>
    </row>
    <row r="23" spans="1:19" ht="14.4" customHeight="1" x14ac:dyDescent="0.3">
      <c r="A23" s="687" t="s">
        <v>780</v>
      </c>
      <c r="B23" s="795">
        <v>928479</v>
      </c>
      <c r="C23" s="661">
        <v>1</v>
      </c>
      <c r="D23" s="795">
        <v>821266</v>
      </c>
      <c r="E23" s="661">
        <v>0.88452835228368121</v>
      </c>
      <c r="F23" s="795">
        <v>949952</v>
      </c>
      <c r="G23" s="677">
        <v>1.0231270712638627</v>
      </c>
      <c r="H23" s="795">
        <v>527464.68999999994</v>
      </c>
      <c r="I23" s="661">
        <v>1</v>
      </c>
      <c r="J23" s="795">
        <v>370319.22999999986</v>
      </c>
      <c r="K23" s="661">
        <v>0.70207397200369925</v>
      </c>
      <c r="L23" s="795">
        <v>506911.23999999993</v>
      </c>
      <c r="M23" s="677">
        <v>0.96103350538971621</v>
      </c>
      <c r="N23" s="795"/>
      <c r="O23" s="661"/>
      <c r="P23" s="795">
        <v>41139.72</v>
      </c>
      <c r="Q23" s="661"/>
      <c r="R23" s="795">
        <v>206055.52000000002</v>
      </c>
      <c r="S23" s="700"/>
    </row>
    <row r="24" spans="1:19" ht="14.4" customHeight="1" x14ac:dyDescent="0.3">
      <c r="A24" s="687" t="s">
        <v>1429</v>
      </c>
      <c r="B24" s="795">
        <v>14328</v>
      </c>
      <c r="C24" s="661">
        <v>1</v>
      </c>
      <c r="D24" s="795"/>
      <c r="E24" s="661"/>
      <c r="F24" s="795">
        <v>14340</v>
      </c>
      <c r="G24" s="677">
        <v>1.0008375209380234</v>
      </c>
      <c r="H24" s="795">
        <v>13925.67</v>
      </c>
      <c r="I24" s="661">
        <v>1</v>
      </c>
      <c r="J24" s="795"/>
      <c r="K24" s="661"/>
      <c r="L24" s="795">
        <v>15750.27</v>
      </c>
      <c r="M24" s="677">
        <v>1.1310242164290838</v>
      </c>
      <c r="N24" s="795"/>
      <c r="O24" s="661"/>
      <c r="P24" s="795"/>
      <c r="Q24" s="661"/>
      <c r="R24" s="795"/>
      <c r="S24" s="700"/>
    </row>
    <row r="25" spans="1:19" ht="14.4" customHeight="1" x14ac:dyDescent="0.3">
      <c r="A25" s="687" t="s">
        <v>1430</v>
      </c>
      <c r="B25" s="795"/>
      <c r="C25" s="661"/>
      <c r="D25" s="795"/>
      <c r="E25" s="661"/>
      <c r="F25" s="795">
        <v>16680</v>
      </c>
      <c r="G25" s="677"/>
      <c r="H25" s="795"/>
      <c r="I25" s="661"/>
      <c r="J25" s="795"/>
      <c r="K25" s="661"/>
      <c r="L25" s="795">
        <v>16983.97</v>
      </c>
      <c r="M25" s="677"/>
      <c r="N25" s="795"/>
      <c r="O25" s="661"/>
      <c r="P25" s="795"/>
      <c r="Q25" s="661"/>
      <c r="R25" s="795"/>
      <c r="S25" s="700"/>
    </row>
    <row r="26" spans="1:19" ht="14.4" customHeight="1" x14ac:dyDescent="0.3">
      <c r="A26" s="687" t="s">
        <v>1431</v>
      </c>
      <c r="B26" s="795">
        <v>7024</v>
      </c>
      <c r="C26" s="661">
        <v>1</v>
      </c>
      <c r="D26" s="795">
        <v>7076</v>
      </c>
      <c r="E26" s="661">
        <v>1.0074031890660593</v>
      </c>
      <c r="F26" s="795">
        <v>20287</v>
      </c>
      <c r="G26" s="677">
        <v>2.8882403189066057</v>
      </c>
      <c r="H26" s="795">
        <v>11466.84</v>
      </c>
      <c r="I26" s="661">
        <v>1</v>
      </c>
      <c r="J26" s="795">
        <v>8463.5</v>
      </c>
      <c r="K26" s="661">
        <v>0.73808477313715026</v>
      </c>
      <c r="L26" s="795">
        <v>24106.12</v>
      </c>
      <c r="M26" s="677">
        <v>2.1022461288375873</v>
      </c>
      <c r="N26" s="795"/>
      <c r="O26" s="661"/>
      <c r="P26" s="795"/>
      <c r="Q26" s="661"/>
      <c r="R26" s="795"/>
      <c r="S26" s="700"/>
    </row>
    <row r="27" spans="1:19" ht="14.4" customHeight="1" x14ac:dyDescent="0.3">
      <c r="A27" s="687" t="s">
        <v>1432</v>
      </c>
      <c r="B27" s="795">
        <v>35060</v>
      </c>
      <c r="C27" s="661">
        <v>1</v>
      </c>
      <c r="D27" s="795">
        <v>26316</v>
      </c>
      <c r="E27" s="661">
        <v>0.75059897318881919</v>
      </c>
      <c r="F27" s="795">
        <v>32700</v>
      </c>
      <c r="G27" s="677">
        <v>0.93268682258984603</v>
      </c>
      <c r="H27" s="795">
        <v>59661.83</v>
      </c>
      <c r="I27" s="661">
        <v>1</v>
      </c>
      <c r="J27" s="795">
        <v>42679.26</v>
      </c>
      <c r="K27" s="661">
        <v>0.71535284787610443</v>
      </c>
      <c r="L27" s="795">
        <v>40969.25</v>
      </c>
      <c r="M27" s="677">
        <v>0.68669113904149437</v>
      </c>
      <c r="N27" s="795"/>
      <c r="O27" s="661"/>
      <c r="P27" s="795"/>
      <c r="Q27" s="661"/>
      <c r="R27" s="795"/>
      <c r="S27" s="700"/>
    </row>
    <row r="28" spans="1:19" ht="14.4" customHeight="1" x14ac:dyDescent="0.3">
      <c r="A28" s="687" t="s">
        <v>1433</v>
      </c>
      <c r="B28" s="795">
        <v>363792</v>
      </c>
      <c r="C28" s="661">
        <v>1</v>
      </c>
      <c r="D28" s="795">
        <v>348994</v>
      </c>
      <c r="E28" s="661">
        <v>0.95932290979460788</v>
      </c>
      <c r="F28" s="795">
        <v>197440</v>
      </c>
      <c r="G28" s="677">
        <v>0.54272771253903329</v>
      </c>
      <c r="H28" s="795">
        <v>379453.85999999987</v>
      </c>
      <c r="I28" s="661">
        <v>1</v>
      </c>
      <c r="J28" s="795">
        <v>390378.49</v>
      </c>
      <c r="K28" s="661">
        <v>1.0287904041877454</v>
      </c>
      <c r="L28" s="795">
        <v>231414.81000000011</v>
      </c>
      <c r="M28" s="677">
        <v>0.6098628434034119</v>
      </c>
      <c r="N28" s="795"/>
      <c r="O28" s="661"/>
      <c r="P28" s="795">
        <v>449209.69</v>
      </c>
      <c r="Q28" s="661"/>
      <c r="R28" s="795"/>
      <c r="S28" s="700"/>
    </row>
    <row r="29" spans="1:19" ht="14.4" customHeight="1" thickBot="1" x14ac:dyDescent="0.35">
      <c r="A29" s="799" t="s">
        <v>1434</v>
      </c>
      <c r="B29" s="797">
        <v>1539</v>
      </c>
      <c r="C29" s="667">
        <v>1</v>
      </c>
      <c r="D29" s="797">
        <v>9656</v>
      </c>
      <c r="E29" s="667">
        <v>6.2742040285899936</v>
      </c>
      <c r="F29" s="797">
        <v>2175</v>
      </c>
      <c r="G29" s="678">
        <v>1.4132553606237817</v>
      </c>
      <c r="H29" s="797">
        <v>3995</v>
      </c>
      <c r="I29" s="667">
        <v>1</v>
      </c>
      <c r="J29" s="797">
        <v>8880</v>
      </c>
      <c r="K29" s="667">
        <v>2.2227784730913642</v>
      </c>
      <c r="L29" s="797">
        <v>1769.52</v>
      </c>
      <c r="M29" s="678">
        <v>0.44293366708385479</v>
      </c>
      <c r="N29" s="797"/>
      <c r="O29" s="667"/>
      <c r="P29" s="797"/>
      <c r="Q29" s="667"/>
      <c r="R29" s="797"/>
      <c r="S29" s="70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4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1492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336</v>
      </c>
      <c r="B2" s="255"/>
      <c r="C2" s="255"/>
      <c r="D2" s="255"/>
      <c r="E2" s="25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Q2" s="358"/>
    </row>
    <row r="3" spans="1:17" ht="14.4" customHeight="1" thickBot="1" x14ac:dyDescent="0.35">
      <c r="E3" s="112" t="s">
        <v>160</v>
      </c>
      <c r="F3" s="211">
        <f t="shared" ref="F3:O3" si="0">SUBTOTAL(9,F6:F1048576)</f>
        <v>299231.98</v>
      </c>
      <c r="G3" s="212">
        <f t="shared" si="0"/>
        <v>6294869.2700000005</v>
      </c>
      <c r="H3" s="212"/>
      <c r="I3" s="212"/>
      <c r="J3" s="212">
        <f t="shared" si="0"/>
        <v>242333.87000000002</v>
      </c>
      <c r="K3" s="212">
        <f t="shared" si="0"/>
        <v>6780066.3100000005</v>
      </c>
      <c r="L3" s="212"/>
      <c r="M3" s="212"/>
      <c r="N3" s="212">
        <f t="shared" si="0"/>
        <v>240540.36</v>
      </c>
      <c r="O3" s="212">
        <f t="shared" si="0"/>
        <v>4868919.3400000026</v>
      </c>
      <c r="P3" s="79">
        <f>IF(G3=0,0,O3/G3)</f>
        <v>0.77347425834627415</v>
      </c>
      <c r="Q3" s="213">
        <f>IF(N3=0,0,O3/N3)</f>
        <v>20.241589976833836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121</v>
      </c>
      <c r="E4" s="562" t="s">
        <v>81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801"/>
      <c r="B5" s="800"/>
      <c r="C5" s="801"/>
      <c r="D5" s="809"/>
      <c r="E5" s="803"/>
      <c r="F5" s="810" t="s">
        <v>91</v>
      </c>
      <c r="G5" s="811" t="s">
        <v>14</v>
      </c>
      <c r="H5" s="812"/>
      <c r="I5" s="812"/>
      <c r="J5" s="810" t="s">
        <v>91</v>
      </c>
      <c r="K5" s="811" t="s">
        <v>14</v>
      </c>
      <c r="L5" s="812"/>
      <c r="M5" s="812"/>
      <c r="N5" s="810" t="s">
        <v>91</v>
      </c>
      <c r="O5" s="811" t="s">
        <v>14</v>
      </c>
      <c r="P5" s="813"/>
      <c r="Q5" s="808"/>
    </row>
    <row r="6" spans="1:17" ht="14.4" customHeight="1" x14ac:dyDescent="0.3">
      <c r="A6" s="733" t="s">
        <v>1435</v>
      </c>
      <c r="B6" s="734" t="s">
        <v>1256</v>
      </c>
      <c r="C6" s="734" t="s">
        <v>1257</v>
      </c>
      <c r="D6" s="734" t="s">
        <v>1262</v>
      </c>
      <c r="E6" s="734" t="s">
        <v>1248</v>
      </c>
      <c r="F6" s="229"/>
      <c r="G6" s="229"/>
      <c r="H6" s="229"/>
      <c r="I6" s="229"/>
      <c r="J6" s="229">
        <v>0.2</v>
      </c>
      <c r="K6" s="229">
        <v>218.43</v>
      </c>
      <c r="L6" s="229"/>
      <c r="M6" s="229">
        <v>1092.1499999999999</v>
      </c>
      <c r="N6" s="229"/>
      <c r="O6" s="229"/>
      <c r="P6" s="739"/>
      <c r="Q6" s="747"/>
    </row>
    <row r="7" spans="1:17" ht="14.4" customHeight="1" x14ac:dyDescent="0.3">
      <c r="A7" s="660" t="s">
        <v>1435</v>
      </c>
      <c r="B7" s="661" t="s">
        <v>1256</v>
      </c>
      <c r="C7" s="661" t="s">
        <v>1257</v>
      </c>
      <c r="D7" s="661" t="s">
        <v>1263</v>
      </c>
      <c r="E7" s="661" t="s">
        <v>743</v>
      </c>
      <c r="F7" s="664">
        <v>1.45</v>
      </c>
      <c r="G7" s="664">
        <v>3167.25</v>
      </c>
      <c r="H7" s="664">
        <v>1</v>
      </c>
      <c r="I7" s="664">
        <v>2184.3103448275861</v>
      </c>
      <c r="J7" s="664">
        <v>1.9500000000000002</v>
      </c>
      <c r="K7" s="664">
        <v>4259.41</v>
      </c>
      <c r="L7" s="664">
        <v>1.3448291104270265</v>
      </c>
      <c r="M7" s="664">
        <v>2184.3128205128201</v>
      </c>
      <c r="N7" s="664">
        <v>1</v>
      </c>
      <c r="O7" s="664">
        <v>1770.8000000000002</v>
      </c>
      <c r="P7" s="677">
        <v>0.55909700844581267</v>
      </c>
      <c r="Q7" s="665">
        <v>1770.8000000000002</v>
      </c>
    </row>
    <row r="8" spans="1:17" ht="14.4" customHeight="1" x14ac:dyDescent="0.3">
      <c r="A8" s="660" t="s">
        <v>1435</v>
      </c>
      <c r="B8" s="661" t="s">
        <v>1256</v>
      </c>
      <c r="C8" s="661" t="s">
        <v>1257</v>
      </c>
      <c r="D8" s="661" t="s">
        <v>1264</v>
      </c>
      <c r="E8" s="661" t="s">
        <v>736</v>
      </c>
      <c r="F8" s="664"/>
      <c r="G8" s="664"/>
      <c r="H8" s="664"/>
      <c r="I8" s="664"/>
      <c r="J8" s="664">
        <v>0.05</v>
      </c>
      <c r="K8" s="664">
        <v>47.24</v>
      </c>
      <c r="L8" s="664"/>
      <c r="M8" s="664">
        <v>944.8</v>
      </c>
      <c r="N8" s="664"/>
      <c r="O8" s="664"/>
      <c r="P8" s="677"/>
      <c r="Q8" s="665"/>
    </row>
    <row r="9" spans="1:17" ht="14.4" customHeight="1" x14ac:dyDescent="0.3">
      <c r="A9" s="660" t="s">
        <v>1435</v>
      </c>
      <c r="B9" s="661" t="s">
        <v>1256</v>
      </c>
      <c r="C9" s="661" t="s">
        <v>1268</v>
      </c>
      <c r="D9" s="661" t="s">
        <v>1271</v>
      </c>
      <c r="E9" s="661" t="s">
        <v>1272</v>
      </c>
      <c r="F9" s="664"/>
      <c r="G9" s="664"/>
      <c r="H9" s="664"/>
      <c r="I9" s="664"/>
      <c r="J9" s="664">
        <v>100</v>
      </c>
      <c r="K9" s="664">
        <v>200</v>
      </c>
      <c r="L9" s="664"/>
      <c r="M9" s="664">
        <v>2</v>
      </c>
      <c r="N9" s="664">
        <v>100</v>
      </c>
      <c r="O9" s="664">
        <v>211</v>
      </c>
      <c r="P9" s="677"/>
      <c r="Q9" s="665">
        <v>2.11</v>
      </c>
    </row>
    <row r="10" spans="1:17" ht="14.4" customHeight="1" x14ac:dyDescent="0.3">
      <c r="A10" s="660" t="s">
        <v>1435</v>
      </c>
      <c r="B10" s="661" t="s">
        <v>1256</v>
      </c>
      <c r="C10" s="661" t="s">
        <v>1268</v>
      </c>
      <c r="D10" s="661" t="s">
        <v>1273</v>
      </c>
      <c r="E10" s="661" t="s">
        <v>1274</v>
      </c>
      <c r="F10" s="664">
        <v>4350</v>
      </c>
      <c r="G10" s="664">
        <v>20919</v>
      </c>
      <c r="H10" s="664">
        <v>1</v>
      </c>
      <c r="I10" s="664">
        <v>4.8089655172413792</v>
      </c>
      <c r="J10" s="664">
        <v>2670</v>
      </c>
      <c r="K10" s="664">
        <v>13617</v>
      </c>
      <c r="L10" s="664">
        <v>0.65093933744442856</v>
      </c>
      <c r="M10" s="664">
        <v>5.0999999999999996</v>
      </c>
      <c r="N10" s="664">
        <v>7070</v>
      </c>
      <c r="O10" s="664">
        <v>37612.400000000001</v>
      </c>
      <c r="P10" s="677">
        <v>1.798001816530427</v>
      </c>
      <c r="Q10" s="665">
        <v>5.32</v>
      </c>
    </row>
    <row r="11" spans="1:17" ht="14.4" customHeight="1" x14ac:dyDescent="0.3">
      <c r="A11" s="660" t="s">
        <v>1435</v>
      </c>
      <c r="B11" s="661" t="s">
        <v>1256</v>
      </c>
      <c r="C11" s="661" t="s">
        <v>1268</v>
      </c>
      <c r="D11" s="661" t="s">
        <v>1281</v>
      </c>
      <c r="E11" s="661" t="s">
        <v>1282</v>
      </c>
      <c r="F11" s="664">
        <v>26700</v>
      </c>
      <c r="G11" s="664">
        <v>148180.5</v>
      </c>
      <c r="H11" s="664">
        <v>1</v>
      </c>
      <c r="I11" s="664">
        <v>5.5498314606741577</v>
      </c>
      <c r="J11" s="664">
        <v>33500</v>
      </c>
      <c r="K11" s="664">
        <v>185925</v>
      </c>
      <c r="L11" s="664">
        <v>1.2547197505744683</v>
      </c>
      <c r="M11" s="664">
        <v>5.55</v>
      </c>
      <c r="N11" s="664">
        <v>21568</v>
      </c>
      <c r="O11" s="664">
        <v>125957.12</v>
      </c>
      <c r="P11" s="677">
        <v>0.85002493580464367</v>
      </c>
      <c r="Q11" s="665">
        <v>5.84</v>
      </c>
    </row>
    <row r="12" spans="1:17" ht="14.4" customHeight="1" x14ac:dyDescent="0.3">
      <c r="A12" s="660" t="s">
        <v>1435</v>
      </c>
      <c r="B12" s="661" t="s">
        <v>1256</v>
      </c>
      <c r="C12" s="661" t="s">
        <v>1268</v>
      </c>
      <c r="D12" s="661" t="s">
        <v>1285</v>
      </c>
      <c r="E12" s="661" t="s">
        <v>1286</v>
      </c>
      <c r="F12" s="664"/>
      <c r="G12" s="664"/>
      <c r="H12" s="664"/>
      <c r="I12" s="664"/>
      <c r="J12" s="664">
        <v>450</v>
      </c>
      <c r="K12" s="664">
        <v>3550.5</v>
      </c>
      <c r="L12" s="664"/>
      <c r="M12" s="664">
        <v>7.89</v>
      </c>
      <c r="N12" s="664"/>
      <c r="O12" s="664"/>
      <c r="P12" s="677"/>
      <c r="Q12" s="665"/>
    </row>
    <row r="13" spans="1:17" ht="14.4" customHeight="1" x14ac:dyDescent="0.3">
      <c r="A13" s="660" t="s">
        <v>1435</v>
      </c>
      <c r="B13" s="661" t="s">
        <v>1256</v>
      </c>
      <c r="C13" s="661" t="s">
        <v>1268</v>
      </c>
      <c r="D13" s="661" t="s">
        <v>1293</v>
      </c>
      <c r="E13" s="661" t="s">
        <v>1294</v>
      </c>
      <c r="F13" s="664"/>
      <c r="G13" s="664"/>
      <c r="H13" s="664"/>
      <c r="I13" s="664"/>
      <c r="J13" s="664"/>
      <c r="K13" s="664"/>
      <c r="L13" s="664"/>
      <c r="M13" s="664"/>
      <c r="N13" s="664">
        <v>490</v>
      </c>
      <c r="O13" s="664">
        <v>9770.6</v>
      </c>
      <c r="P13" s="677"/>
      <c r="Q13" s="665">
        <v>19.940000000000001</v>
      </c>
    </row>
    <row r="14" spans="1:17" ht="14.4" customHeight="1" x14ac:dyDescent="0.3">
      <c r="A14" s="660" t="s">
        <v>1435</v>
      </c>
      <c r="B14" s="661" t="s">
        <v>1256</v>
      </c>
      <c r="C14" s="661" t="s">
        <v>1268</v>
      </c>
      <c r="D14" s="661" t="s">
        <v>1299</v>
      </c>
      <c r="E14" s="661" t="s">
        <v>1300</v>
      </c>
      <c r="F14" s="664">
        <v>24</v>
      </c>
      <c r="G14" s="664">
        <v>55000.650000000009</v>
      </c>
      <c r="H14" s="664">
        <v>1</v>
      </c>
      <c r="I14" s="664">
        <v>2291.6937500000004</v>
      </c>
      <c r="J14" s="664">
        <v>10</v>
      </c>
      <c r="K14" s="664">
        <v>21953.5</v>
      </c>
      <c r="L14" s="664">
        <v>0.39914982822930267</v>
      </c>
      <c r="M14" s="664">
        <v>2195.35</v>
      </c>
      <c r="N14" s="664">
        <v>26</v>
      </c>
      <c r="O14" s="664">
        <v>57033.080000000009</v>
      </c>
      <c r="P14" s="677">
        <v>1.036952836011938</v>
      </c>
      <c r="Q14" s="665">
        <v>2193.5800000000004</v>
      </c>
    </row>
    <row r="15" spans="1:17" ht="14.4" customHeight="1" x14ac:dyDescent="0.3">
      <c r="A15" s="660" t="s">
        <v>1435</v>
      </c>
      <c r="B15" s="661" t="s">
        <v>1256</v>
      </c>
      <c r="C15" s="661" t="s">
        <v>1268</v>
      </c>
      <c r="D15" s="661" t="s">
        <v>1301</v>
      </c>
      <c r="E15" s="661" t="s">
        <v>1302</v>
      </c>
      <c r="F15" s="664">
        <v>347</v>
      </c>
      <c r="G15" s="664">
        <v>67252.070000000007</v>
      </c>
      <c r="H15" s="664">
        <v>1</v>
      </c>
      <c r="I15" s="664">
        <v>193.81000000000003</v>
      </c>
      <c r="J15" s="664"/>
      <c r="K15" s="664"/>
      <c r="L15" s="664"/>
      <c r="M15" s="664"/>
      <c r="N15" s="664"/>
      <c r="O15" s="664"/>
      <c r="P15" s="677"/>
      <c r="Q15" s="665"/>
    </row>
    <row r="16" spans="1:17" ht="14.4" customHeight="1" x14ac:dyDescent="0.3">
      <c r="A16" s="660" t="s">
        <v>1435</v>
      </c>
      <c r="B16" s="661" t="s">
        <v>1256</v>
      </c>
      <c r="C16" s="661" t="s">
        <v>1268</v>
      </c>
      <c r="D16" s="661" t="s">
        <v>1303</v>
      </c>
      <c r="E16" s="661" t="s">
        <v>1304</v>
      </c>
      <c r="F16" s="664">
        <v>1452</v>
      </c>
      <c r="G16" s="664">
        <v>4457.6399999999994</v>
      </c>
      <c r="H16" s="664">
        <v>1</v>
      </c>
      <c r="I16" s="664">
        <v>3.0699999999999994</v>
      </c>
      <c r="J16" s="664">
        <v>874</v>
      </c>
      <c r="K16" s="664">
        <v>2849.24</v>
      </c>
      <c r="L16" s="664">
        <v>0.63918127080697418</v>
      </c>
      <c r="M16" s="664">
        <v>3.26</v>
      </c>
      <c r="N16" s="664"/>
      <c r="O16" s="664"/>
      <c r="P16" s="677"/>
      <c r="Q16" s="665"/>
    </row>
    <row r="17" spans="1:17" ht="14.4" customHeight="1" x14ac:dyDescent="0.3">
      <c r="A17" s="660" t="s">
        <v>1435</v>
      </c>
      <c r="B17" s="661" t="s">
        <v>1256</v>
      </c>
      <c r="C17" s="661" t="s">
        <v>1268</v>
      </c>
      <c r="D17" s="661" t="s">
        <v>1309</v>
      </c>
      <c r="E17" s="661" t="s">
        <v>1310</v>
      </c>
      <c r="F17" s="664">
        <v>1665</v>
      </c>
      <c r="G17" s="664">
        <v>55126.1</v>
      </c>
      <c r="H17" s="664">
        <v>1</v>
      </c>
      <c r="I17" s="664">
        <v>33.108768768768769</v>
      </c>
      <c r="J17" s="664">
        <v>2460</v>
      </c>
      <c r="K17" s="664">
        <v>81918</v>
      </c>
      <c r="L17" s="664">
        <v>1.4860111634960573</v>
      </c>
      <c r="M17" s="664">
        <v>33.299999999999997</v>
      </c>
      <c r="N17" s="664">
        <v>897</v>
      </c>
      <c r="O17" s="664">
        <v>30094.35</v>
      </c>
      <c r="P17" s="677">
        <v>0.54591835809172062</v>
      </c>
      <c r="Q17" s="665">
        <v>33.549999999999997</v>
      </c>
    </row>
    <row r="18" spans="1:17" ht="14.4" customHeight="1" x14ac:dyDescent="0.3">
      <c r="A18" s="660" t="s">
        <v>1435</v>
      </c>
      <c r="B18" s="661" t="s">
        <v>1256</v>
      </c>
      <c r="C18" s="661" t="s">
        <v>1324</v>
      </c>
      <c r="D18" s="661" t="s">
        <v>1325</v>
      </c>
      <c r="E18" s="661" t="s">
        <v>1326</v>
      </c>
      <c r="F18" s="664"/>
      <c r="G18" s="664"/>
      <c r="H18" s="664"/>
      <c r="I18" s="664"/>
      <c r="J18" s="664">
        <v>4</v>
      </c>
      <c r="K18" s="664">
        <v>3537.28</v>
      </c>
      <c r="L18" s="664"/>
      <c r="M18" s="664">
        <v>884.32</v>
      </c>
      <c r="N18" s="664">
        <v>2</v>
      </c>
      <c r="O18" s="664">
        <v>1768.64</v>
      </c>
      <c r="P18" s="677"/>
      <c r="Q18" s="665">
        <v>884.32</v>
      </c>
    </row>
    <row r="19" spans="1:17" ht="14.4" customHeight="1" x14ac:dyDescent="0.3">
      <c r="A19" s="660" t="s">
        <v>1435</v>
      </c>
      <c r="B19" s="661" t="s">
        <v>1256</v>
      </c>
      <c r="C19" s="661" t="s">
        <v>1327</v>
      </c>
      <c r="D19" s="661" t="s">
        <v>1330</v>
      </c>
      <c r="E19" s="661" t="s">
        <v>1331</v>
      </c>
      <c r="F19" s="664">
        <v>2</v>
      </c>
      <c r="G19" s="664">
        <v>840</v>
      </c>
      <c r="H19" s="664">
        <v>1</v>
      </c>
      <c r="I19" s="664">
        <v>420</v>
      </c>
      <c r="J19" s="664">
        <v>1</v>
      </c>
      <c r="K19" s="664">
        <v>420</v>
      </c>
      <c r="L19" s="664">
        <v>0.5</v>
      </c>
      <c r="M19" s="664">
        <v>420</v>
      </c>
      <c r="N19" s="664">
        <v>3</v>
      </c>
      <c r="O19" s="664">
        <v>1272</v>
      </c>
      <c r="P19" s="677">
        <v>1.5142857142857142</v>
      </c>
      <c r="Q19" s="665">
        <v>424</v>
      </c>
    </row>
    <row r="20" spans="1:17" ht="14.4" customHeight="1" x14ac:dyDescent="0.3">
      <c r="A20" s="660" t="s">
        <v>1435</v>
      </c>
      <c r="B20" s="661" t="s">
        <v>1256</v>
      </c>
      <c r="C20" s="661" t="s">
        <v>1327</v>
      </c>
      <c r="D20" s="661" t="s">
        <v>1338</v>
      </c>
      <c r="E20" s="661" t="s">
        <v>1339</v>
      </c>
      <c r="F20" s="664"/>
      <c r="G20" s="664"/>
      <c r="H20" s="664"/>
      <c r="I20" s="664"/>
      <c r="J20" s="664">
        <v>1</v>
      </c>
      <c r="K20" s="664">
        <v>1376</v>
      </c>
      <c r="L20" s="664"/>
      <c r="M20" s="664">
        <v>1376</v>
      </c>
      <c r="N20" s="664"/>
      <c r="O20" s="664"/>
      <c r="P20" s="677"/>
      <c r="Q20" s="665"/>
    </row>
    <row r="21" spans="1:17" ht="14.4" customHeight="1" x14ac:dyDescent="0.3">
      <c r="A21" s="660" t="s">
        <v>1435</v>
      </c>
      <c r="B21" s="661" t="s">
        <v>1256</v>
      </c>
      <c r="C21" s="661" t="s">
        <v>1327</v>
      </c>
      <c r="D21" s="661" t="s">
        <v>1341</v>
      </c>
      <c r="E21" s="661" t="s">
        <v>1342</v>
      </c>
      <c r="F21" s="664"/>
      <c r="G21" s="664"/>
      <c r="H21" s="664"/>
      <c r="I21" s="664"/>
      <c r="J21" s="664">
        <v>1</v>
      </c>
      <c r="K21" s="664">
        <v>1965</v>
      </c>
      <c r="L21" s="664"/>
      <c r="M21" s="664">
        <v>1965</v>
      </c>
      <c r="N21" s="664">
        <v>1</v>
      </c>
      <c r="O21" s="664">
        <v>1975</v>
      </c>
      <c r="P21" s="677"/>
      <c r="Q21" s="665">
        <v>1975</v>
      </c>
    </row>
    <row r="22" spans="1:17" ht="14.4" customHeight="1" x14ac:dyDescent="0.3">
      <c r="A22" s="660" t="s">
        <v>1435</v>
      </c>
      <c r="B22" s="661" t="s">
        <v>1256</v>
      </c>
      <c r="C22" s="661" t="s">
        <v>1327</v>
      </c>
      <c r="D22" s="661" t="s">
        <v>1353</v>
      </c>
      <c r="E22" s="661" t="s">
        <v>1354</v>
      </c>
      <c r="F22" s="664">
        <v>1</v>
      </c>
      <c r="G22" s="664">
        <v>1169</v>
      </c>
      <c r="H22" s="664">
        <v>1</v>
      </c>
      <c r="I22" s="664">
        <v>1169</v>
      </c>
      <c r="J22" s="664">
        <v>1</v>
      </c>
      <c r="K22" s="664">
        <v>1169</v>
      </c>
      <c r="L22" s="664">
        <v>1</v>
      </c>
      <c r="M22" s="664">
        <v>1169</v>
      </c>
      <c r="N22" s="664"/>
      <c r="O22" s="664"/>
      <c r="P22" s="677"/>
      <c r="Q22" s="665"/>
    </row>
    <row r="23" spans="1:17" ht="14.4" customHeight="1" x14ac:dyDescent="0.3">
      <c r="A23" s="660" t="s">
        <v>1435</v>
      </c>
      <c r="B23" s="661" t="s">
        <v>1256</v>
      </c>
      <c r="C23" s="661" t="s">
        <v>1327</v>
      </c>
      <c r="D23" s="661" t="s">
        <v>1357</v>
      </c>
      <c r="E23" s="661" t="s">
        <v>1358</v>
      </c>
      <c r="F23" s="664">
        <v>24</v>
      </c>
      <c r="G23" s="664">
        <v>15696</v>
      </c>
      <c r="H23" s="664">
        <v>1</v>
      </c>
      <c r="I23" s="664">
        <v>654</v>
      </c>
      <c r="J23" s="664">
        <v>10</v>
      </c>
      <c r="K23" s="664">
        <v>6540</v>
      </c>
      <c r="L23" s="664">
        <v>0.41666666666666669</v>
      </c>
      <c r="M23" s="664">
        <v>654</v>
      </c>
      <c r="N23" s="664">
        <v>26</v>
      </c>
      <c r="O23" s="664">
        <v>17108</v>
      </c>
      <c r="P23" s="677">
        <v>1.0899592252803263</v>
      </c>
      <c r="Q23" s="665">
        <v>658</v>
      </c>
    </row>
    <row r="24" spans="1:17" ht="14.4" customHeight="1" x14ac:dyDescent="0.3">
      <c r="A24" s="660" t="s">
        <v>1435</v>
      </c>
      <c r="B24" s="661" t="s">
        <v>1256</v>
      </c>
      <c r="C24" s="661" t="s">
        <v>1327</v>
      </c>
      <c r="D24" s="661" t="s">
        <v>1361</v>
      </c>
      <c r="E24" s="661" t="s">
        <v>1362</v>
      </c>
      <c r="F24" s="664">
        <v>61</v>
      </c>
      <c r="G24" s="664">
        <v>106994</v>
      </c>
      <c r="H24" s="664">
        <v>1</v>
      </c>
      <c r="I24" s="664">
        <v>1754</v>
      </c>
      <c r="J24" s="664">
        <v>76</v>
      </c>
      <c r="K24" s="664">
        <v>133304</v>
      </c>
      <c r="L24" s="664">
        <v>1.2459016393442623</v>
      </c>
      <c r="M24" s="664">
        <v>1754</v>
      </c>
      <c r="N24" s="664">
        <v>81</v>
      </c>
      <c r="O24" s="664">
        <v>142722</v>
      </c>
      <c r="P24" s="677">
        <v>1.3339252668373927</v>
      </c>
      <c r="Q24" s="665">
        <v>1762</v>
      </c>
    </row>
    <row r="25" spans="1:17" ht="14.4" customHeight="1" x14ac:dyDescent="0.3">
      <c r="A25" s="660" t="s">
        <v>1435</v>
      </c>
      <c r="B25" s="661" t="s">
        <v>1256</v>
      </c>
      <c r="C25" s="661" t="s">
        <v>1327</v>
      </c>
      <c r="D25" s="661" t="s">
        <v>1363</v>
      </c>
      <c r="E25" s="661" t="s">
        <v>1364</v>
      </c>
      <c r="F25" s="664">
        <v>49</v>
      </c>
      <c r="G25" s="664">
        <v>20090</v>
      </c>
      <c r="H25" s="664">
        <v>1</v>
      </c>
      <c r="I25" s="664">
        <v>410</v>
      </c>
      <c r="J25" s="664">
        <v>59</v>
      </c>
      <c r="K25" s="664">
        <v>24190</v>
      </c>
      <c r="L25" s="664">
        <v>1.2040816326530612</v>
      </c>
      <c r="M25" s="664">
        <v>410</v>
      </c>
      <c r="N25" s="664">
        <v>60</v>
      </c>
      <c r="O25" s="664">
        <v>24780</v>
      </c>
      <c r="P25" s="677">
        <v>1.2334494773519165</v>
      </c>
      <c r="Q25" s="665">
        <v>413</v>
      </c>
    </row>
    <row r="26" spans="1:17" ht="14.4" customHeight="1" x14ac:dyDescent="0.3">
      <c r="A26" s="660" t="s">
        <v>1435</v>
      </c>
      <c r="B26" s="661" t="s">
        <v>1256</v>
      </c>
      <c r="C26" s="661" t="s">
        <v>1327</v>
      </c>
      <c r="D26" s="661" t="s">
        <v>1367</v>
      </c>
      <c r="E26" s="661" t="s">
        <v>1368</v>
      </c>
      <c r="F26" s="664">
        <v>1</v>
      </c>
      <c r="G26" s="664">
        <v>8491</v>
      </c>
      <c r="H26" s="664">
        <v>1</v>
      </c>
      <c r="I26" s="664">
        <v>8491</v>
      </c>
      <c r="J26" s="664">
        <v>2</v>
      </c>
      <c r="K26" s="664">
        <v>16982</v>
      </c>
      <c r="L26" s="664">
        <v>2</v>
      </c>
      <c r="M26" s="664">
        <v>8491</v>
      </c>
      <c r="N26" s="664"/>
      <c r="O26" s="664"/>
      <c r="P26" s="677"/>
      <c r="Q26" s="665"/>
    </row>
    <row r="27" spans="1:17" ht="14.4" customHeight="1" x14ac:dyDescent="0.3">
      <c r="A27" s="660" t="s">
        <v>1435</v>
      </c>
      <c r="B27" s="661" t="s">
        <v>1256</v>
      </c>
      <c r="C27" s="661" t="s">
        <v>1327</v>
      </c>
      <c r="D27" s="661" t="s">
        <v>1369</v>
      </c>
      <c r="E27" s="661" t="s">
        <v>1370</v>
      </c>
      <c r="F27" s="664">
        <v>3</v>
      </c>
      <c r="G27" s="664">
        <v>42984</v>
      </c>
      <c r="H27" s="664">
        <v>1</v>
      </c>
      <c r="I27" s="664">
        <v>14328</v>
      </c>
      <c r="J27" s="664">
        <v>4</v>
      </c>
      <c r="K27" s="664">
        <v>57312</v>
      </c>
      <c r="L27" s="664">
        <v>1.3333333333333333</v>
      </c>
      <c r="M27" s="664">
        <v>14328</v>
      </c>
      <c r="N27" s="664">
        <v>2</v>
      </c>
      <c r="O27" s="664">
        <v>28680</v>
      </c>
      <c r="P27" s="677">
        <v>0.66722501395868228</v>
      </c>
      <c r="Q27" s="665">
        <v>14340</v>
      </c>
    </row>
    <row r="28" spans="1:17" ht="14.4" customHeight="1" x14ac:dyDescent="0.3">
      <c r="A28" s="660" t="s">
        <v>1435</v>
      </c>
      <c r="B28" s="661" t="s">
        <v>1256</v>
      </c>
      <c r="C28" s="661" t="s">
        <v>1327</v>
      </c>
      <c r="D28" s="661" t="s">
        <v>1379</v>
      </c>
      <c r="E28" s="661" t="s">
        <v>1380</v>
      </c>
      <c r="F28" s="664">
        <v>14</v>
      </c>
      <c r="G28" s="664">
        <v>8120</v>
      </c>
      <c r="H28" s="664">
        <v>1</v>
      </c>
      <c r="I28" s="664">
        <v>580</v>
      </c>
      <c r="J28" s="664">
        <v>20</v>
      </c>
      <c r="K28" s="664">
        <v>11600</v>
      </c>
      <c r="L28" s="664">
        <v>1.4285714285714286</v>
      </c>
      <c r="M28" s="664">
        <v>580</v>
      </c>
      <c r="N28" s="664">
        <v>12</v>
      </c>
      <c r="O28" s="664">
        <v>7032</v>
      </c>
      <c r="P28" s="677">
        <v>0.86600985221674875</v>
      </c>
      <c r="Q28" s="665">
        <v>586</v>
      </c>
    </row>
    <row r="29" spans="1:17" ht="14.4" customHeight="1" x14ac:dyDescent="0.3">
      <c r="A29" s="660" t="s">
        <v>1435</v>
      </c>
      <c r="B29" s="661" t="s">
        <v>1256</v>
      </c>
      <c r="C29" s="661" t="s">
        <v>1327</v>
      </c>
      <c r="D29" s="661" t="s">
        <v>1385</v>
      </c>
      <c r="E29" s="661" t="s">
        <v>1386</v>
      </c>
      <c r="F29" s="664">
        <v>2</v>
      </c>
      <c r="G29" s="664">
        <v>2572</v>
      </c>
      <c r="H29" s="664">
        <v>1</v>
      </c>
      <c r="I29" s="664">
        <v>1286</v>
      </c>
      <c r="J29" s="664">
        <v>1</v>
      </c>
      <c r="K29" s="664">
        <v>1286</v>
      </c>
      <c r="L29" s="664">
        <v>0.5</v>
      </c>
      <c r="M29" s="664">
        <v>1286</v>
      </c>
      <c r="N29" s="664"/>
      <c r="O29" s="664"/>
      <c r="P29" s="677"/>
      <c r="Q29" s="665"/>
    </row>
    <row r="30" spans="1:17" ht="14.4" customHeight="1" x14ac:dyDescent="0.3">
      <c r="A30" s="660" t="s">
        <v>1435</v>
      </c>
      <c r="B30" s="661" t="s">
        <v>1256</v>
      </c>
      <c r="C30" s="661" t="s">
        <v>1327</v>
      </c>
      <c r="D30" s="661" t="s">
        <v>1387</v>
      </c>
      <c r="E30" s="661" t="s">
        <v>1388</v>
      </c>
      <c r="F30" s="664">
        <v>28</v>
      </c>
      <c r="G30" s="664">
        <v>13636</v>
      </c>
      <c r="H30" s="664">
        <v>1</v>
      </c>
      <c r="I30" s="664">
        <v>487</v>
      </c>
      <c r="J30" s="664">
        <v>17</v>
      </c>
      <c r="K30" s="664">
        <v>8279</v>
      </c>
      <c r="L30" s="664">
        <v>0.6071428571428571</v>
      </c>
      <c r="M30" s="664">
        <v>487</v>
      </c>
      <c r="N30" s="664">
        <v>40</v>
      </c>
      <c r="O30" s="664">
        <v>19600</v>
      </c>
      <c r="P30" s="677">
        <v>1.4373716632443532</v>
      </c>
      <c r="Q30" s="665">
        <v>490</v>
      </c>
    </row>
    <row r="31" spans="1:17" ht="14.4" customHeight="1" x14ac:dyDescent="0.3">
      <c r="A31" s="660" t="s">
        <v>1435</v>
      </c>
      <c r="B31" s="661" t="s">
        <v>1256</v>
      </c>
      <c r="C31" s="661" t="s">
        <v>1327</v>
      </c>
      <c r="D31" s="661" t="s">
        <v>1389</v>
      </c>
      <c r="E31" s="661" t="s">
        <v>1390</v>
      </c>
      <c r="F31" s="664"/>
      <c r="G31" s="664"/>
      <c r="H31" s="664"/>
      <c r="I31" s="664"/>
      <c r="J31" s="664"/>
      <c r="K31" s="664"/>
      <c r="L31" s="664"/>
      <c r="M31" s="664"/>
      <c r="N31" s="664">
        <v>1</v>
      </c>
      <c r="O31" s="664">
        <v>2258</v>
      </c>
      <c r="P31" s="677"/>
      <c r="Q31" s="665">
        <v>2258</v>
      </c>
    </row>
    <row r="32" spans="1:17" ht="14.4" customHeight="1" x14ac:dyDescent="0.3">
      <c r="A32" s="660" t="s">
        <v>1435</v>
      </c>
      <c r="B32" s="661" t="s">
        <v>1256</v>
      </c>
      <c r="C32" s="661" t="s">
        <v>1327</v>
      </c>
      <c r="D32" s="661" t="s">
        <v>1391</v>
      </c>
      <c r="E32" s="661" t="s">
        <v>1392</v>
      </c>
      <c r="F32" s="664">
        <v>1</v>
      </c>
      <c r="G32" s="664">
        <v>2535</v>
      </c>
      <c r="H32" s="664">
        <v>1</v>
      </c>
      <c r="I32" s="664">
        <v>2535</v>
      </c>
      <c r="J32" s="664"/>
      <c r="K32" s="664"/>
      <c r="L32" s="664"/>
      <c r="M32" s="664"/>
      <c r="N32" s="664"/>
      <c r="O32" s="664"/>
      <c r="P32" s="677"/>
      <c r="Q32" s="665"/>
    </row>
    <row r="33" spans="1:17" ht="14.4" customHeight="1" x14ac:dyDescent="0.3">
      <c r="A33" s="660" t="s">
        <v>1436</v>
      </c>
      <c r="B33" s="661" t="s">
        <v>1256</v>
      </c>
      <c r="C33" s="661" t="s">
        <v>1257</v>
      </c>
      <c r="D33" s="661" t="s">
        <v>1258</v>
      </c>
      <c r="E33" s="661" t="s">
        <v>732</v>
      </c>
      <c r="F33" s="664"/>
      <c r="G33" s="664"/>
      <c r="H33" s="664"/>
      <c r="I33" s="664"/>
      <c r="J33" s="664">
        <v>0.5</v>
      </c>
      <c r="K33" s="664">
        <v>989.02</v>
      </c>
      <c r="L33" s="664"/>
      <c r="M33" s="664">
        <v>1978.04</v>
      </c>
      <c r="N33" s="664">
        <v>0.45</v>
      </c>
      <c r="O33" s="664">
        <v>856.2</v>
      </c>
      <c r="P33" s="677"/>
      <c r="Q33" s="665">
        <v>1902.6666666666667</v>
      </c>
    </row>
    <row r="34" spans="1:17" ht="14.4" customHeight="1" x14ac:dyDescent="0.3">
      <c r="A34" s="660" t="s">
        <v>1436</v>
      </c>
      <c r="B34" s="661" t="s">
        <v>1256</v>
      </c>
      <c r="C34" s="661" t="s">
        <v>1257</v>
      </c>
      <c r="D34" s="661" t="s">
        <v>1262</v>
      </c>
      <c r="E34" s="661" t="s">
        <v>1248</v>
      </c>
      <c r="F34" s="664"/>
      <c r="G34" s="664"/>
      <c r="H34" s="664"/>
      <c r="I34" s="664"/>
      <c r="J34" s="664">
        <v>1.2</v>
      </c>
      <c r="K34" s="664">
        <v>1310.5900000000001</v>
      </c>
      <c r="L34" s="664"/>
      <c r="M34" s="664">
        <v>1092.1583333333335</v>
      </c>
      <c r="N34" s="664"/>
      <c r="O34" s="664"/>
      <c r="P34" s="677"/>
      <c r="Q34" s="665"/>
    </row>
    <row r="35" spans="1:17" ht="14.4" customHeight="1" x14ac:dyDescent="0.3">
      <c r="A35" s="660" t="s">
        <v>1436</v>
      </c>
      <c r="B35" s="661" t="s">
        <v>1256</v>
      </c>
      <c r="C35" s="661" t="s">
        <v>1257</v>
      </c>
      <c r="D35" s="661" t="s">
        <v>1263</v>
      </c>
      <c r="E35" s="661" t="s">
        <v>743</v>
      </c>
      <c r="F35" s="664">
        <v>2.2000000000000002</v>
      </c>
      <c r="G35" s="664">
        <v>4805.49</v>
      </c>
      <c r="H35" s="664">
        <v>1</v>
      </c>
      <c r="I35" s="664">
        <v>2184.3136363636363</v>
      </c>
      <c r="J35" s="664">
        <v>2.4500000000000002</v>
      </c>
      <c r="K35" s="664">
        <v>5351.57</v>
      </c>
      <c r="L35" s="664">
        <v>1.1136366946971068</v>
      </c>
      <c r="M35" s="664">
        <v>2184.3142857142852</v>
      </c>
      <c r="N35" s="664">
        <v>1.05</v>
      </c>
      <c r="O35" s="664">
        <v>1859.3400000000001</v>
      </c>
      <c r="P35" s="677">
        <v>0.38691996029541215</v>
      </c>
      <c r="Q35" s="665">
        <v>1770.8</v>
      </c>
    </row>
    <row r="36" spans="1:17" ht="14.4" customHeight="1" x14ac:dyDescent="0.3">
      <c r="A36" s="660" t="s">
        <v>1436</v>
      </c>
      <c r="B36" s="661" t="s">
        <v>1256</v>
      </c>
      <c r="C36" s="661" t="s">
        <v>1257</v>
      </c>
      <c r="D36" s="661" t="s">
        <v>1264</v>
      </c>
      <c r="E36" s="661" t="s">
        <v>736</v>
      </c>
      <c r="F36" s="664">
        <v>0.1</v>
      </c>
      <c r="G36" s="664">
        <v>94.48</v>
      </c>
      <c r="H36" s="664">
        <v>1</v>
      </c>
      <c r="I36" s="664">
        <v>944.8</v>
      </c>
      <c r="J36" s="664">
        <v>0.05</v>
      </c>
      <c r="K36" s="664">
        <v>47.24</v>
      </c>
      <c r="L36" s="664">
        <v>0.5</v>
      </c>
      <c r="M36" s="664">
        <v>944.8</v>
      </c>
      <c r="N36" s="664">
        <v>0.1</v>
      </c>
      <c r="O36" s="664">
        <v>90.38</v>
      </c>
      <c r="P36" s="677">
        <v>0.95660457239627428</v>
      </c>
      <c r="Q36" s="665">
        <v>903.8</v>
      </c>
    </row>
    <row r="37" spans="1:17" ht="14.4" customHeight="1" x14ac:dyDescent="0.3">
      <c r="A37" s="660" t="s">
        <v>1436</v>
      </c>
      <c r="B37" s="661" t="s">
        <v>1256</v>
      </c>
      <c r="C37" s="661" t="s">
        <v>1268</v>
      </c>
      <c r="D37" s="661" t="s">
        <v>1273</v>
      </c>
      <c r="E37" s="661" t="s">
        <v>1274</v>
      </c>
      <c r="F37" s="664">
        <v>2895</v>
      </c>
      <c r="G37" s="664">
        <v>13839</v>
      </c>
      <c r="H37" s="664">
        <v>1</v>
      </c>
      <c r="I37" s="664">
        <v>4.7803108808290151</v>
      </c>
      <c r="J37" s="664">
        <v>2140</v>
      </c>
      <c r="K37" s="664">
        <v>10914</v>
      </c>
      <c r="L37" s="664">
        <v>0.78864079774550189</v>
      </c>
      <c r="M37" s="664">
        <v>5.0999999999999996</v>
      </c>
      <c r="N37" s="664">
        <v>3580</v>
      </c>
      <c r="O37" s="664">
        <v>19045.600000000002</v>
      </c>
      <c r="P37" s="677">
        <v>1.3762266059686394</v>
      </c>
      <c r="Q37" s="665">
        <v>5.32</v>
      </c>
    </row>
    <row r="38" spans="1:17" ht="14.4" customHeight="1" x14ac:dyDescent="0.3">
      <c r="A38" s="660" t="s">
        <v>1436</v>
      </c>
      <c r="B38" s="661" t="s">
        <v>1256</v>
      </c>
      <c r="C38" s="661" t="s">
        <v>1268</v>
      </c>
      <c r="D38" s="661" t="s">
        <v>1295</v>
      </c>
      <c r="E38" s="661" t="s">
        <v>1296</v>
      </c>
      <c r="F38" s="664"/>
      <c r="G38" s="664"/>
      <c r="H38" s="664"/>
      <c r="I38" s="664"/>
      <c r="J38" s="664"/>
      <c r="K38" s="664"/>
      <c r="L38" s="664"/>
      <c r="M38" s="664"/>
      <c r="N38" s="664">
        <v>5</v>
      </c>
      <c r="O38" s="664">
        <v>7271.4</v>
      </c>
      <c r="P38" s="677"/>
      <c r="Q38" s="665">
        <v>1454.28</v>
      </c>
    </row>
    <row r="39" spans="1:17" ht="14.4" customHeight="1" x14ac:dyDescent="0.3">
      <c r="A39" s="660" t="s">
        <v>1436</v>
      </c>
      <c r="B39" s="661" t="s">
        <v>1256</v>
      </c>
      <c r="C39" s="661" t="s">
        <v>1268</v>
      </c>
      <c r="D39" s="661" t="s">
        <v>1299</v>
      </c>
      <c r="E39" s="661" t="s">
        <v>1300</v>
      </c>
      <c r="F39" s="664">
        <v>12</v>
      </c>
      <c r="G39" s="664">
        <v>27443.759999999998</v>
      </c>
      <c r="H39" s="664">
        <v>1</v>
      </c>
      <c r="I39" s="664">
        <v>2286.98</v>
      </c>
      <c r="J39" s="664">
        <v>8</v>
      </c>
      <c r="K39" s="664">
        <v>17562.8</v>
      </c>
      <c r="L39" s="664">
        <v>0.63995604100895798</v>
      </c>
      <c r="M39" s="664">
        <v>2195.35</v>
      </c>
      <c r="N39" s="664">
        <v>13</v>
      </c>
      <c r="O39" s="664">
        <v>28516.540000000008</v>
      </c>
      <c r="P39" s="677">
        <v>1.0390901246767938</v>
      </c>
      <c r="Q39" s="665">
        <v>2193.5800000000008</v>
      </c>
    </row>
    <row r="40" spans="1:17" ht="14.4" customHeight="1" x14ac:dyDescent="0.3">
      <c r="A40" s="660" t="s">
        <v>1436</v>
      </c>
      <c r="B40" s="661" t="s">
        <v>1256</v>
      </c>
      <c r="C40" s="661" t="s">
        <v>1268</v>
      </c>
      <c r="D40" s="661" t="s">
        <v>1309</v>
      </c>
      <c r="E40" s="661" t="s">
        <v>1310</v>
      </c>
      <c r="F40" s="664">
        <v>2749</v>
      </c>
      <c r="G40" s="664">
        <v>90866.33</v>
      </c>
      <c r="H40" s="664">
        <v>1</v>
      </c>
      <c r="I40" s="664">
        <v>33.054321571480536</v>
      </c>
      <c r="J40" s="664">
        <v>2948</v>
      </c>
      <c r="K40" s="664">
        <v>98168.4</v>
      </c>
      <c r="L40" s="664">
        <v>1.080360569200935</v>
      </c>
      <c r="M40" s="664">
        <v>33.299999999999997</v>
      </c>
      <c r="N40" s="664">
        <v>1292</v>
      </c>
      <c r="O40" s="664">
        <v>43346.6</v>
      </c>
      <c r="P40" s="677">
        <v>0.47703698388611049</v>
      </c>
      <c r="Q40" s="665">
        <v>33.549999999999997</v>
      </c>
    </row>
    <row r="41" spans="1:17" ht="14.4" customHeight="1" x14ac:dyDescent="0.3">
      <c r="A41" s="660" t="s">
        <v>1436</v>
      </c>
      <c r="B41" s="661" t="s">
        <v>1256</v>
      </c>
      <c r="C41" s="661" t="s">
        <v>1324</v>
      </c>
      <c r="D41" s="661" t="s">
        <v>1325</v>
      </c>
      <c r="E41" s="661" t="s">
        <v>1326</v>
      </c>
      <c r="F41" s="664"/>
      <c r="G41" s="664"/>
      <c r="H41" s="664"/>
      <c r="I41" s="664"/>
      <c r="J41" s="664">
        <v>6</v>
      </c>
      <c r="K41" s="664">
        <v>5305.92</v>
      </c>
      <c r="L41" s="664"/>
      <c r="M41" s="664">
        <v>884.32</v>
      </c>
      <c r="N41" s="664">
        <v>3</v>
      </c>
      <c r="O41" s="664">
        <v>2652.96</v>
      </c>
      <c r="P41" s="677"/>
      <c r="Q41" s="665">
        <v>884.32</v>
      </c>
    </row>
    <row r="42" spans="1:17" ht="14.4" customHeight="1" x14ac:dyDescent="0.3">
      <c r="A42" s="660" t="s">
        <v>1436</v>
      </c>
      <c r="B42" s="661" t="s">
        <v>1256</v>
      </c>
      <c r="C42" s="661" t="s">
        <v>1327</v>
      </c>
      <c r="D42" s="661" t="s">
        <v>1357</v>
      </c>
      <c r="E42" s="661" t="s">
        <v>1358</v>
      </c>
      <c r="F42" s="664">
        <v>12</v>
      </c>
      <c r="G42" s="664">
        <v>7848</v>
      </c>
      <c r="H42" s="664">
        <v>1</v>
      </c>
      <c r="I42" s="664">
        <v>654</v>
      </c>
      <c r="J42" s="664">
        <v>8</v>
      </c>
      <c r="K42" s="664">
        <v>5232</v>
      </c>
      <c r="L42" s="664">
        <v>0.66666666666666663</v>
      </c>
      <c r="M42" s="664">
        <v>654</v>
      </c>
      <c r="N42" s="664">
        <v>12</v>
      </c>
      <c r="O42" s="664">
        <v>7896</v>
      </c>
      <c r="P42" s="677">
        <v>1.0061162079510704</v>
      </c>
      <c r="Q42" s="665">
        <v>658</v>
      </c>
    </row>
    <row r="43" spans="1:17" ht="14.4" customHeight="1" x14ac:dyDescent="0.3">
      <c r="A43" s="660" t="s">
        <v>1436</v>
      </c>
      <c r="B43" s="661" t="s">
        <v>1256</v>
      </c>
      <c r="C43" s="661" t="s">
        <v>1327</v>
      </c>
      <c r="D43" s="661" t="s">
        <v>1361</v>
      </c>
      <c r="E43" s="661" t="s">
        <v>1362</v>
      </c>
      <c r="F43" s="664">
        <v>6</v>
      </c>
      <c r="G43" s="664">
        <v>10524</v>
      </c>
      <c r="H43" s="664">
        <v>1</v>
      </c>
      <c r="I43" s="664">
        <v>1754</v>
      </c>
      <c r="J43" s="664">
        <v>4</v>
      </c>
      <c r="K43" s="664">
        <v>7016</v>
      </c>
      <c r="L43" s="664">
        <v>0.66666666666666663</v>
      </c>
      <c r="M43" s="664">
        <v>1754</v>
      </c>
      <c r="N43" s="664">
        <v>7</v>
      </c>
      <c r="O43" s="664">
        <v>12334</v>
      </c>
      <c r="P43" s="677">
        <v>1.1719878373242114</v>
      </c>
      <c r="Q43" s="665">
        <v>1762</v>
      </c>
    </row>
    <row r="44" spans="1:17" ht="14.4" customHeight="1" x14ac:dyDescent="0.3">
      <c r="A44" s="660" t="s">
        <v>1436</v>
      </c>
      <c r="B44" s="661" t="s">
        <v>1256</v>
      </c>
      <c r="C44" s="661" t="s">
        <v>1327</v>
      </c>
      <c r="D44" s="661" t="s">
        <v>1369</v>
      </c>
      <c r="E44" s="661" t="s">
        <v>1370</v>
      </c>
      <c r="F44" s="664">
        <v>6</v>
      </c>
      <c r="G44" s="664">
        <v>85968</v>
      </c>
      <c r="H44" s="664">
        <v>1</v>
      </c>
      <c r="I44" s="664">
        <v>14328</v>
      </c>
      <c r="J44" s="664">
        <v>7</v>
      </c>
      <c r="K44" s="664">
        <v>100296</v>
      </c>
      <c r="L44" s="664">
        <v>1.1666666666666667</v>
      </c>
      <c r="M44" s="664">
        <v>14328</v>
      </c>
      <c r="N44" s="664">
        <v>3</v>
      </c>
      <c r="O44" s="664">
        <v>43020</v>
      </c>
      <c r="P44" s="677">
        <v>0.50041876046901168</v>
      </c>
      <c r="Q44" s="665">
        <v>14340</v>
      </c>
    </row>
    <row r="45" spans="1:17" ht="14.4" customHeight="1" x14ac:dyDescent="0.3">
      <c r="A45" s="660" t="s">
        <v>1436</v>
      </c>
      <c r="B45" s="661" t="s">
        <v>1256</v>
      </c>
      <c r="C45" s="661" t="s">
        <v>1327</v>
      </c>
      <c r="D45" s="661" t="s">
        <v>1387</v>
      </c>
      <c r="E45" s="661" t="s">
        <v>1388</v>
      </c>
      <c r="F45" s="664">
        <v>18</v>
      </c>
      <c r="G45" s="664">
        <v>8766</v>
      </c>
      <c r="H45" s="664">
        <v>1</v>
      </c>
      <c r="I45" s="664">
        <v>487</v>
      </c>
      <c r="J45" s="664">
        <v>13</v>
      </c>
      <c r="K45" s="664">
        <v>6331</v>
      </c>
      <c r="L45" s="664">
        <v>0.72222222222222221</v>
      </c>
      <c r="M45" s="664">
        <v>487</v>
      </c>
      <c r="N45" s="664">
        <v>20</v>
      </c>
      <c r="O45" s="664">
        <v>9800</v>
      </c>
      <c r="P45" s="677">
        <v>1.1179557380789413</v>
      </c>
      <c r="Q45" s="665">
        <v>490</v>
      </c>
    </row>
    <row r="46" spans="1:17" ht="14.4" customHeight="1" x14ac:dyDescent="0.3">
      <c r="A46" s="660" t="s">
        <v>1436</v>
      </c>
      <c r="B46" s="661" t="s">
        <v>1256</v>
      </c>
      <c r="C46" s="661" t="s">
        <v>1327</v>
      </c>
      <c r="D46" s="661" t="s">
        <v>1401</v>
      </c>
      <c r="E46" s="661" t="s">
        <v>1402</v>
      </c>
      <c r="F46" s="664"/>
      <c r="G46" s="664"/>
      <c r="H46" s="664"/>
      <c r="I46" s="664"/>
      <c r="J46" s="664"/>
      <c r="K46" s="664"/>
      <c r="L46" s="664"/>
      <c r="M46" s="664"/>
      <c r="N46" s="664">
        <v>1</v>
      </c>
      <c r="O46" s="664">
        <v>134</v>
      </c>
      <c r="P46" s="677"/>
      <c r="Q46" s="665">
        <v>134</v>
      </c>
    </row>
    <row r="47" spans="1:17" ht="14.4" customHeight="1" x14ac:dyDescent="0.3">
      <c r="A47" s="660" t="s">
        <v>1437</v>
      </c>
      <c r="B47" s="661" t="s">
        <v>1256</v>
      </c>
      <c r="C47" s="661" t="s">
        <v>1257</v>
      </c>
      <c r="D47" s="661" t="s">
        <v>1258</v>
      </c>
      <c r="E47" s="661" t="s">
        <v>732</v>
      </c>
      <c r="F47" s="664"/>
      <c r="G47" s="664"/>
      <c r="H47" s="664"/>
      <c r="I47" s="664"/>
      <c r="J47" s="664"/>
      <c r="K47" s="664"/>
      <c r="L47" s="664"/>
      <c r="M47" s="664"/>
      <c r="N47" s="664">
        <v>0.45</v>
      </c>
      <c r="O47" s="664">
        <v>856.2</v>
      </c>
      <c r="P47" s="677"/>
      <c r="Q47" s="665">
        <v>1902.6666666666667</v>
      </c>
    </row>
    <row r="48" spans="1:17" ht="14.4" customHeight="1" x14ac:dyDescent="0.3">
      <c r="A48" s="660" t="s">
        <v>1437</v>
      </c>
      <c r="B48" s="661" t="s">
        <v>1256</v>
      </c>
      <c r="C48" s="661" t="s">
        <v>1257</v>
      </c>
      <c r="D48" s="661" t="s">
        <v>1262</v>
      </c>
      <c r="E48" s="661" t="s">
        <v>1248</v>
      </c>
      <c r="F48" s="664">
        <v>1</v>
      </c>
      <c r="G48" s="664">
        <v>1092.1600000000001</v>
      </c>
      <c r="H48" s="664">
        <v>1</v>
      </c>
      <c r="I48" s="664">
        <v>1092.1600000000001</v>
      </c>
      <c r="J48" s="664">
        <v>0.2</v>
      </c>
      <c r="K48" s="664">
        <v>218.43</v>
      </c>
      <c r="L48" s="664">
        <v>0.1999981687664811</v>
      </c>
      <c r="M48" s="664">
        <v>1092.1499999999999</v>
      </c>
      <c r="N48" s="664"/>
      <c r="O48" s="664"/>
      <c r="P48" s="677"/>
      <c r="Q48" s="665"/>
    </row>
    <row r="49" spans="1:17" ht="14.4" customHeight="1" x14ac:dyDescent="0.3">
      <c r="A49" s="660" t="s">
        <v>1437</v>
      </c>
      <c r="B49" s="661" t="s">
        <v>1256</v>
      </c>
      <c r="C49" s="661" t="s">
        <v>1257</v>
      </c>
      <c r="D49" s="661" t="s">
        <v>1263</v>
      </c>
      <c r="E49" s="661" t="s">
        <v>743</v>
      </c>
      <c r="F49" s="664">
        <v>3.9000000000000004</v>
      </c>
      <c r="G49" s="664">
        <v>8518.84</v>
      </c>
      <c r="H49" s="664">
        <v>1</v>
      </c>
      <c r="I49" s="664">
        <v>2184.3179487179486</v>
      </c>
      <c r="J49" s="664">
        <v>8.4500000000000011</v>
      </c>
      <c r="K49" s="664">
        <v>18457.449999999997</v>
      </c>
      <c r="L49" s="664">
        <v>2.1666623624812762</v>
      </c>
      <c r="M49" s="664">
        <v>2184.3136094674551</v>
      </c>
      <c r="N49" s="664">
        <v>1.85</v>
      </c>
      <c r="O49" s="664">
        <v>3275.98</v>
      </c>
      <c r="P49" s="677">
        <v>0.38455705236863236</v>
      </c>
      <c r="Q49" s="665">
        <v>1770.8</v>
      </c>
    </row>
    <row r="50" spans="1:17" ht="14.4" customHeight="1" x14ac:dyDescent="0.3">
      <c r="A50" s="660" t="s">
        <v>1437</v>
      </c>
      <c r="B50" s="661" t="s">
        <v>1256</v>
      </c>
      <c r="C50" s="661" t="s">
        <v>1257</v>
      </c>
      <c r="D50" s="661" t="s">
        <v>1264</v>
      </c>
      <c r="E50" s="661" t="s">
        <v>736</v>
      </c>
      <c r="F50" s="664">
        <v>0.25</v>
      </c>
      <c r="G50" s="664">
        <v>236.20000000000002</v>
      </c>
      <c r="H50" s="664">
        <v>1</v>
      </c>
      <c r="I50" s="664">
        <v>944.80000000000007</v>
      </c>
      <c r="J50" s="664">
        <v>0.3</v>
      </c>
      <c r="K50" s="664">
        <v>283.44</v>
      </c>
      <c r="L50" s="664">
        <v>1.2</v>
      </c>
      <c r="M50" s="664">
        <v>944.80000000000007</v>
      </c>
      <c r="N50" s="664">
        <v>0.1</v>
      </c>
      <c r="O50" s="664">
        <v>90.38</v>
      </c>
      <c r="P50" s="677">
        <v>0.38264182895850968</v>
      </c>
      <c r="Q50" s="665">
        <v>903.8</v>
      </c>
    </row>
    <row r="51" spans="1:17" ht="14.4" customHeight="1" x14ac:dyDescent="0.3">
      <c r="A51" s="660" t="s">
        <v>1437</v>
      </c>
      <c r="B51" s="661" t="s">
        <v>1256</v>
      </c>
      <c r="C51" s="661" t="s">
        <v>1257</v>
      </c>
      <c r="D51" s="661" t="s">
        <v>1265</v>
      </c>
      <c r="E51" s="661" t="s">
        <v>1266</v>
      </c>
      <c r="F51" s="664"/>
      <c r="G51" s="664"/>
      <c r="H51" s="664"/>
      <c r="I51" s="664"/>
      <c r="J51" s="664">
        <v>0.5</v>
      </c>
      <c r="K51" s="664">
        <v>6200</v>
      </c>
      <c r="L51" s="664"/>
      <c r="M51" s="664">
        <v>12400</v>
      </c>
      <c r="N51" s="664"/>
      <c r="O51" s="664"/>
      <c r="P51" s="677"/>
      <c r="Q51" s="665"/>
    </row>
    <row r="52" spans="1:17" ht="14.4" customHeight="1" x14ac:dyDescent="0.3">
      <c r="A52" s="660" t="s">
        <v>1437</v>
      </c>
      <c r="B52" s="661" t="s">
        <v>1256</v>
      </c>
      <c r="C52" s="661" t="s">
        <v>1268</v>
      </c>
      <c r="D52" s="661" t="s">
        <v>1271</v>
      </c>
      <c r="E52" s="661" t="s">
        <v>1272</v>
      </c>
      <c r="F52" s="664">
        <v>580</v>
      </c>
      <c r="G52" s="664">
        <v>1103.8</v>
      </c>
      <c r="H52" s="664">
        <v>1</v>
      </c>
      <c r="I52" s="664">
        <v>1.903103448275862</v>
      </c>
      <c r="J52" s="664">
        <v>100</v>
      </c>
      <c r="K52" s="664">
        <v>200</v>
      </c>
      <c r="L52" s="664">
        <v>0.18119224497191522</v>
      </c>
      <c r="M52" s="664">
        <v>2</v>
      </c>
      <c r="N52" s="664">
        <v>320</v>
      </c>
      <c r="O52" s="664">
        <v>675.2</v>
      </c>
      <c r="P52" s="677">
        <v>0.61170501902518581</v>
      </c>
      <c r="Q52" s="665">
        <v>2.1100000000000003</v>
      </c>
    </row>
    <row r="53" spans="1:17" ht="14.4" customHeight="1" x14ac:dyDescent="0.3">
      <c r="A53" s="660" t="s">
        <v>1437</v>
      </c>
      <c r="B53" s="661" t="s">
        <v>1256</v>
      </c>
      <c r="C53" s="661" t="s">
        <v>1268</v>
      </c>
      <c r="D53" s="661" t="s">
        <v>1273</v>
      </c>
      <c r="E53" s="661" t="s">
        <v>1274</v>
      </c>
      <c r="F53" s="664">
        <v>5770</v>
      </c>
      <c r="G53" s="664">
        <v>27604.600000000002</v>
      </c>
      <c r="H53" s="664">
        <v>1</v>
      </c>
      <c r="I53" s="664">
        <v>4.7841594454072798</v>
      </c>
      <c r="J53" s="664">
        <v>5770</v>
      </c>
      <c r="K53" s="664">
        <v>29427</v>
      </c>
      <c r="L53" s="664">
        <v>1.0660179825101612</v>
      </c>
      <c r="M53" s="664">
        <v>5.0999999999999996</v>
      </c>
      <c r="N53" s="664">
        <v>6320</v>
      </c>
      <c r="O53" s="664">
        <v>33622.400000000001</v>
      </c>
      <c r="P53" s="677">
        <v>1.2179998985676299</v>
      </c>
      <c r="Q53" s="665">
        <v>5.32</v>
      </c>
    </row>
    <row r="54" spans="1:17" ht="14.4" customHeight="1" x14ac:dyDescent="0.3">
      <c r="A54" s="660" t="s">
        <v>1437</v>
      </c>
      <c r="B54" s="661" t="s">
        <v>1256</v>
      </c>
      <c r="C54" s="661" t="s">
        <v>1268</v>
      </c>
      <c r="D54" s="661" t="s">
        <v>1281</v>
      </c>
      <c r="E54" s="661" t="s">
        <v>1282</v>
      </c>
      <c r="F54" s="664">
        <v>11500</v>
      </c>
      <c r="G54" s="664">
        <v>63790</v>
      </c>
      <c r="H54" s="664">
        <v>1</v>
      </c>
      <c r="I54" s="664">
        <v>5.5469565217391308</v>
      </c>
      <c r="J54" s="664">
        <v>5400</v>
      </c>
      <c r="K54" s="664">
        <v>29970</v>
      </c>
      <c r="L54" s="664">
        <v>0.46982285624706066</v>
      </c>
      <c r="M54" s="664">
        <v>5.55</v>
      </c>
      <c r="N54" s="664">
        <v>6494</v>
      </c>
      <c r="O54" s="664">
        <v>37924.959999999999</v>
      </c>
      <c r="P54" s="677">
        <v>0.59452829597115531</v>
      </c>
      <c r="Q54" s="665">
        <v>5.84</v>
      </c>
    </row>
    <row r="55" spans="1:17" ht="14.4" customHeight="1" x14ac:dyDescent="0.3">
      <c r="A55" s="660" t="s">
        <v>1437</v>
      </c>
      <c r="B55" s="661" t="s">
        <v>1256</v>
      </c>
      <c r="C55" s="661" t="s">
        <v>1268</v>
      </c>
      <c r="D55" s="661" t="s">
        <v>1285</v>
      </c>
      <c r="E55" s="661" t="s">
        <v>1286</v>
      </c>
      <c r="F55" s="664">
        <v>100</v>
      </c>
      <c r="G55" s="664">
        <v>780.59999999999991</v>
      </c>
      <c r="H55" s="664">
        <v>1</v>
      </c>
      <c r="I55" s="664">
        <v>7.8059999999999992</v>
      </c>
      <c r="J55" s="664">
        <v>240</v>
      </c>
      <c r="K55" s="664">
        <v>1893.6000000000001</v>
      </c>
      <c r="L55" s="664">
        <v>2.4258262874711765</v>
      </c>
      <c r="M55" s="664">
        <v>7.8900000000000006</v>
      </c>
      <c r="N55" s="664">
        <v>30</v>
      </c>
      <c r="O55" s="664">
        <v>241.5</v>
      </c>
      <c r="P55" s="677">
        <v>0.30937740199846275</v>
      </c>
      <c r="Q55" s="665">
        <v>8.0500000000000007</v>
      </c>
    </row>
    <row r="56" spans="1:17" ht="14.4" customHeight="1" x14ac:dyDescent="0.3">
      <c r="A56" s="660" t="s">
        <v>1437</v>
      </c>
      <c r="B56" s="661" t="s">
        <v>1256</v>
      </c>
      <c r="C56" s="661" t="s">
        <v>1268</v>
      </c>
      <c r="D56" s="661" t="s">
        <v>1293</v>
      </c>
      <c r="E56" s="661" t="s">
        <v>1294</v>
      </c>
      <c r="F56" s="664"/>
      <c r="G56" s="664"/>
      <c r="H56" s="664"/>
      <c r="I56" s="664"/>
      <c r="J56" s="664">
        <v>1077</v>
      </c>
      <c r="K56" s="664">
        <v>20592.240000000002</v>
      </c>
      <c r="L56" s="664"/>
      <c r="M56" s="664">
        <v>19.12</v>
      </c>
      <c r="N56" s="664">
        <v>1602</v>
      </c>
      <c r="O56" s="664">
        <v>31943.879999999997</v>
      </c>
      <c r="P56" s="677"/>
      <c r="Q56" s="665">
        <v>19.939999999999998</v>
      </c>
    </row>
    <row r="57" spans="1:17" ht="14.4" customHeight="1" x14ac:dyDescent="0.3">
      <c r="A57" s="660" t="s">
        <v>1437</v>
      </c>
      <c r="B57" s="661" t="s">
        <v>1256</v>
      </c>
      <c r="C57" s="661" t="s">
        <v>1268</v>
      </c>
      <c r="D57" s="661" t="s">
        <v>1299</v>
      </c>
      <c r="E57" s="661" t="s">
        <v>1300</v>
      </c>
      <c r="F57" s="664">
        <v>13</v>
      </c>
      <c r="G57" s="664">
        <v>29781.02</v>
      </c>
      <c r="H57" s="664">
        <v>1</v>
      </c>
      <c r="I57" s="664">
        <v>2290.8476923076923</v>
      </c>
      <c r="J57" s="664">
        <v>13</v>
      </c>
      <c r="K57" s="664">
        <v>28539.549999999996</v>
      </c>
      <c r="L57" s="664">
        <v>0.95831338214742123</v>
      </c>
      <c r="M57" s="664">
        <v>2195.3499999999995</v>
      </c>
      <c r="N57" s="664">
        <v>15</v>
      </c>
      <c r="O57" s="664">
        <v>32903.700000000004</v>
      </c>
      <c r="P57" s="677">
        <v>1.1048547027603488</v>
      </c>
      <c r="Q57" s="665">
        <v>2193.5800000000004</v>
      </c>
    </row>
    <row r="58" spans="1:17" ht="14.4" customHeight="1" x14ac:dyDescent="0.3">
      <c r="A58" s="660" t="s">
        <v>1437</v>
      </c>
      <c r="B58" s="661" t="s">
        <v>1256</v>
      </c>
      <c r="C58" s="661" t="s">
        <v>1268</v>
      </c>
      <c r="D58" s="661" t="s">
        <v>1303</v>
      </c>
      <c r="E58" s="661" t="s">
        <v>1304</v>
      </c>
      <c r="F58" s="664">
        <v>1926</v>
      </c>
      <c r="G58" s="664">
        <v>6009.1200000000008</v>
      </c>
      <c r="H58" s="664">
        <v>1</v>
      </c>
      <c r="I58" s="664">
        <v>3.1200000000000006</v>
      </c>
      <c r="J58" s="664">
        <v>5103</v>
      </c>
      <c r="K58" s="664">
        <v>16635.78</v>
      </c>
      <c r="L58" s="664">
        <v>2.768421998562185</v>
      </c>
      <c r="M58" s="664">
        <v>3.26</v>
      </c>
      <c r="N58" s="664">
        <v>3397</v>
      </c>
      <c r="O58" s="664">
        <v>11617.74</v>
      </c>
      <c r="P58" s="677">
        <v>1.9333513060148571</v>
      </c>
      <c r="Q58" s="665">
        <v>3.42</v>
      </c>
    </row>
    <row r="59" spans="1:17" ht="14.4" customHeight="1" x14ac:dyDescent="0.3">
      <c r="A59" s="660" t="s">
        <v>1437</v>
      </c>
      <c r="B59" s="661" t="s">
        <v>1256</v>
      </c>
      <c r="C59" s="661" t="s">
        <v>1268</v>
      </c>
      <c r="D59" s="661" t="s">
        <v>1309</v>
      </c>
      <c r="E59" s="661" t="s">
        <v>1310</v>
      </c>
      <c r="F59" s="664">
        <v>4204</v>
      </c>
      <c r="G59" s="664">
        <v>139251.43000000002</v>
      </c>
      <c r="H59" s="664">
        <v>1</v>
      </c>
      <c r="I59" s="664">
        <v>33.123556137012372</v>
      </c>
      <c r="J59" s="664">
        <v>7871</v>
      </c>
      <c r="K59" s="664">
        <v>262104.3</v>
      </c>
      <c r="L59" s="664">
        <v>1.8822377622980242</v>
      </c>
      <c r="M59" s="664">
        <v>33.299999999999997</v>
      </c>
      <c r="N59" s="664">
        <v>2037</v>
      </c>
      <c r="O59" s="664">
        <v>68341.350000000006</v>
      </c>
      <c r="P59" s="677">
        <v>0.49077664767966833</v>
      </c>
      <c r="Q59" s="665">
        <v>33.550000000000004</v>
      </c>
    </row>
    <row r="60" spans="1:17" ht="14.4" customHeight="1" x14ac:dyDescent="0.3">
      <c r="A60" s="660" t="s">
        <v>1437</v>
      </c>
      <c r="B60" s="661" t="s">
        <v>1256</v>
      </c>
      <c r="C60" s="661" t="s">
        <v>1268</v>
      </c>
      <c r="D60" s="661" t="s">
        <v>1313</v>
      </c>
      <c r="E60" s="661" t="s">
        <v>1314</v>
      </c>
      <c r="F60" s="664"/>
      <c r="G60" s="664"/>
      <c r="H60" s="664"/>
      <c r="I60" s="664"/>
      <c r="J60" s="664"/>
      <c r="K60" s="664"/>
      <c r="L60" s="664"/>
      <c r="M60" s="664"/>
      <c r="N60" s="664">
        <v>30</v>
      </c>
      <c r="O60" s="664">
        <v>607.20000000000005</v>
      </c>
      <c r="P60" s="677"/>
      <c r="Q60" s="665">
        <v>20.240000000000002</v>
      </c>
    </row>
    <row r="61" spans="1:17" ht="14.4" customHeight="1" x14ac:dyDescent="0.3">
      <c r="A61" s="660" t="s">
        <v>1437</v>
      </c>
      <c r="B61" s="661" t="s">
        <v>1256</v>
      </c>
      <c r="C61" s="661" t="s">
        <v>1268</v>
      </c>
      <c r="D61" s="661" t="s">
        <v>1323</v>
      </c>
      <c r="E61" s="661" t="s">
        <v>1248</v>
      </c>
      <c r="F61" s="664"/>
      <c r="G61" s="664"/>
      <c r="H61" s="664"/>
      <c r="I61" s="664"/>
      <c r="J61" s="664"/>
      <c r="K61" s="664"/>
      <c r="L61" s="664"/>
      <c r="M61" s="664"/>
      <c r="N61" s="664">
        <v>0.5</v>
      </c>
      <c r="O61" s="664">
        <v>6203</v>
      </c>
      <c r="P61" s="677"/>
      <c r="Q61" s="665">
        <v>12406</v>
      </c>
    </row>
    <row r="62" spans="1:17" ht="14.4" customHeight="1" x14ac:dyDescent="0.3">
      <c r="A62" s="660" t="s">
        <v>1437</v>
      </c>
      <c r="B62" s="661" t="s">
        <v>1256</v>
      </c>
      <c r="C62" s="661" t="s">
        <v>1324</v>
      </c>
      <c r="D62" s="661" t="s">
        <v>1325</v>
      </c>
      <c r="E62" s="661" t="s">
        <v>1326</v>
      </c>
      <c r="F62" s="664"/>
      <c r="G62" s="664"/>
      <c r="H62" s="664"/>
      <c r="I62" s="664"/>
      <c r="J62" s="664">
        <v>11</v>
      </c>
      <c r="K62" s="664">
        <v>9727.5199999999986</v>
      </c>
      <c r="L62" s="664"/>
      <c r="M62" s="664">
        <v>884.31999999999982</v>
      </c>
      <c r="N62" s="664">
        <v>5</v>
      </c>
      <c r="O62" s="664">
        <v>4421.6000000000004</v>
      </c>
      <c r="P62" s="677"/>
      <c r="Q62" s="665">
        <v>884.32</v>
      </c>
    </row>
    <row r="63" spans="1:17" ht="14.4" customHeight="1" x14ac:dyDescent="0.3">
      <c r="A63" s="660" t="s">
        <v>1437</v>
      </c>
      <c r="B63" s="661" t="s">
        <v>1256</v>
      </c>
      <c r="C63" s="661" t="s">
        <v>1327</v>
      </c>
      <c r="D63" s="661" t="s">
        <v>1330</v>
      </c>
      <c r="E63" s="661" t="s">
        <v>1331</v>
      </c>
      <c r="F63" s="664"/>
      <c r="G63" s="664"/>
      <c r="H63" s="664"/>
      <c r="I63" s="664"/>
      <c r="J63" s="664"/>
      <c r="K63" s="664"/>
      <c r="L63" s="664"/>
      <c r="M63" s="664"/>
      <c r="N63" s="664">
        <v>2</v>
      </c>
      <c r="O63" s="664">
        <v>848</v>
      </c>
      <c r="P63" s="677"/>
      <c r="Q63" s="665">
        <v>424</v>
      </c>
    </row>
    <row r="64" spans="1:17" ht="14.4" customHeight="1" x14ac:dyDescent="0.3">
      <c r="A64" s="660" t="s">
        <v>1437</v>
      </c>
      <c r="B64" s="661" t="s">
        <v>1256</v>
      </c>
      <c r="C64" s="661" t="s">
        <v>1327</v>
      </c>
      <c r="D64" s="661" t="s">
        <v>1332</v>
      </c>
      <c r="E64" s="661" t="s">
        <v>1333</v>
      </c>
      <c r="F64" s="664"/>
      <c r="G64" s="664"/>
      <c r="H64" s="664"/>
      <c r="I64" s="664"/>
      <c r="J64" s="664"/>
      <c r="K64" s="664"/>
      <c r="L64" s="664"/>
      <c r="M64" s="664"/>
      <c r="N64" s="664">
        <v>1</v>
      </c>
      <c r="O64" s="664">
        <v>165</v>
      </c>
      <c r="P64" s="677"/>
      <c r="Q64" s="665">
        <v>165</v>
      </c>
    </row>
    <row r="65" spans="1:17" ht="14.4" customHeight="1" x14ac:dyDescent="0.3">
      <c r="A65" s="660" t="s">
        <v>1437</v>
      </c>
      <c r="B65" s="661" t="s">
        <v>1256</v>
      </c>
      <c r="C65" s="661" t="s">
        <v>1327</v>
      </c>
      <c r="D65" s="661" t="s">
        <v>1341</v>
      </c>
      <c r="E65" s="661" t="s">
        <v>1342</v>
      </c>
      <c r="F65" s="664">
        <v>2</v>
      </c>
      <c r="G65" s="664">
        <v>3930</v>
      </c>
      <c r="H65" s="664">
        <v>1</v>
      </c>
      <c r="I65" s="664">
        <v>1965</v>
      </c>
      <c r="J65" s="664">
        <v>1</v>
      </c>
      <c r="K65" s="664">
        <v>1965</v>
      </c>
      <c r="L65" s="664">
        <v>0.5</v>
      </c>
      <c r="M65" s="664">
        <v>1965</v>
      </c>
      <c r="N65" s="664">
        <v>2</v>
      </c>
      <c r="O65" s="664">
        <v>3950</v>
      </c>
      <c r="P65" s="677">
        <v>1.005089058524173</v>
      </c>
      <c r="Q65" s="665">
        <v>1975</v>
      </c>
    </row>
    <row r="66" spans="1:17" ht="14.4" customHeight="1" x14ac:dyDescent="0.3">
      <c r="A66" s="660" t="s">
        <v>1437</v>
      </c>
      <c r="B66" s="661" t="s">
        <v>1256</v>
      </c>
      <c r="C66" s="661" t="s">
        <v>1327</v>
      </c>
      <c r="D66" s="661" t="s">
        <v>1343</v>
      </c>
      <c r="E66" s="661" t="s">
        <v>1344</v>
      </c>
      <c r="F66" s="664"/>
      <c r="G66" s="664"/>
      <c r="H66" s="664"/>
      <c r="I66" s="664"/>
      <c r="J66" s="664">
        <v>1</v>
      </c>
      <c r="K66" s="664">
        <v>2990</v>
      </c>
      <c r="L66" s="664"/>
      <c r="M66" s="664">
        <v>2990</v>
      </c>
      <c r="N66" s="664"/>
      <c r="O66" s="664"/>
      <c r="P66" s="677"/>
      <c r="Q66" s="665"/>
    </row>
    <row r="67" spans="1:17" ht="14.4" customHeight="1" x14ac:dyDescent="0.3">
      <c r="A67" s="660" t="s">
        <v>1437</v>
      </c>
      <c r="B67" s="661" t="s">
        <v>1256</v>
      </c>
      <c r="C67" s="661" t="s">
        <v>1327</v>
      </c>
      <c r="D67" s="661" t="s">
        <v>1438</v>
      </c>
      <c r="E67" s="661" t="s">
        <v>1439</v>
      </c>
      <c r="F67" s="664">
        <v>3</v>
      </c>
      <c r="G67" s="664">
        <v>1917</v>
      </c>
      <c r="H67" s="664">
        <v>1</v>
      </c>
      <c r="I67" s="664">
        <v>639</v>
      </c>
      <c r="J67" s="664">
        <v>1</v>
      </c>
      <c r="K67" s="664">
        <v>639</v>
      </c>
      <c r="L67" s="664">
        <v>0.33333333333333331</v>
      </c>
      <c r="M67" s="664">
        <v>639</v>
      </c>
      <c r="N67" s="664">
        <v>2</v>
      </c>
      <c r="O67" s="664">
        <v>1286</v>
      </c>
      <c r="P67" s="677">
        <v>0.67083985393844547</v>
      </c>
      <c r="Q67" s="665">
        <v>643</v>
      </c>
    </row>
    <row r="68" spans="1:17" ht="14.4" customHeight="1" x14ac:dyDescent="0.3">
      <c r="A68" s="660" t="s">
        <v>1437</v>
      </c>
      <c r="B68" s="661" t="s">
        <v>1256</v>
      </c>
      <c r="C68" s="661" t="s">
        <v>1327</v>
      </c>
      <c r="D68" s="661" t="s">
        <v>1349</v>
      </c>
      <c r="E68" s="661" t="s">
        <v>1350</v>
      </c>
      <c r="F68" s="664"/>
      <c r="G68" s="664"/>
      <c r="H68" s="664"/>
      <c r="I68" s="664"/>
      <c r="J68" s="664">
        <v>1</v>
      </c>
      <c r="K68" s="664">
        <v>1840</v>
      </c>
      <c r="L68" s="664"/>
      <c r="M68" s="664">
        <v>1840</v>
      </c>
      <c r="N68" s="664"/>
      <c r="O68" s="664"/>
      <c r="P68" s="677"/>
      <c r="Q68" s="665"/>
    </row>
    <row r="69" spans="1:17" ht="14.4" customHeight="1" x14ac:dyDescent="0.3">
      <c r="A69" s="660" t="s">
        <v>1437</v>
      </c>
      <c r="B69" s="661" t="s">
        <v>1256</v>
      </c>
      <c r="C69" s="661" t="s">
        <v>1327</v>
      </c>
      <c r="D69" s="661" t="s">
        <v>1353</v>
      </c>
      <c r="E69" s="661" t="s">
        <v>1354</v>
      </c>
      <c r="F69" s="664"/>
      <c r="G69" s="664"/>
      <c r="H69" s="664"/>
      <c r="I69" s="664"/>
      <c r="J69" s="664">
        <v>2</v>
      </c>
      <c r="K69" s="664">
        <v>2338</v>
      </c>
      <c r="L69" s="664"/>
      <c r="M69" s="664">
        <v>1169</v>
      </c>
      <c r="N69" s="664">
        <v>2</v>
      </c>
      <c r="O69" s="664">
        <v>2354</v>
      </c>
      <c r="P69" s="677"/>
      <c r="Q69" s="665">
        <v>1177</v>
      </c>
    </row>
    <row r="70" spans="1:17" ht="14.4" customHeight="1" x14ac:dyDescent="0.3">
      <c r="A70" s="660" t="s">
        <v>1437</v>
      </c>
      <c r="B70" s="661" t="s">
        <v>1256</v>
      </c>
      <c r="C70" s="661" t="s">
        <v>1327</v>
      </c>
      <c r="D70" s="661" t="s">
        <v>1357</v>
      </c>
      <c r="E70" s="661" t="s">
        <v>1358</v>
      </c>
      <c r="F70" s="664">
        <v>13</v>
      </c>
      <c r="G70" s="664">
        <v>8502</v>
      </c>
      <c r="H70" s="664">
        <v>1</v>
      </c>
      <c r="I70" s="664">
        <v>654</v>
      </c>
      <c r="J70" s="664">
        <v>12</v>
      </c>
      <c r="K70" s="664">
        <v>7848</v>
      </c>
      <c r="L70" s="664">
        <v>0.92307692307692313</v>
      </c>
      <c r="M70" s="664">
        <v>654</v>
      </c>
      <c r="N70" s="664">
        <v>15</v>
      </c>
      <c r="O70" s="664">
        <v>9870</v>
      </c>
      <c r="P70" s="677">
        <v>1.1609033168666196</v>
      </c>
      <c r="Q70" s="665">
        <v>658</v>
      </c>
    </row>
    <row r="71" spans="1:17" ht="14.4" customHeight="1" x14ac:dyDescent="0.3">
      <c r="A71" s="660" t="s">
        <v>1437</v>
      </c>
      <c r="B71" s="661" t="s">
        <v>1256</v>
      </c>
      <c r="C71" s="661" t="s">
        <v>1327</v>
      </c>
      <c r="D71" s="661" t="s">
        <v>1361</v>
      </c>
      <c r="E71" s="661" t="s">
        <v>1362</v>
      </c>
      <c r="F71" s="664">
        <v>48</v>
      </c>
      <c r="G71" s="664">
        <v>84192</v>
      </c>
      <c r="H71" s="664">
        <v>1</v>
      </c>
      <c r="I71" s="664">
        <v>1754</v>
      </c>
      <c r="J71" s="664">
        <v>45</v>
      </c>
      <c r="K71" s="664">
        <v>78930</v>
      </c>
      <c r="L71" s="664">
        <v>0.9375</v>
      </c>
      <c r="M71" s="664">
        <v>1754</v>
      </c>
      <c r="N71" s="664">
        <v>50</v>
      </c>
      <c r="O71" s="664">
        <v>88100</v>
      </c>
      <c r="P71" s="677">
        <v>1.0464177118966174</v>
      </c>
      <c r="Q71" s="665">
        <v>1762</v>
      </c>
    </row>
    <row r="72" spans="1:17" ht="14.4" customHeight="1" x14ac:dyDescent="0.3">
      <c r="A72" s="660" t="s">
        <v>1437</v>
      </c>
      <c r="B72" s="661" t="s">
        <v>1256</v>
      </c>
      <c r="C72" s="661" t="s">
        <v>1327</v>
      </c>
      <c r="D72" s="661" t="s">
        <v>1363</v>
      </c>
      <c r="E72" s="661" t="s">
        <v>1364</v>
      </c>
      <c r="F72" s="664">
        <v>5</v>
      </c>
      <c r="G72" s="664">
        <v>2050</v>
      </c>
      <c r="H72" s="664">
        <v>1</v>
      </c>
      <c r="I72" s="664">
        <v>410</v>
      </c>
      <c r="J72" s="664">
        <v>6</v>
      </c>
      <c r="K72" s="664">
        <v>2460</v>
      </c>
      <c r="L72" s="664">
        <v>1.2</v>
      </c>
      <c r="M72" s="664">
        <v>410</v>
      </c>
      <c r="N72" s="664">
        <v>11</v>
      </c>
      <c r="O72" s="664">
        <v>4543</v>
      </c>
      <c r="P72" s="677">
        <v>2.2160975609756099</v>
      </c>
      <c r="Q72" s="665">
        <v>413</v>
      </c>
    </row>
    <row r="73" spans="1:17" ht="14.4" customHeight="1" x14ac:dyDescent="0.3">
      <c r="A73" s="660" t="s">
        <v>1437</v>
      </c>
      <c r="B73" s="661" t="s">
        <v>1256</v>
      </c>
      <c r="C73" s="661" t="s">
        <v>1327</v>
      </c>
      <c r="D73" s="661" t="s">
        <v>1369</v>
      </c>
      <c r="E73" s="661" t="s">
        <v>1370</v>
      </c>
      <c r="F73" s="664">
        <v>10</v>
      </c>
      <c r="G73" s="664">
        <v>143280</v>
      </c>
      <c r="H73" s="664">
        <v>1</v>
      </c>
      <c r="I73" s="664">
        <v>14328</v>
      </c>
      <c r="J73" s="664">
        <v>18</v>
      </c>
      <c r="K73" s="664">
        <v>257904</v>
      </c>
      <c r="L73" s="664">
        <v>1.8</v>
      </c>
      <c r="M73" s="664">
        <v>14328</v>
      </c>
      <c r="N73" s="664">
        <v>5</v>
      </c>
      <c r="O73" s="664">
        <v>71700</v>
      </c>
      <c r="P73" s="677">
        <v>0.50041876046901168</v>
      </c>
      <c r="Q73" s="665">
        <v>14340</v>
      </c>
    </row>
    <row r="74" spans="1:17" ht="14.4" customHeight="1" x14ac:dyDescent="0.3">
      <c r="A74" s="660" t="s">
        <v>1437</v>
      </c>
      <c r="B74" s="661" t="s">
        <v>1256</v>
      </c>
      <c r="C74" s="661" t="s">
        <v>1327</v>
      </c>
      <c r="D74" s="661" t="s">
        <v>1375</v>
      </c>
      <c r="E74" s="661" t="s">
        <v>1376</v>
      </c>
      <c r="F74" s="664"/>
      <c r="G74" s="664"/>
      <c r="H74" s="664"/>
      <c r="I74" s="664"/>
      <c r="J74" s="664"/>
      <c r="K74" s="664"/>
      <c r="L74" s="664"/>
      <c r="M74" s="664"/>
      <c r="N74" s="664">
        <v>1</v>
      </c>
      <c r="O74" s="664">
        <v>0</v>
      </c>
      <c r="P74" s="677"/>
      <c r="Q74" s="665">
        <v>0</v>
      </c>
    </row>
    <row r="75" spans="1:17" ht="14.4" customHeight="1" x14ac:dyDescent="0.3">
      <c r="A75" s="660" t="s">
        <v>1437</v>
      </c>
      <c r="B75" s="661" t="s">
        <v>1256</v>
      </c>
      <c r="C75" s="661" t="s">
        <v>1327</v>
      </c>
      <c r="D75" s="661" t="s">
        <v>1379</v>
      </c>
      <c r="E75" s="661" t="s">
        <v>1380</v>
      </c>
      <c r="F75" s="664">
        <v>2</v>
      </c>
      <c r="G75" s="664">
        <v>1160</v>
      </c>
      <c r="H75" s="664">
        <v>1</v>
      </c>
      <c r="I75" s="664">
        <v>580</v>
      </c>
      <c r="J75" s="664">
        <v>2</v>
      </c>
      <c r="K75" s="664">
        <v>1160</v>
      </c>
      <c r="L75" s="664">
        <v>1</v>
      </c>
      <c r="M75" s="664">
        <v>580</v>
      </c>
      <c r="N75" s="664">
        <v>1</v>
      </c>
      <c r="O75" s="664">
        <v>586</v>
      </c>
      <c r="P75" s="677">
        <v>0.5051724137931034</v>
      </c>
      <c r="Q75" s="665">
        <v>586</v>
      </c>
    </row>
    <row r="76" spans="1:17" ht="14.4" customHeight="1" x14ac:dyDescent="0.3">
      <c r="A76" s="660" t="s">
        <v>1437</v>
      </c>
      <c r="B76" s="661" t="s">
        <v>1256</v>
      </c>
      <c r="C76" s="661" t="s">
        <v>1327</v>
      </c>
      <c r="D76" s="661" t="s">
        <v>1383</v>
      </c>
      <c r="E76" s="661" t="s">
        <v>1384</v>
      </c>
      <c r="F76" s="664">
        <v>2</v>
      </c>
      <c r="G76" s="664">
        <v>836</v>
      </c>
      <c r="H76" s="664">
        <v>1</v>
      </c>
      <c r="I76" s="664">
        <v>418</v>
      </c>
      <c r="J76" s="664"/>
      <c r="K76" s="664"/>
      <c r="L76" s="664"/>
      <c r="M76" s="664"/>
      <c r="N76" s="664">
        <v>1</v>
      </c>
      <c r="O76" s="664">
        <v>421</v>
      </c>
      <c r="P76" s="677">
        <v>0.50358851674641147</v>
      </c>
      <c r="Q76" s="665">
        <v>421</v>
      </c>
    </row>
    <row r="77" spans="1:17" ht="14.4" customHeight="1" x14ac:dyDescent="0.3">
      <c r="A77" s="660" t="s">
        <v>1437</v>
      </c>
      <c r="B77" s="661" t="s">
        <v>1256</v>
      </c>
      <c r="C77" s="661" t="s">
        <v>1327</v>
      </c>
      <c r="D77" s="661" t="s">
        <v>1385</v>
      </c>
      <c r="E77" s="661" t="s">
        <v>1386</v>
      </c>
      <c r="F77" s="664">
        <v>3</v>
      </c>
      <c r="G77" s="664">
        <v>3858</v>
      </c>
      <c r="H77" s="664">
        <v>1</v>
      </c>
      <c r="I77" s="664">
        <v>1286</v>
      </c>
      <c r="J77" s="664">
        <v>7</v>
      </c>
      <c r="K77" s="664">
        <v>9002</v>
      </c>
      <c r="L77" s="664">
        <v>2.3333333333333335</v>
      </c>
      <c r="M77" s="664">
        <v>1286</v>
      </c>
      <c r="N77" s="664">
        <v>5</v>
      </c>
      <c r="O77" s="664">
        <v>6470</v>
      </c>
      <c r="P77" s="677">
        <v>1.6770347330222914</v>
      </c>
      <c r="Q77" s="665">
        <v>1294</v>
      </c>
    </row>
    <row r="78" spans="1:17" ht="14.4" customHeight="1" x14ac:dyDescent="0.3">
      <c r="A78" s="660" t="s">
        <v>1437</v>
      </c>
      <c r="B78" s="661" t="s">
        <v>1256</v>
      </c>
      <c r="C78" s="661" t="s">
        <v>1327</v>
      </c>
      <c r="D78" s="661" t="s">
        <v>1387</v>
      </c>
      <c r="E78" s="661" t="s">
        <v>1388</v>
      </c>
      <c r="F78" s="664">
        <v>34</v>
      </c>
      <c r="G78" s="664">
        <v>16558</v>
      </c>
      <c r="H78" s="664">
        <v>1</v>
      </c>
      <c r="I78" s="664">
        <v>487</v>
      </c>
      <c r="J78" s="664">
        <v>34</v>
      </c>
      <c r="K78" s="664">
        <v>16558</v>
      </c>
      <c r="L78" s="664">
        <v>1</v>
      </c>
      <c r="M78" s="664">
        <v>487</v>
      </c>
      <c r="N78" s="664">
        <v>36</v>
      </c>
      <c r="O78" s="664">
        <v>17640</v>
      </c>
      <c r="P78" s="677">
        <v>1.0653460562869912</v>
      </c>
      <c r="Q78" s="665">
        <v>490</v>
      </c>
    </row>
    <row r="79" spans="1:17" ht="14.4" customHeight="1" x14ac:dyDescent="0.3">
      <c r="A79" s="660" t="s">
        <v>1437</v>
      </c>
      <c r="B79" s="661" t="s">
        <v>1256</v>
      </c>
      <c r="C79" s="661" t="s">
        <v>1327</v>
      </c>
      <c r="D79" s="661" t="s">
        <v>1389</v>
      </c>
      <c r="E79" s="661" t="s">
        <v>1390</v>
      </c>
      <c r="F79" s="664"/>
      <c r="G79" s="664"/>
      <c r="H79" s="664"/>
      <c r="I79" s="664"/>
      <c r="J79" s="664">
        <v>2</v>
      </c>
      <c r="K79" s="664">
        <v>4484</v>
      </c>
      <c r="L79" s="664"/>
      <c r="M79" s="664">
        <v>2242</v>
      </c>
      <c r="N79" s="664">
        <v>3</v>
      </c>
      <c r="O79" s="664">
        <v>6774</v>
      </c>
      <c r="P79" s="677"/>
      <c r="Q79" s="665">
        <v>2258</v>
      </c>
    </row>
    <row r="80" spans="1:17" ht="14.4" customHeight="1" x14ac:dyDescent="0.3">
      <c r="A80" s="660" t="s">
        <v>1437</v>
      </c>
      <c r="B80" s="661" t="s">
        <v>1256</v>
      </c>
      <c r="C80" s="661" t="s">
        <v>1327</v>
      </c>
      <c r="D80" s="661" t="s">
        <v>1391</v>
      </c>
      <c r="E80" s="661" t="s">
        <v>1392</v>
      </c>
      <c r="F80" s="664">
        <v>9</v>
      </c>
      <c r="G80" s="664">
        <v>22815</v>
      </c>
      <c r="H80" s="664">
        <v>1</v>
      </c>
      <c r="I80" s="664">
        <v>2535</v>
      </c>
      <c r="J80" s="664">
        <v>3</v>
      </c>
      <c r="K80" s="664">
        <v>7605</v>
      </c>
      <c r="L80" s="664">
        <v>0.33333333333333331</v>
      </c>
      <c r="M80" s="664">
        <v>2535</v>
      </c>
      <c r="N80" s="664">
        <v>2</v>
      </c>
      <c r="O80" s="664">
        <v>5102</v>
      </c>
      <c r="P80" s="677">
        <v>0.22362480824019285</v>
      </c>
      <c r="Q80" s="665">
        <v>2551</v>
      </c>
    </row>
    <row r="81" spans="1:17" ht="14.4" customHeight="1" x14ac:dyDescent="0.3">
      <c r="A81" s="660" t="s">
        <v>1440</v>
      </c>
      <c r="B81" s="661" t="s">
        <v>1256</v>
      </c>
      <c r="C81" s="661" t="s">
        <v>1257</v>
      </c>
      <c r="D81" s="661" t="s">
        <v>1262</v>
      </c>
      <c r="E81" s="661" t="s">
        <v>1248</v>
      </c>
      <c r="F81" s="664">
        <v>0.2</v>
      </c>
      <c r="G81" s="664">
        <v>218.43</v>
      </c>
      <c r="H81" s="664">
        <v>1</v>
      </c>
      <c r="I81" s="664">
        <v>1092.1499999999999</v>
      </c>
      <c r="J81" s="664">
        <v>0.2</v>
      </c>
      <c r="K81" s="664">
        <v>218.43</v>
      </c>
      <c r="L81" s="664">
        <v>1</v>
      </c>
      <c r="M81" s="664">
        <v>1092.1499999999999</v>
      </c>
      <c r="N81" s="664"/>
      <c r="O81" s="664"/>
      <c r="P81" s="677"/>
      <c r="Q81" s="665"/>
    </row>
    <row r="82" spans="1:17" ht="14.4" customHeight="1" x14ac:dyDescent="0.3">
      <c r="A82" s="660" t="s">
        <v>1440</v>
      </c>
      <c r="B82" s="661" t="s">
        <v>1256</v>
      </c>
      <c r="C82" s="661" t="s">
        <v>1257</v>
      </c>
      <c r="D82" s="661" t="s">
        <v>1263</v>
      </c>
      <c r="E82" s="661" t="s">
        <v>743</v>
      </c>
      <c r="F82" s="664">
        <v>1.75</v>
      </c>
      <c r="G82" s="664">
        <v>3822.5400000000009</v>
      </c>
      <c r="H82" s="664">
        <v>1</v>
      </c>
      <c r="I82" s="664">
        <v>2184.3085714285721</v>
      </c>
      <c r="J82" s="664">
        <v>3.85</v>
      </c>
      <c r="K82" s="664">
        <v>8409.619999999999</v>
      </c>
      <c r="L82" s="664">
        <v>2.2000083713970287</v>
      </c>
      <c r="M82" s="664">
        <v>2184.3168831168828</v>
      </c>
      <c r="N82" s="664">
        <v>2.75</v>
      </c>
      <c r="O82" s="664">
        <v>4869.7</v>
      </c>
      <c r="P82" s="677">
        <v>1.2739435035342987</v>
      </c>
      <c r="Q82" s="665">
        <v>1770.8</v>
      </c>
    </row>
    <row r="83" spans="1:17" ht="14.4" customHeight="1" x14ac:dyDescent="0.3">
      <c r="A83" s="660" t="s">
        <v>1440</v>
      </c>
      <c r="B83" s="661" t="s">
        <v>1256</v>
      </c>
      <c r="C83" s="661" t="s">
        <v>1257</v>
      </c>
      <c r="D83" s="661" t="s">
        <v>1264</v>
      </c>
      <c r="E83" s="661" t="s">
        <v>736</v>
      </c>
      <c r="F83" s="664">
        <v>0.05</v>
      </c>
      <c r="G83" s="664">
        <v>47.24</v>
      </c>
      <c r="H83" s="664">
        <v>1</v>
      </c>
      <c r="I83" s="664">
        <v>944.8</v>
      </c>
      <c r="J83" s="664">
        <v>0.1</v>
      </c>
      <c r="K83" s="664">
        <v>94.48</v>
      </c>
      <c r="L83" s="664">
        <v>2</v>
      </c>
      <c r="M83" s="664">
        <v>944.8</v>
      </c>
      <c r="N83" s="664">
        <v>0.05</v>
      </c>
      <c r="O83" s="664">
        <v>45.19</v>
      </c>
      <c r="P83" s="677">
        <v>0.95660457239627428</v>
      </c>
      <c r="Q83" s="665">
        <v>903.8</v>
      </c>
    </row>
    <row r="84" spans="1:17" ht="14.4" customHeight="1" x14ac:dyDescent="0.3">
      <c r="A84" s="660" t="s">
        <v>1440</v>
      </c>
      <c r="B84" s="661" t="s">
        <v>1256</v>
      </c>
      <c r="C84" s="661" t="s">
        <v>1268</v>
      </c>
      <c r="D84" s="661" t="s">
        <v>1273</v>
      </c>
      <c r="E84" s="661" t="s">
        <v>1274</v>
      </c>
      <c r="F84" s="664"/>
      <c r="G84" s="664"/>
      <c r="H84" s="664"/>
      <c r="I84" s="664"/>
      <c r="J84" s="664">
        <v>330</v>
      </c>
      <c r="K84" s="664">
        <v>1683</v>
      </c>
      <c r="L84" s="664"/>
      <c r="M84" s="664">
        <v>5.0999999999999996</v>
      </c>
      <c r="N84" s="664"/>
      <c r="O84" s="664"/>
      <c r="P84" s="677"/>
      <c r="Q84" s="665"/>
    </row>
    <row r="85" spans="1:17" ht="14.4" customHeight="1" x14ac:dyDescent="0.3">
      <c r="A85" s="660" t="s">
        <v>1440</v>
      </c>
      <c r="B85" s="661" t="s">
        <v>1256</v>
      </c>
      <c r="C85" s="661" t="s">
        <v>1268</v>
      </c>
      <c r="D85" s="661" t="s">
        <v>1281</v>
      </c>
      <c r="E85" s="661" t="s">
        <v>1282</v>
      </c>
      <c r="F85" s="664"/>
      <c r="G85" s="664"/>
      <c r="H85" s="664"/>
      <c r="I85" s="664"/>
      <c r="J85" s="664"/>
      <c r="K85" s="664"/>
      <c r="L85" s="664"/>
      <c r="M85" s="664"/>
      <c r="N85" s="664">
        <v>1462</v>
      </c>
      <c r="O85" s="664">
        <v>8538.08</v>
      </c>
      <c r="P85" s="677"/>
      <c r="Q85" s="665">
        <v>5.84</v>
      </c>
    </row>
    <row r="86" spans="1:17" ht="14.4" customHeight="1" x14ac:dyDescent="0.3">
      <c r="A86" s="660" t="s">
        <v>1440</v>
      </c>
      <c r="B86" s="661" t="s">
        <v>1256</v>
      </c>
      <c r="C86" s="661" t="s">
        <v>1268</v>
      </c>
      <c r="D86" s="661" t="s">
        <v>1299</v>
      </c>
      <c r="E86" s="661" t="s">
        <v>1300</v>
      </c>
      <c r="F86" s="664"/>
      <c r="G86" s="664"/>
      <c r="H86" s="664"/>
      <c r="I86" s="664"/>
      <c r="J86" s="664">
        <v>1</v>
      </c>
      <c r="K86" s="664">
        <v>2195.35</v>
      </c>
      <c r="L86" s="664"/>
      <c r="M86" s="664">
        <v>2195.35</v>
      </c>
      <c r="N86" s="664"/>
      <c r="O86" s="664"/>
      <c r="P86" s="677"/>
      <c r="Q86" s="665"/>
    </row>
    <row r="87" spans="1:17" ht="14.4" customHeight="1" x14ac:dyDescent="0.3">
      <c r="A87" s="660" t="s">
        <v>1440</v>
      </c>
      <c r="B87" s="661" t="s">
        <v>1256</v>
      </c>
      <c r="C87" s="661" t="s">
        <v>1268</v>
      </c>
      <c r="D87" s="661" t="s">
        <v>1303</v>
      </c>
      <c r="E87" s="661" t="s">
        <v>1304</v>
      </c>
      <c r="F87" s="664"/>
      <c r="G87" s="664"/>
      <c r="H87" s="664"/>
      <c r="I87" s="664"/>
      <c r="J87" s="664">
        <v>765</v>
      </c>
      <c r="K87" s="664">
        <v>2493.9</v>
      </c>
      <c r="L87" s="664"/>
      <c r="M87" s="664">
        <v>3.2600000000000002</v>
      </c>
      <c r="N87" s="664"/>
      <c r="O87" s="664"/>
      <c r="P87" s="677"/>
      <c r="Q87" s="665"/>
    </row>
    <row r="88" spans="1:17" ht="14.4" customHeight="1" x14ac:dyDescent="0.3">
      <c r="A88" s="660" t="s">
        <v>1440</v>
      </c>
      <c r="B88" s="661" t="s">
        <v>1256</v>
      </c>
      <c r="C88" s="661" t="s">
        <v>1268</v>
      </c>
      <c r="D88" s="661" t="s">
        <v>1309</v>
      </c>
      <c r="E88" s="661" t="s">
        <v>1310</v>
      </c>
      <c r="F88" s="664">
        <v>2024</v>
      </c>
      <c r="G88" s="664">
        <v>67058.13</v>
      </c>
      <c r="H88" s="664">
        <v>1</v>
      </c>
      <c r="I88" s="664">
        <v>33.1314871541502</v>
      </c>
      <c r="J88" s="664">
        <v>3254</v>
      </c>
      <c r="K88" s="664">
        <v>108358.2</v>
      </c>
      <c r="L88" s="664">
        <v>1.6158846063855343</v>
      </c>
      <c r="M88" s="664">
        <v>33.299999999999997</v>
      </c>
      <c r="N88" s="664">
        <v>2392</v>
      </c>
      <c r="O88" s="664">
        <v>80251.600000000006</v>
      </c>
      <c r="P88" s="677">
        <v>1.196746762845907</v>
      </c>
      <c r="Q88" s="665">
        <v>33.550000000000004</v>
      </c>
    </row>
    <row r="89" spans="1:17" ht="14.4" customHeight="1" x14ac:dyDescent="0.3">
      <c r="A89" s="660" t="s">
        <v>1440</v>
      </c>
      <c r="B89" s="661" t="s">
        <v>1256</v>
      </c>
      <c r="C89" s="661" t="s">
        <v>1268</v>
      </c>
      <c r="D89" s="661" t="s">
        <v>1313</v>
      </c>
      <c r="E89" s="661" t="s">
        <v>1314</v>
      </c>
      <c r="F89" s="664">
        <v>10800</v>
      </c>
      <c r="G89" s="664">
        <v>208542.5</v>
      </c>
      <c r="H89" s="664">
        <v>1</v>
      </c>
      <c r="I89" s="664">
        <v>19.309490740740742</v>
      </c>
      <c r="J89" s="664">
        <v>8855</v>
      </c>
      <c r="K89" s="664">
        <v>171255.7</v>
      </c>
      <c r="L89" s="664">
        <v>0.8212028723161946</v>
      </c>
      <c r="M89" s="664">
        <v>19.34</v>
      </c>
      <c r="N89" s="664">
        <v>6800</v>
      </c>
      <c r="O89" s="664">
        <v>137632</v>
      </c>
      <c r="P89" s="677">
        <v>0.65997098912691654</v>
      </c>
      <c r="Q89" s="665">
        <v>20.239999999999998</v>
      </c>
    </row>
    <row r="90" spans="1:17" ht="14.4" customHeight="1" x14ac:dyDescent="0.3">
      <c r="A90" s="660" t="s">
        <v>1440</v>
      </c>
      <c r="B90" s="661" t="s">
        <v>1256</v>
      </c>
      <c r="C90" s="661" t="s">
        <v>1324</v>
      </c>
      <c r="D90" s="661" t="s">
        <v>1325</v>
      </c>
      <c r="E90" s="661" t="s">
        <v>1326</v>
      </c>
      <c r="F90" s="664"/>
      <c r="G90" s="664"/>
      <c r="H90" s="664"/>
      <c r="I90" s="664"/>
      <c r="J90" s="664">
        <v>5</v>
      </c>
      <c r="K90" s="664">
        <v>4421.6000000000004</v>
      </c>
      <c r="L90" s="664"/>
      <c r="M90" s="664">
        <v>884.32</v>
      </c>
      <c r="N90" s="664">
        <v>6</v>
      </c>
      <c r="O90" s="664">
        <v>5305.92</v>
      </c>
      <c r="P90" s="677"/>
      <c r="Q90" s="665">
        <v>884.32</v>
      </c>
    </row>
    <row r="91" spans="1:17" ht="14.4" customHeight="1" x14ac:dyDescent="0.3">
      <c r="A91" s="660" t="s">
        <v>1440</v>
      </c>
      <c r="B91" s="661" t="s">
        <v>1256</v>
      </c>
      <c r="C91" s="661" t="s">
        <v>1327</v>
      </c>
      <c r="D91" s="661" t="s">
        <v>1330</v>
      </c>
      <c r="E91" s="661" t="s">
        <v>1331</v>
      </c>
      <c r="F91" s="664"/>
      <c r="G91" s="664"/>
      <c r="H91" s="664"/>
      <c r="I91" s="664"/>
      <c r="J91" s="664"/>
      <c r="K91" s="664"/>
      <c r="L91" s="664"/>
      <c r="M91" s="664"/>
      <c r="N91" s="664">
        <v>1</v>
      </c>
      <c r="O91" s="664">
        <v>424</v>
      </c>
      <c r="P91" s="677"/>
      <c r="Q91" s="665">
        <v>424</v>
      </c>
    </row>
    <row r="92" spans="1:17" ht="14.4" customHeight="1" x14ac:dyDescent="0.3">
      <c r="A92" s="660" t="s">
        <v>1440</v>
      </c>
      <c r="B92" s="661" t="s">
        <v>1256</v>
      </c>
      <c r="C92" s="661" t="s">
        <v>1327</v>
      </c>
      <c r="D92" s="661" t="s">
        <v>1357</v>
      </c>
      <c r="E92" s="661" t="s">
        <v>1358</v>
      </c>
      <c r="F92" s="664"/>
      <c r="G92" s="664"/>
      <c r="H92" s="664"/>
      <c r="I92" s="664"/>
      <c r="J92" s="664">
        <v>1</v>
      </c>
      <c r="K92" s="664">
        <v>654</v>
      </c>
      <c r="L92" s="664"/>
      <c r="M92" s="664">
        <v>654</v>
      </c>
      <c r="N92" s="664"/>
      <c r="O92" s="664"/>
      <c r="P92" s="677"/>
      <c r="Q92" s="665"/>
    </row>
    <row r="93" spans="1:17" ht="14.4" customHeight="1" x14ac:dyDescent="0.3">
      <c r="A93" s="660" t="s">
        <v>1440</v>
      </c>
      <c r="B93" s="661" t="s">
        <v>1256</v>
      </c>
      <c r="C93" s="661" t="s">
        <v>1327</v>
      </c>
      <c r="D93" s="661" t="s">
        <v>1359</v>
      </c>
      <c r="E93" s="661" t="s">
        <v>1360</v>
      </c>
      <c r="F93" s="664">
        <v>2</v>
      </c>
      <c r="G93" s="664">
        <v>1370</v>
      </c>
      <c r="H93" s="664">
        <v>1</v>
      </c>
      <c r="I93" s="664">
        <v>685</v>
      </c>
      <c r="J93" s="664"/>
      <c r="K93" s="664"/>
      <c r="L93" s="664"/>
      <c r="M93" s="664"/>
      <c r="N93" s="664"/>
      <c r="O93" s="664"/>
      <c r="P93" s="677"/>
      <c r="Q93" s="665"/>
    </row>
    <row r="94" spans="1:17" ht="14.4" customHeight="1" x14ac:dyDescent="0.3">
      <c r="A94" s="660" t="s">
        <v>1440</v>
      </c>
      <c r="B94" s="661" t="s">
        <v>1256</v>
      </c>
      <c r="C94" s="661" t="s">
        <v>1327</v>
      </c>
      <c r="D94" s="661" t="s">
        <v>1361</v>
      </c>
      <c r="E94" s="661" t="s">
        <v>1362</v>
      </c>
      <c r="F94" s="664">
        <v>1</v>
      </c>
      <c r="G94" s="664">
        <v>1754</v>
      </c>
      <c r="H94" s="664">
        <v>1</v>
      </c>
      <c r="I94" s="664">
        <v>1754</v>
      </c>
      <c r="J94" s="664">
        <v>3</v>
      </c>
      <c r="K94" s="664">
        <v>5262</v>
      </c>
      <c r="L94" s="664">
        <v>3</v>
      </c>
      <c r="M94" s="664">
        <v>1754</v>
      </c>
      <c r="N94" s="664">
        <v>2</v>
      </c>
      <c r="O94" s="664">
        <v>3524</v>
      </c>
      <c r="P94" s="677">
        <v>2.0091220068415052</v>
      </c>
      <c r="Q94" s="665">
        <v>1762</v>
      </c>
    </row>
    <row r="95" spans="1:17" ht="14.4" customHeight="1" x14ac:dyDescent="0.3">
      <c r="A95" s="660" t="s">
        <v>1440</v>
      </c>
      <c r="B95" s="661" t="s">
        <v>1256</v>
      </c>
      <c r="C95" s="661" t="s">
        <v>1327</v>
      </c>
      <c r="D95" s="661" t="s">
        <v>1363</v>
      </c>
      <c r="E95" s="661" t="s">
        <v>1364</v>
      </c>
      <c r="F95" s="664"/>
      <c r="G95" s="664"/>
      <c r="H95" s="664"/>
      <c r="I95" s="664"/>
      <c r="J95" s="664"/>
      <c r="K95" s="664"/>
      <c r="L95" s="664"/>
      <c r="M95" s="664"/>
      <c r="N95" s="664">
        <v>1</v>
      </c>
      <c r="O95" s="664">
        <v>413</v>
      </c>
      <c r="P95" s="677"/>
      <c r="Q95" s="665">
        <v>413</v>
      </c>
    </row>
    <row r="96" spans="1:17" ht="14.4" customHeight="1" x14ac:dyDescent="0.3">
      <c r="A96" s="660" t="s">
        <v>1440</v>
      </c>
      <c r="B96" s="661" t="s">
        <v>1256</v>
      </c>
      <c r="C96" s="661" t="s">
        <v>1327</v>
      </c>
      <c r="D96" s="661" t="s">
        <v>1365</v>
      </c>
      <c r="E96" s="661" t="s">
        <v>1366</v>
      </c>
      <c r="F96" s="664">
        <v>82</v>
      </c>
      <c r="G96" s="664">
        <v>281834</v>
      </c>
      <c r="H96" s="664">
        <v>1</v>
      </c>
      <c r="I96" s="664">
        <v>3437</v>
      </c>
      <c r="J96" s="664">
        <v>70</v>
      </c>
      <c r="K96" s="664">
        <v>240590</v>
      </c>
      <c r="L96" s="664">
        <v>0.85365853658536583</v>
      </c>
      <c r="M96" s="664">
        <v>3437</v>
      </c>
      <c r="N96" s="664">
        <v>51</v>
      </c>
      <c r="O96" s="664">
        <v>176205</v>
      </c>
      <c r="P96" s="677">
        <v>0.62520845604149966</v>
      </c>
      <c r="Q96" s="665">
        <v>3455</v>
      </c>
    </row>
    <row r="97" spans="1:17" ht="14.4" customHeight="1" x14ac:dyDescent="0.3">
      <c r="A97" s="660" t="s">
        <v>1440</v>
      </c>
      <c r="B97" s="661" t="s">
        <v>1256</v>
      </c>
      <c r="C97" s="661" t="s">
        <v>1327</v>
      </c>
      <c r="D97" s="661" t="s">
        <v>1369</v>
      </c>
      <c r="E97" s="661" t="s">
        <v>1370</v>
      </c>
      <c r="F97" s="664">
        <v>5</v>
      </c>
      <c r="G97" s="664">
        <v>71640</v>
      </c>
      <c r="H97" s="664">
        <v>1</v>
      </c>
      <c r="I97" s="664">
        <v>14328</v>
      </c>
      <c r="J97" s="664">
        <v>8</v>
      </c>
      <c r="K97" s="664">
        <v>114624</v>
      </c>
      <c r="L97" s="664">
        <v>1.6</v>
      </c>
      <c r="M97" s="664">
        <v>14328</v>
      </c>
      <c r="N97" s="664">
        <v>6</v>
      </c>
      <c r="O97" s="664">
        <v>86040</v>
      </c>
      <c r="P97" s="677">
        <v>1.2010050251256281</v>
      </c>
      <c r="Q97" s="665">
        <v>14340</v>
      </c>
    </row>
    <row r="98" spans="1:17" ht="14.4" customHeight="1" x14ac:dyDescent="0.3">
      <c r="A98" s="660" t="s">
        <v>1440</v>
      </c>
      <c r="B98" s="661" t="s">
        <v>1256</v>
      </c>
      <c r="C98" s="661" t="s">
        <v>1327</v>
      </c>
      <c r="D98" s="661" t="s">
        <v>1385</v>
      </c>
      <c r="E98" s="661" t="s">
        <v>1386</v>
      </c>
      <c r="F98" s="664"/>
      <c r="G98" s="664"/>
      <c r="H98" s="664"/>
      <c r="I98" s="664"/>
      <c r="J98" s="664">
        <v>1</v>
      </c>
      <c r="K98" s="664">
        <v>1286</v>
      </c>
      <c r="L98" s="664"/>
      <c r="M98" s="664">
        <v>1286</v>
      </c>
      <c r="N98" s="664"/>
      <c r="O98" s="664"/>
      <c r="P98" s="677"/>
      <c r="Q98" s="665"/>
    </row>
    <row r="99" spans="1:17" ht="14.4" customHeight="1" x14ac:dyDescent="0.3">
      <c r="A99" s="660" t="s">
        <v>1440</v>
      </c>
      <c r="B99" s="661" t="s">
        <v>1256</v>
      </c>
      <c r="C99" s="661" t="s">
        <v>1327</v>
      </c>
      <c r="D99" s="661" t="s">
        <v>1387</v>
      </c>
      <c r="E99" s="661" t="s">
        <v>1388</v>
      </c>
      <c r="F99" s="664"/>
      <c r="G99" s="664"/>
      <c r="H99" s="664"/>
      <c r="I99" s="664"/>
      <c r="J99" s="664">
        <v>2</v>
      </c>
      <c r="K99" s="664">
        <v>974</v>
      </c>
      <c r="L99" s="664"/>
      <c r="M99" s="664">
        <v>487</v>
      </c>
      <c r="N99" s="664"/>
      <c r="O99" s="664"/>
      <c r="P99" s="677"/>
      <c r="Q99" s="665"/>
    </row>
    <row r="100" spans="1:17" ht="14.4" customHeight="1" x14ac:dyDescent="0.3">
      <c r="A100" s="660" t="s">
        <v>1441</v>
      </c>
      <c r="B100" s="661" t="s">
        <v>1256</v>
      </c>
      <c r="C100" s="661" t="s">
        <v>1257</v>
      </c>
      <c r="D100" s="661" t="s">
        <v>1263</v>
      </c>
      <c r="E100" s="661" t="s">
        <v>743</v>
      </c>
      <c r="F100" s="664">
        <v>0.4</v>
      </c>
      <c r="G100" s="664">
        <v>873.72</v>
      </c>
      <c r="H100" s="664">
        <v>1</v>
      </c>
      <c r="I100" s="664">
        <v>2184.2999999999997</v>
      </c>
      <c r="J100" s="664">
        <v>0.8</v>
      </c>
      <c r="K100" s="664">
        <v>1747.45</v>
      </c>
      <c r="L100" s="664">
        <v>2.0000114453142883</v>
      </c>
      <c r="M100" s="664">
        <v>2184.3125</v>
      </c>
      <c r="N100" s="664"/>
      <c r="O100" s="664"/>
      <c r="P100" s="677"/>
      <c r="Q100" s="665"/>
    </row>
    <row r="101" spans="1:17" ht="14.4" customHeight="1" x14ac:dyDescent="0.3">
      <c r="A101" s="660" t="s">
        <v>1441</v>
      </c>
      <c r="B101" s="661" t="s">
        <v>1256</v>
      </c>
      <c r="C101" s="661" t="s">
        <v>1257</v>
      </c>
      <c r="D101" s="661" t="s">
        <v>1264</v>
      </c>
      <c r="E101" s="661" t="s">
        <v>736</v>
      </c>
      <c r="F101" s="664">
        <v>0.05</v>
      </c>
      <c r="G101" s="664">
        <v>47.24</v>
      </c>
      <c r="H101" s="664">
        <v>1</v>
      </c>
      <c r="I101" s="664">
        <v>944.8</v>
      </c>
      <c r="J101" s="664"/>
      <c r="K101" s="664"/>
      <c r="L101" s="664"/>
      <c r="M101" s="664"/>
      <c r="N101" s="664"/>
      <c r="O101" s="664"/>
      <c r="P101" s="677"/>
      <c r="Q101" s="665"/>
    </row>
    <row r="102" spans="1:17" ht="14.4" customHeight="1" x14ac:dyDescent="0.3">
      <c r="A102" s="660" t="s">
        <v>1441</v>
      </c>
      <c r="B102" s="661" t="s">
        <v>1256</v>
      </c>
      <c r="C102" s="661" t="s">
        <v>1268</v>
      </c>
      <c r="D102" s="661" t="s">
        <v>1281</v>
      </c>
      <c r="E102" s="661" t="s">
        <v>1282</v>
      </c>
      <c r="F102" s="664">
        <v>300</v>
      </c>
      <c r="G102" s="664">
        <v>1659</v>
      </c>
      <c r="H102" s="664">
        <v>1</v>
      </c>
      <c r="I102" s="664">
        <v>5.53</v>
      </c>
      <c r="J102" s="664"/>
      <c r="K102" s="664"/>
      <c r="L102" s="664"/>
      <c r="M102" s="664"/>
      <c r="N102" s="664"/>
      <c r="O102" s="664"/>
      <c r="P102" s="677"/>
      <c r="Q102" s="665"/>
    </row>
    <row r="103" spans="1:17" ht="14.4" customHeight="1" x14ac:dyDescent="0.3">
      <c r="A103" s="660" t="s">
        <v>1441</v>
      </c>
      <c r="B103" s="661" t="s">
        <v>1256</v>
      </c>
      <c r="C103" s="661" t="s">
        <v>1268</v>
      </c>
      <c r="D103" s="661" t="s">
        <v>1293</v>
      </c>
      <c r="E103" s="661" t="s">
        <v>1294</v>
      </c>
      <c r="F103" s="664"/>
      <c r="G103" s="664"/>
      <c r="H103" s="664"/>
      <c r="I103" s="664"/>
      <c r="J103" s="664">
        <v>400</v>
      </c>
      <c r="K103" s="664">
        <v>7648</v>
      </c>
      <c r="L103" s="664"/>
      <c r="M103" s="664">
        <v>19.12</v>
      </c>
      <c r="N103" s="664"/>
      <c r="O103" s="664"/>
      <c r="P103" s="677"/>
      <c r="Q103" s="665"/>
    </row>
    <row r="104" spans="1:17" ht="14.4" customHeight="1" x14ac:dyDescent="0.3">
      <c r="A104" s="660" t="s">
        <v>1441</v>
      </c>
      <c r="B104" s="661" t="s">
        <v>1256</v>
      </c>
      <c r="C104" s="661" t="s">
        <v>1268</v>
      </c>
      <c r="D104" s="661" t="s">
        <v>1309</v>
      </c>
      <c r="E104" s="661" t="s">
        <v>1310</v>
      </c>
      <c r="F104" s="664">
        <v>407</v>
      </c>
      <c r="G104" s="664">
        <v>13398.44</v>
      </c>
      <c r="H104" s="664">
        <v>1</v>
      </c>
      <c r="I104" s="664">
        <v>32.92</v>
      </c>
      <c r="J104" s="664">
        <v>895</v>
      </c>
      <c r="K104" s="664">
        <v>29803.5</v>
      </c>
      <c r="L104" s="664">
        <v>2.2244007511322215</v>
      </c>
      <c r="M104" s="664">
        <v>33.299999999999997</v>
      </c>
      <c r="N104" s="664"/>
      <c r="O104" s="664"/>
      <c r="P104" s="677"/>
      <c r="Q104" s="665"/>
    </row>
    <row r="105" spans="1:17" ht="14.4" customHeight="1" x14ac:dyDescent="0.3">
      <c r="A105" s="660" t="s">
        <v>1441</v>
      </c>
      <c r="B105" s="661" t="s">
        <v>1256</v>
      </c>
      <c r="C105" s="661" t="s">
        <v>1324</v>
      </c>
      <c r="D105" s="661" t="s">
        <v>1325</v>
      </c>
      <c r="E105" s="661" t="s">
        <v>1326</v>
      </c>
      <c r="F105" s="664"/>
      <c r="G105" s="664"/>
      <c r="H105" s="664"/>
      <c r="I105" s="664"/>
      <c r="J105" s="664">
        <v>1</v>
      </c>
      <c r="K105" s="664">
        <v>884.32</v>
      </c>
      <c r="L105" s="664"/>
      <c r="M105" s="664">
        <v>884.32</v>
      </c>
      <c r="N105" s="664"/>
      <c r="O105" s="664"/>
      <c r="P105" s="677"/>
      <c r="Q105" s="665"/>
    </row>
    <row r="106" spans="1:17" ht="14.4" customHeight="1" x14ac:dyDescent="0.3">
      <c r="A106" s="660" t="s">
        <v>1441</v>
      </c>
      <c r="B106" s="661" t="s">
        <v>1256</v>
      </c>
      <c r="C106" s="661" t="s">
        <v>1327</v>
      </c>
      <c r="D106" s="661" t="s">
        <v>1361</v>
      </c>
      <c r="E106" s="661" t="s">
        <v>1362</v>
      </c>
      <c r="F106" s="664">
        <v>1</v>
      </c>
      <c r="G106" s="664">
        <v>1754</v>
      </c>
      <c r="H106" s="664">
        <v>1</v>
      </c>
      <c r="I106" s="664">
        <v>1754</v>
      </c>
      <c r="J106" s="664">
        <v>1</v>
      </c>
      <c r="K106" s="664">
        <v>1754</v>
      </c>
      <c r="L106" s="664">
        <v>1</v>
      </c>
      <c r="M106" s="664">
        <v>1754</v>
      </c>
      <c r="N106" s="664"/>
      <c r="O106" s="664"/>
      <c r="P106" s="677"/>
      <c r="Q106" s="665"/>
    </row>
    <row r="107" spans="1:17" ht="14.4" customHeight="1" x14ac:dyDescent="0.3">
      <c r="A107" s="660" t="s">
        <v>1441</v>
      </c>
      <c r="B107" s="661" t="s">
        <v>1256</v>
      </c>
      <c r="C107" s="661" t="s">
        <v>1327</v>
      </c>
      <c r="D107" s="661" t="s">
        <v>1363</v>
      </c>
      <c r="E107" s="661" t="s">
        <v>1364</v>
      </c>
      <c r="F107" s="664">
        <v>1</v>
      </c>
      <c r="G107" s="664">
        <v>410</v>
      </c>
      <c r="H107" s="664">
        <v>1</v>
      </c>
      <c r="I107" s="664">
        <v>410</v>
      </c>
      <c r="J107" s="664"/>
      <c r="K107" s="664"/>
      <c r="L107" s="664"/>
      <c r="M107" s="664"/>
      <c r="N107" s="664"/>
      <c r="O107" s="664"/>
      <c r="P107" s="677"/>
      <c r="Q107" s="665"/>
    </row>
    <row r="108" spans="1:17" ht="14.4" customHeight="1" x14ac:dyDescent="0.3">
      <c r="A108" s="660" t="s">
        <v>1441</v>
      </c>
      <c r="B108" s="661" t="s">
        <v>1256</v>
      </c>
      <c r="C108" s="661" t="s">
        <v>1327</v>
      </c>
      <c r="D108" s="661" t="s">
        <v>1369</v>
      </c>
      <c r="E108" s="661" t="s">
        <v>1370</v>
      </c>
      <c r="F108" s="664">
        <v>1</v>
      </c>
      <c r="G108" s="664">
        <v>14328</v>
      </c>
      <c r="H108" s="664">
        <v>1</v>
      </c>
      <c r="I108" s="664">
        <v>14328</v>
      </c>
      <c r="J108" s="664">
        <v>2</v>
      </c>
      <c r="K108" s="664">
        <v>28656</v>
      </c>
      <c r="L108" s="664">
        <v>2</v>
      </c>
      <c r="M108" s="664">
        <v>14328</v>
      </c>
      <c r="N108" s="664"/>
      <c r="O108" s="664"/>
      <c r="P108" s="677"/>
      <c r="Q108" s="665"/>
    </row>
    <row r="109" spans="1:17" ht="14.4" customHeight="1" x14ac:dyDescent="0.3">
      <c r="A109" s="660" t="s">
        <v>1441</v>
      </c>
      <c r="B109" s="661" t="s">
        <v>1256</v>
      </c>
      <c r="C109" s="661" t="s">
        <v>1327</v>
      </c>
      <c r="D109" s="661" t="s">
        <v>1379</v>
      </c>
      <c r="E109" s="661" t="s">
        <v>1380</v>
      </c>
      <c r="F109" s="664">
        <v>1</v>
      </c>
      <c r="G109" s="664">
        <v>580</v>
      </c>
      <c r="H109" s="664">
        <v>1</v>
      </c>
      <c r="I109" s="664">
        <v>580</v>
      </c>
      <c r="J109" s="664"/>
      <c r="K109" s="664"/>
      <c r="L109" s="664"/>
      <c r="M109" s="664"/>
      <c r="N109" s="664"/>
      <c r="O109" s="664"/>
      <c r="P109" s="677"/>
      <c r="Q109" s="665"/>
    </row>
    <row r="110" spans="1:17" ht="14.4" customHeight="1" x14ac:dyDescent="0.3">
      <c r="A110" s="660" t="s">
        <v>1441</v>
      </c>
      <c r="B110" s="661" t="s">
        <v>1256</v>
      </c>
      <c r="C110" s="661" t="s">
        <v>1327</v>
      </c>
      <c r="D110" s="661" t="s">
        <v>1389</v>
      </c>
      <c r="E110" s="661" t="s">
        <v>1390</v>
      </c>
      <c r="F110" s="664"/>
      <c r="G110" s="664"/>
      <c r="H110" s="664"/>
      <c r="I110" s="664"/>
      <c r="J110" s="664">
        <v>1</v>
      </c>
      <c r="K110" s="664">
        <v>2242</v>
      </c>
      <c r="L110" s="664"/>
      <c r="M110" s="664">
        <v>2242</v>
      </c>
      <c r="N110" s="664"/>
      <c r="O110" s="664"/>
      <c r="P110" s="677"/>
      <c r="Q110" s="665"/>
    </row>
    <row r="111" spans="1:17" ht="14.4" customHeight="1" x14ac:dyDescent="0.3">
      <c r="A111" s="660" t="s">
        <v>1442</v>
      </c>
      <c r="B111" s="661" t="s">
        <v>1256</v>
      </c>
      <c r="C111" s="661" t="s">
        <v>1257</v>
      </c>
      <c r="D111" s="661" t="s">
        <v>1258</v>
      </c>
      <c r="E111" s="661" t="s">
        <v>732</v>
      </c>
      <c r="F111" s="664"/>
      <c r="G111" s="664"/>
      <c r="H111" s="664"/>
      <c r="I111" s="664"/>
      <c r="J111" s="664">
        <v>0.6</v>
      </c>
      <c r="K111" s="664">
        <v>1186.82</v>
      </c>
      <c r="L111" s="664"/>
      <c r="M111" s="664">
        <v>1978.0333333333333</v>
      </c>
      <c r="N111" s="664"/>
      <c r="O111" s="664"/>
      <c r="P111" s="677"/>
      <c r="Q111" s="665"/>
    </row>
    <row r="112" spans="1:17" ht="14.4" customHeight="1" x14ac:dyDescent="0.3">
      <c r="A112" s="660" t="s">
        <v>1442</v>
      </c>
      <c r="B112" s="661" t="s">
        <v>1256</v>
      </c>
      <c r="C112" s="661" t="s">
        <v>1268</v>
      </c>
      <c r="D112" s="661" t="s">
        <v>1281</v>
      </c>
      <c r="E112" s="661" t="s">
        <v>1282</v>
      </c>
      <c r="F112" s="664"/>
      <c r="G112" s="664"/>
      <c r="H112" s="664"/>
      <c r="I112" s="664"/>
      <c r="J112" s="664">
        <v>1000</v>
      </c>
      <c r="K112" s="664">
        <v>5550</v>
      </c>
      <c r="L112" s="664"/>
      <c r="M112" s="664">
        <v>5.55</v>
      </c>
      <c r="N112" s="664"/>
      <c r="O112" s="664"/>
      <c r="P112" s="677"/>
      <c r="Q112" s="665"/>
    </row>
    <row r="113" spans="1:17" ht="14.4" customHeight="1" x14ac:dyDescent="0.3">
      <c r="A113" s="660" t="s">
        <v>1442</v>
      </c>
      <c r="B113" s="661" t="s">
        <v>1256</v>
      </c>
      <c r="C113" s="661" t="s">
        <v>1268</v>
      </c>
      <c r="D113" s="661" t="s">
        <v>1309</v>
      </c>
      <c r="E113" s="661" t="s">
        <v>1310</v>
      </c>
      <c r="F113" s="664"/>
      <c r="G113" s="664"/>
      <c r="H113" s="664"/>
      <c r="I113" s="664"/>
      <c r="J113" s="664">
        <v>600</v>
      </c>
      <c r="K113" s="664">
        <v>19980</v>
      </c>
      <c r="L113" s="664"/>
      <c r="M113" s="664">
        <v>33.299999999999997</v>
      </c>
      <c r="N113" s="664"/>
      <c r="O113" s="664"/>
      <c r="P113" s="677"/>
      <c r="Q113" s="665"/>
    </row>
    <row r="114" spans="1:17" ht="14.4" customHeight="1" x14ac:dyDescent="0.3">
      <c r="A114" s="660" t="s">
        <v>1442</v>
      </c>
      <c r="B114" s="661" t="s">
        <v>1256</v>
      </c>
      <c r="C114" s="661" t="s">
        <v>1324</v>
      </c>
      <c r="D114" s="661" t="s">
        <v>1325</v>
      </c>
      <c r="E114" s="661" t="s">
        <v>1326</v>
      </c>
      <c r="F114" s="664"/>
      <c r="G114" s="664"/>
      <c r="H114" s="664"/>
      <c r="I114" s="664"/>
      <c r="J114" s="664">
        <v>1</v>
      </c>
      <c r="K114" s="664">
        <v>884.32</v>
      </c>
      <c r="L114" s="664"/>
      <c r="M114" s="664">
        <v>884.32</v>
      </c>
      <c r="N114" s="664"/>
      <c r="O114" s="664"/>
      <c r="P114" s="677"/>
      <c r="Q114" s="665"/>
    </row>
    <row r="115" spans="1:17" ht="14.4" customHeight="1" x14ac:dyDescent="0.3">
      <c r="A115" s="660" t="s">
        <v>1442</v>
      </c>
      <c r="B115" s="661" t="s">
        <v>1256</v>
      </c>
      <c r="C115" s="661" t="s">
        <v>1327</v>
      </c>
      <c r="D115" s="661" t="s">
        <v>1361</v>
      </c>
      <c r="E115" s="661" t="s">
        <v>1362</v>
      </c>
      <c r="F115" s="664"/>
      <c r="G115" s="664"/>
      <c r="H115" s="664"/>
      <c r="I115" s="664"/>
      <c r="J115" s="664">
        <v>2</v>
      </c>
      <c r="K115" s="664">
        <v>3508</v>
      </c>
      <c r="L115" s="664"/>
      <c r="M115" s="664">
        <v>1754</v>
      </c>
      <c r="N115" s="664"/>
      <c r="O115" s="664"/>
      <c r="P115" s="677"/>
      <c r="Q115" s="665"/>
    </row>
    <row r="116" spans="1:17" ht="14.4" customHeight="1" x14ac:dyDescent="0.3">
      <c r="A116" s="660" t="s">
        <v>1442</v>
      </c>
      <c r="B116" s="661" t="s">
        <v>1256</v>
      </c>
      <c r="C116" s="661" t="s">
        <v>1327</v>
      </c>
      <c r="D116" s="661" t="s">
        <v>1363</v>
      </c>
      <c r="E116" s="661" t="s">
        <v>1364</v>
      </c>
      <c r="F116" s="664"/>
      <c r="G116" s="664"/>
      <c r="H116" s="664"/>
      <c r="I116" s="664"/>
      <c r="J116" s="664">
        <v>2</v>
      </c>
      <c r="K116" s="664">
        <v>820</v>
      </c>
      <c r="L116" s="664"/>
      <c r="M116" s="664">
        <v>410</v>
      </c>
      <c r="N116" s="664"/>
      <c r="O116" s="664"/>
      <c r="P116" s="677"/>
      <c r="Q116" s="665"/>
    </row>
    <row r="117" spans="1:17" ht="14.4" customHeight="1" x14ac:dyDescent="0.3">
      <c r="A117" s="660" t="s">
        <v>1442</v>
      </c>
      <c r="B117" s="661" t="s">
        <v>1256</v>
      </c>
      <c r="C117" s="661" t="s">
        <v>1327</v>
      </c>
      <c r="D117" s="661" t="s">
        <v>1369</v>
      </c>
      <c r="E117" s="661" t="s">
        <v>1370</v>
      </c>
      <c r="F117" s="664"/>
      <c r="G117" s="664"/>
      <c r="H117" s="664"/>
      <c r="I117" s="664"/>
      <c r="J117" s="664">
        <v>1</v>
      </c>
      <c r="K117" s="664">
        <v>14328</v>
      </c>
      <c r="L117" s="664"/>
      <c r="M117" s="664">
        <v>14328</v>
      </c>
      <c r="N117" s="664"/>
      <c r="O117" s="664"/>
      <c r="P117" s="677"/>
      <c r="Q117" s="665"/>
    </row>
    <row r="118" spans="1:17" ht="14.4" customHeight="1" x14ac:dyDescent="0.3">
      <c r="A118" s="660" t="s">
        <v>1442</v>
      </c>
      <c r="B118" s="661" t="s">
        <v>1256</v>
      </c>
      <c r="C118" s="661" t="s">
        <v>1327</v>
      </c>
      <c r="D118" s="661" t="s">
        <v>1379</v>
      </c>
      <c r="E118" s="661" t="s">
        <v>1380</v>
      </c>
      <c r="F118" s="664"/>
      <c r="G118" s="664"/>
      <c r="H118" s="664"/>
      <c r="I118" s="664"/>
      <c r="J118" s="664">
        <v>1</v>
      </c>
      <c r="K118" s="664">
        <v>580</v>
      </c>
      <c r="L118" s="664"/>
      <c r="M118" s="664">
        <v>580</v>
      </c>
      <c r="N118" s="664"/>
      <c r="O118" s="664"/>
      <c r="P118" s="677"/>
      <c r="Q118" s="665"/>
    </row>
    <row r="119" spans="1:17" ht="14.4" customHeight="1" x14ac:dyDescent="0.3">
      <c r="A119" s="660" t="s">
        <v>1443</v>
      </c>
      <c r="B119" s="661" t="s">
        <v>1256</v>
      </c>
      <c r="C119" s="661" t="s">
        <v>1268</v>
      </c>
      <c r="D119" s="661" t="s">
        <v>1273</v>
      </c>
      <c r="E119" s="661" t="s">
        <v>1274</v>
      </c>
      <c r="F119" s="664"/>
      <c r="G119" s="664"/>
      <c r="H119" s="664"/>
      <c r="I119" s="664"/>
      <c r="J119" s="664"/>
      <c r="K119" s="664"/>
      <c r="L119" s="664"/>
      <c r="M119" s="664"/>
      <c r="N119" s="664">
        <v>180</v>
      </c>
      <c r="O119" s="664">
        <v>957.6</v>
      </c>
      <c r="P119" s="677"/>
      <c r="Q119" s="665">
        <v>5.32</v>
      </c>
    </row>
    <row r="120" spans="1:17" ht="14.4" customHeight="1" x14ac:dyDescent="0.3">
      <c r="A120" s="660" t="s">
        <v>1443</v>
      </c>
      <c r="B120" s="661" t="s">
        <v>1256</v>
      </c>
      <c r="C120" s="661" t="s">
        <v>1327</v>
      </c>
      <c r="D120" s="661" t="s">
        <v>1361</v>
      </c>
      <c r="E120" s="661" t="s">
        <v>1362</v>
      </c>
      <c r="F120" s="664"/>
      <c r="G120" s="664"/>
      <c r="H120" s="664"/>
      <c r="I120" s="664"/>
      <c r="J120" s="664"/>
      <c r="K120" s="664"/>
      <c r="L120" s="664"/>
      <c r="M120" s="664"/>
      <c r="N120" s="664">
        <v>1</v>
      </c>
      <c r="O120" s="664">
        <v>1762</v>
      </c>
      <c r="P120" s="677"/>
      <c r="Q120" s="665">
        <v>1762</v>
      </c>
    </row>
    <row r="121" spans="1:17" ht="14.4" customHeight="1" x14ac:dyDescent="0.3">
      <c r="A121" s="660" t="s">
        <v>1443</v>
      </c>
      <c r="B121" s="661" t="s">
        <v>1256</v>
      </c>
      <c r="C121" s="661" t="s">
        <v>1327</v>
      </c>
      <c r="D121" s="661" t="s">
        <v>1387</v>
      </c>
      <c r="E121" s="661" t="s">
        <v>1388</v>
      </c>
      <c r="F121" s="664"/>
      <c r="G121" s="664"/>
      <c r="H121" s="664"/>
      <c r="I121" s="664"/>
      <c r="J121" s="664"/>
      <c r="K121" s="664"/>
      <c r="L121" s="664"/>
      <c r="M121" s="664"/>
      <c r="N121" s="664">
        <v>1</v>
      </c>
      <c r="O121" s="664">
        <v>490</v>
      </c>
      <c r="P121" s="677"/>
      <c r="Q121" s="665">
        <v>490</v>
      </c>
    </row>
    <row r="122" spans="1:17" ht="14.4" customHeight="1" x14ac:dyDescent="0.3">
      <c r="A122" s="660" t="s">
        <v>1444</v>
      </c>
      <c r="B122" s="661" t="s">
        <v>1256</v>
      </c>
      <c r="C122" s="661" t="s">
        <v>1257</v>
      </c>
      <c r="D122" s="661" t="s">
        <v>1263</v>
      </c>
      <c r="E122" s="661" t="s">
        <v>743</v>
      </c>
      <c r="F122" s="664"/>
      <c r="G122" s="664"/>
      <c r="H122" s="664"/>
      <c r="I122" s="664"/>
      <c r="J122" s="664">
        <v>0.5</v>
      </c>
      <c r="K122" s="664">
        <v>1092.1600000000001</v>
      </c>
      <c r="L122" s="664"/>
      <c r="M122" s="664">
        <v>2184.3200000000002</v>
      </c>
      <c r="N122" s="664"/>
      <c r="O122" s="664"/>
      <c r="P122" s="677"/>
      <c r="Q122" s="665"/>
    </row>
    <row r="123" spans="1:17" ht="14.4" customHeight="1" x14ac:dyDescent="0.3">
      <c r="A123" s="660" t="s">
        <v>1444</v>
      </c>
      <c r="B123" s="661" t="s">
        <v>1256</v>
      </c>
      <c r="C123" s="661" t="s">
        <v>1257</v>
      </c>
      <c r="D123" s="661" t="s">
        <v>1264</v>
      </c>
      <c r="E123" s="661" t="s">
        <v>736</v>
      </c>
      <c r="F123" s="664"/>
      <c r="G123" s="664"/>
      <c r="H123" s="664"/>
      <c r="I123" s="664"/>
      <c r="J123" s="664">
        <v>0.05</v>
      </c>
      <c r="K123" s="664">
        <v>47.24</v>
      </c>
      <c r="L123" s="664"/>
      <c r="M123" s="664">
        <v>944.8</v>
      </c>
      <c r="N123" s="664"/>
      <c r="O123" s="664"/>
      <c r="P123" s="677"/>
      <c r="Q123" s="665"/>
    </row>
    <row r="124" spans="1:17" ht="14.4" customHeight="1" x14ac:dyDescent="0.3">
      <c r="A124" s="660" t="s">
        <v>1444</v>
      </c>
      <c r="B124" s="661" t="s">
        <v>1256</v>
      </c>
      <c r="C124" s="661" t="s">
        <v>1268</v>
      </c>
      <c r="D124" s="661" t="s">
        <v>1273</v>
      </c>
      <c r="E124" s="661" t="s">
        <v>1274</v>
      </c>
      <c r="F124" s="664">
        <v>180</v>
      </c>
      <c r="G124" s="664">
        <v>871.2</v>
      </c>
      <c r="H124" s="664">
        <v>1</v>
      </c>
      <c r="I124" s="664">
        <v>4.84</v>
      </c>
      <c r="J124" s="664">
        <v>80</v>
      </c>
      <c r="K124" s="664">
        <v>408</v>
      </c>
      <c r="L124" s="664">
        <v>0.4683195592286501</v>
      </c>
      <c r="M124" s="664">
        <v>5.0999999999999996</v>
      </c>
      <c r="N124" s="664">
        <v>180</v>
      </c>
      <c r="O124" s="664">
        <v>957.6</v>
      </c>
      <c r="P124" s="677">
        <v>1.0991735537190082</v>
      </c>
      <c r="Q124" s="665">
        <v>5.32</v>
      </c>
    </row>
    <row r="125" spans="1:17" ht="14.4" customHeight="1" x14ac:dyDescent="0.3">
      <c r="A125" s="660" t="s">
        <v>1444</v>
      </c>
      <c r="B125" s="661" t="s">
        <v>1256</v>
      </c>
      <c r="C125" s="661" t="s">
        <v>1268</v>
      </c>
      <c r="D125" s="661" t="s">
        <v>1299</v>
      </c>
      <c r="E125" s="661" t="s">
        <v>1300</v>
      </c>
      <c r="F125" s="664"/>
      <c r="G125" s="664"/>
      <c r="H125" s="664"/>
      <c r="I125" s="664"/>
      <c r="J125" s="664"/>
      <c r="K125" s="664"/>
      <c r="L125" s="664"/>
      <c r="M125" s="664"/>
      <c r="N125" s="664">
        <v>1</v>
      </c>
      <c r="O125" s="664">
        <v>2193.58</v>
      </c>
      <c r="P125" s="677"/>
      <c r="Q125" s="665">
        <v>2193.58</v>
      </c>
    </row>
    <row r="126" spans="1:17" ht="14.4" customHeight="1" x14ac:dyDescent="0.3">
      <c r="A126" s="660" t="s">
        <v>1444</v>
      </c>
      <c r="B126" s="661" t="s">
        <v>1256</v>
      </c>
      <c r="C126" s="661" t="s">
        <v>1268</v>
      </c>
      <c r="D126" s="661" t="s">
        <v>1309</v>
      </c>
      <c r="E126" s="661" t="s">
        <v>1310</v>
      </c>
      <c r="F126" s="664"/>
      <c r="G126" s="664"/>
      <c r="H126" s="664"/>
      <c r="I126" s="664"/>
      <c r="J126" s="664">
        <v>370</v>
      </c>
      <c r="K126" s="664">
        <v>12321</v>
      </c>
      <c r="L126" s="664"/>
      <c r="M126" s="664">
        <v>33.299999999999997</v>
      </c>
      <c r="N126" s="664"/>
      <c r="O126" s="664"/>
      <c r="P126" s="677"/>
      <c r="Q126" s="665"/>
    </row>
    <row r="127" spans="1:17" ht="14.4" customHeight="1" x14ac:dyDescent="0.3">
      <c r="A127" s="660" t="s">
        <v>1444</v>
      </c>
      <c r="B127" s="661" t="s">
        <v>1256</v>
      </c>
      <c r="C127" s="661" t="s">
        <v>1324</v>
      </c>
      <c r="D127" s="661" t="s">
        <v>1325</v>
      </c>
      <c r="E127" s="661" t="s">
        <v>1326</v>
      </c>
      <c r="F127" s="664"/>
      <c r="G127" s="664"/>
      <c r="H127" s="664"/>
      <c r="I127" s="664"/>
      <c r="J127" s="664">
        <v>1</v>
      </c>
      <c r="K127" s="664">
        <v>884.32</v>
      </c>
      <c r="L127" s="664"/>
      <c r="M127" s="664">
        <v>884.32</v>
      </c>
      <c r="N127" s="664"/>
      <c r="O127" s="664"/>
      <c r="P127" s="677"/>
      <c r="Q127" s="665"/>
    </row>
    <row r="128" spans="1:17" ht="14.4" customHeight="1" x14ac:dyDescent="0.3">
      <c r="A128" s="660" t="s">
        <v>1444</v>
      </c>
      <c r="B128" s="661" t="s">
        <v>1256</v>
      </c>
      <c r="C128" s="661" t="s">
        <v>1327</v>
      </c>
      <c r="D128" s="661" t="s">
        <v>1357</v>
      </c>
      <c r="E128" s="661" t="s">
        <v>1358</v>
      </c>
      <c r="F128" s="664"/>
      <c r="G128" s="664"/>
      <c r="H128" s="664"/>
      <c r="I128" s="664"/>
      <c r="J128" s="664"/>
      <c r="K128" s="664"/>
      <c r="L128" s="664"/>
      <c r="M128" s="664"/>
      <c r="N128" s="664">
        <v>1</v>
      </c>
      <c r="O128" s="664">
        <v>658</v>
      </c>
      <c r="P128" s="677"/>
      <c r="Q128" s="665">
        <v>658</v>
      </c>
    </row>
    <row r="129" spans="1:17" ht="14.4" customHeight="1" x14ac:dyDescent="0.3">
      <c r="A129" s="660" t="s">
        <v>1444</v>
      </c>
      <c r="B129" s="661" t="s">
        <v>1256</v>
      </c>
      <c r="C129" s="661" t="s">
        <v>1327</v>
      </c>
      <c r="D129" s="661" t="s">
        <v>1361</v>
      </c>
      <c r="E129" s="661" t="s">
        <v>1362</v>
      </c>
      <c r="F129" s="664">
        <v>1</v>
      </c>
      <c r="G129" s="664">
        <v>1754</v>
      </c>
      <c r="H129" s="664">
        <v>1</v>
      </c>
      <c r="I129" s="664">
        <v>1754</v>
      </c>
      <c r="J129" s="664"/>
      <c r="K129" s="664"/>
      <c r="L129" s="664"/>
      <c r="M129" s="664"/>
      <c r="N129" s="664"/>
      <c r="O129" s="664"/>
      <c r="P129" s="677"/>
      <c r="Q129" s="665"/>
    </row>
    <row r="130" spans="1:17" ht="14.4" customHeight="1" x14ac:dyDescent="0.3">
      <c r="A130" s="660" t="s">
        <v>1444</v>
      </c>
      <c r="B130" s="661" t="s">
        <v>1256</v>
      </c>
      <c r="C130" s="661" t="s">
        <v>1327</v>
      </c>
      <c r="D130" s="661" t="s">
        <v>1369</v>
      </c>
      <c r="E130" s="661" t="s">
        <v>1370</v>
      </c>
      <c r="F130" s="664"/>
      <c r="G130" s="664"/>
      <c r="H130" s="664"/>
      <c r="I130" s="664"/>
      <c r="J130" s="664">
        <v>1</v>
      </c>
      <c r="K130" s="664">
        <v>14328</v>
      </c>
      <c r="L130" s="664"/>
      <c r="M130" s="664">
        <v>14328</v>
      </c>
      <c r="N130" s="664"/>
      <c r="O130" s="664"/>
      <c r="P130" s="677"/>
      <c r="Q130" s="665"/>
    </row>
    <row r="131" spans="1:17" ht="14.4" customHeight="1" x14ac:dyDescent="0.3">
      <c r="A131" s="660" t="s">
        <v>1444</v>
      </c>
      <c r="B131" s="661" t="s">
        <v>1256</v>
      </c>
      <c r="C131" s="661" t="s">
        <v>1327</v>
      </c>
      <c r="D131" s="661" t="s">
        <v>1387</v>
      </c>
      <c r="E131" s="661" t="s">
        <v>1388</v>
      </c>
      <c r="F131" s="664">
        <v>1</v>
      </c>
      <c r="G131" s="664">
        <v>487</v>
      </c>
      <c r="H131" s="664">
        <v>1</v>
      </c>
      <c r="I131" s="664">
        <v>487</v>
      </c>
      <c r="J131" s="664">
        <v>1</v>
      </c>
      <c r="K131" s="664">
        <v>487</v>
      </c>
      <c r="L131" s="664">
        <v>1</v>
      </c>
      <c r="M131" s="664">
        <v>487</v>
      </c>
      <c r="N131" s="664">
        <v>1</v>
      </c>
      <c r="O131" s="664">
        <v>490</v>
      </c>
      <c r="P131" s="677">
        <v>1.0061601642710472</v>
      </c>
      <c r="Q131" s="665">
        <v>490</v>
      </c>
    </row>
    <row r="132" spans="1:17" ht="14.4" customHeight="1" x14ac:dyDescent="0.3">
      <c r="A132" s="660" t="s">
        <v>1445</v>
      </c>
      <c r="B132" s="661" t="s">
        <v>1256</v>
      </c>
      <c r="C132" s="661" t="s">
        <v>1257</v>
      </c>
      <c r="D132" s="661" t="s">
        <v>1258</v>
      </c>
      <c r="E132" s="661" t="s">
        <v>732</v>
      </c>
      <c r="F132" s="664"/>
      <c r="G132" s="664"/>
      <c r="H132" s="664"/>
      <c r="I132" s="664"/>
      <c r="J132" s="664"/>
      <c r="K132" s="664"/>
      <c r="L132" s="664"/>
      <c r="M132" s="664"/>
      <c r="N132" s="664">
        <v>0.4</v>
      </c>
      <c r="O132" s="664">
        <v>761.07</v>
      </c>
      <c r="P132" s="677"/>
      <c r="Q132" s="665">
        <v>1902.675</v>
      </c>
    </row>
    <row r="133" spans="1:17" ht="14.4" customHeight="1" x14ac:dyDescent="0.3">
      <c r="A133" s="660" t="s">
        <v>1445</v>
      </c>
      <c r="B133" s="661" t="s">
        <v>1256</v>
      </c>
      <c r="C133" s="661" t="s">
        <v>1257</v>
      </c>
      <c r="D133" s="661" t="s">
        <v>1262</v>
      </c>
      <c r="E133" s="661" t="s">
        <v>1248</v>
      </c>
      <c r="F133" s="664"/>
      <c r="G133" s="664"/>
      <c r="H133" s="664"/>
      <c r="I133" s="664"/>
      <c r="J133" s="664">
        <v>0.89999999999999991</v>
      </c>
      <c r="K133" s="664">
        <v>982.93</v>
      </c>
      <c r="L133" s="664"/>
      <c r="M133" s="664">
        <v>1092.1444444444444</v>
      </c>
      <c r="N133" s="664"/>
      <c r="O133" s="664"/>
      <c r="P133" s="677"/>
      <c r="Q133" s="665"/>
    </row>
    <row r="134" spans="1:17" ht="14.4" customHeight="1" x14ac:dyDescent="0.3">
      <c r="A134" s="660" t="s">
        <v>1445</v>
      </c>
      <c r="B134" s="661" t="s">
        <v>1256</v>
      </c>
      <c r="C134" s="661" t="s">
        <v>1257</v>
      </c>
      <c r="D134" s="661" t="s">
        <v>1263</v>
      </c>
      <c r="E134" s="661" t="s">
        <v>743</v>
      </c>
      <c r="F134" s="664">
        <v>0.4</v>
      </c>
      <c r="G134" s="664">
        <v>873.72</v>
      </c>
      <c r="H134" s="664">
        <v>1</v>
      </c>
      <c r="I134" s="664">
        <v>2184.2999999999997</v>
      </c>
      <c r="J134" s="664">
        <v>0.2</v>
      </c>
      <c r="K134" s="664">
        <v>436.86</v>
      </c>
      <c r="L134" s="664">
        <v>0.5</v>
      </c>
      <c r="M134" s="664">
        <v>2184.2999999999997</v>
      </c>
      <c r="N134" s="664"/>
      <c r="O134" s="664"/>
      <c r="P134" s="677"/>
      <c r="Q134" s="665"/>
    </row>
    <row r="135" spans="1:17" ht="14.4" customHeight="1" x14ac:dyDescent="0.3">
      <c r="A135" s="660" t="s">
        <v>1445</v>
      </c>
      <c r="B135" s="661" t="s">
        <v>1256</v>
      </c>
      <c r="C135" s="661" t="s">
        <v>1257</v>
      </c>
      <c r="D135" s="661" t="s">
        <v>1264</v>
      </c>
      <c r="E135" s="661" t="s">
        <v>736</v>
      </c>
      <c r="F135" s="664"/>
      <c r="G135" s="664"/>
      <c r="H135" s="664"/>
      <c r="I135" s="664"/>
      <c r="J135" s="664">
        <v>0.03</v>
      </c>
      <c r="K135" s="664">
        <v>23.62</v>
      </c>
      <c r="L135" s="664"/>
      <c r="M135" s="664">
        <v>787.33333333333337</v>
      </c>
      <c r="N135" s="664">
        <v>0.05</v>
      </c>
      <c r="O135" s="664">
        <v>45.19</v>
      </c>
      <c r="P135" s="677"/>
      <c r="Q135" s="665">
        <v>903.8</v>
      </c>
    </row>
    <row r="136" spans="1:17" ht="14.4" customHeight="1" x14ac:dyDescent="0.3">
      <c r="A136" s="660" t="s">
        <v>1445</v>
      </c>
      <c r="B136" s="661" t="s">
        <v>1256</v>
      </c>
      <c r="C136" s="661" t="s">
        <v>1268</v>
      </c>
      <c r="D136" s="661" t="s">
        <v>1271</v>
      </c>
      <c r="E136" s="661" t="s">
        <v>1272</v>
      </c>
      <c r="F136" s="664">
        <v>120</v>
      </c>
      <c r="G136" s="664">
        <v>228</v>
      </c>
      <c r="H136" s="664">
        <v>1</v>
      </c>
      <c r="I136" s="664">
        <v>1.9</v>
      </c>
      <c r="J136" s="664">
        <v>120</v>
      </c>
      <c r="K136" s="664">
        <v>240</v>
      </c>
      <c r="L136" s="664">
        <v>1.0526315789473684</v>
      </c>
      <c r="M136" s="664">
        <v>2</v>
      </c>
      <c r="N136" s="664"/>
      <c r="O136" s="664"/>
      <c r="P136" s="677"/>
      <c r="Q136" s="665"/>
    </row>
    <row r="137" spans="1:17" ht="14.4" customHeight="1" x14ac:dyDescent="0.3">
      <c r="A137" s="660" t="s">
        <v>1445</v>
      </c>
      <c r="B137" s="661" t="s">
        <v>1256</v>
      </c>
      <c r="C137" s="661" t="s">
        <v>1268</v>
      </c>
      <c r="D137" s="661" t="s">
        <v>1283</v>
      </c>
      <c r="E137" s="661" t="s">
        <v>1284</v>
      </c>
      <c r="F137" s="664">
        <v>193</v>
      </c>
      <c r="G137" s="664">
        <v>1505.93</v>
      </c>
      <c r="H137" s="664">
        <v>1</v>
      </c>
      <c r="I137" s="664">
        <v>7.8027461139896372</v>
      </c>
      <c r="J137" s="664"/>
      <c r="K137" s="664"/>
      <c r="L137" s="664"/>
      <c r="M137" s="664"/>
      <c r="N137" s="664">
        <v>27</v>
      </c>
      <c r="O137" s="664">
        <v>227.34</v>
      </c>
      <c r="P137" s="677">
        <v>0.15096319218024742</v>
      </c>
      <c r="Q137" s="665">
        <v>8.42</v>
      </c>
    </row>
    <row r="138" spans="1:17" ht="14.4" customHeight="1" x14ac:dyDescent="0.3">
      <c r="A138" s="660" t="s">
        <v>1445</v>
      </c>
      <c r="B138" s="661" t="s">
        <v>1256</v>
      </c>
      <c r="C138" s="661" t="s">
        <v>1268</v>
      </c>
      <c r="D138" s="661" t="s">
        <v>1287</v>
      </c>
      <c r="E138" s="661" t="s">
        <v>1288</v>
      </c>
      <c r="F138" s="664">
        <v>84</v>
      </c>
      <c r="G138" s="664">
        <v>737.52</v>
      </c>
      <c r="H138" s="664">
        <v>1</v>
      </c>
      <c r="I138" s="664">
        <v>8.7799999999999994</v>
      </c>
      <c r="J138" s="664"/>
      <c r="K138" s="664"/>
      <c r="L138" s="664"/>
      <c r="M138" s="664"/>
      <c r="N138" s="664">
        <v>62.5</v>
      </c>
      <c r="O138" s="664">
        <v>591.87</v>
      </c>
      <c r="P138" s="677">
        <v>0.80251383013342015</v>
      </c>
      <c r="Q138" s="665">
        <v>9.4699200000000001</v>
      </c>
    </row>
    <row r="139" spans="1:17" ht="14.4" customHeight="1" x14ac:dyDescent="0.3">
      <c r="A139" s="660" t="s">
        <v>1445</v>
      </c>
      <c r="B139" s="661" t="s">
        <v>1256</v>
      </c>
      <c r="C139" s="661" t="s">
        <v>1268</v>
      </c>
      <c r="D139" s="661" t="s">
        <v>1309</v>
      </c>
      <c r="E139" s="661" t="s">
        <v>1310</v>
      </c>
      <c r="F139" s="664">
        <v>390</v>
      </c>
      <c r="G139" s="664">
        <v>12975.3</v>
      </c>
      <c r="H139" s="664">
        <v>1</v>
      </c>
      <c r="I139" s="664">
        <v>33.269999999999996</v>
      </c>
      <c r="J139" s="664">
        <v>617</v>
      </c>
      <c r="K139" s="664">
        <v>20546.100000000002</v>
      </c>
      <c r="L139" s="664">
        <v>1.5834778386626902</v>
      </c>
      <c r="M139" s="664">
        <v>33.300000000000004</v>
      </c>
      <c r="N139" s="664">
        <v>399</v>
      </c>
      <c r="O139" s="664">
        <v>13386.45</v>
      </c>
      <c r="P139" s="677">
        <v>1.0316871286213036</v>
      </c>
      <c r="Q139" s="665">
        <v>33.550000000000004</v>
      </c>
    </row>
    <row r="140" spans="1:17" ht="14.4" customHeight="1" x14ac:dyDescent="0.3">
      <c r="A140" s="660" t="s">
        <v>1445</v>
      </c>
      <c r="B140" s="661" t="s">
        <v>1256</v>
      </c>
      <c r="C140" s="661" t="s">
        <v>1324</v>
      </c>
      <c r="D140" s="661" t="s">
        <v>1325</v>
      </c>
      <c r="E140" s="661" t="s">
        <v>1326</v>
      </c>
      <c r="F140" s="664"/>
      <c r="G140" s="664"/>
      <c r="H140" s="664"/>
      <c r="I140" s="664"/>
      <c r="J140" s="664">
        <v>3</v>
      </c>
      <c r="K140" s="664">
        <v>2652.96</v>
      </c>
      <c r="L140" s="664"/>
      <c r="M140" s="664">
        <v>884.32</v>
      </c>
      <c r="N140" s="664">
        <v>1</v>
      </c>
      <c r="O140" s="664">
        <v>884.32</v>
      </c>
      <c r="P140" s="677"/>
      <c r="Q140" s="665">
        <v>884.32</v>
      </c>
    </row>
    <row r="141" spans="1:17" ht="14.4" customHeight="1" x14ac:dyDescent="0.3">
      <c r="A141" s="660" t="s">
        <v>1445</v>
      </c>
      <c r="B141" s="661" t="s">
        <v>1256</v>
      </c>
      <c r="C141" s="661" t="s">
        <v>1327</v>
      </c>
      <c r="D141" s="661" t="s">
        <v>1345</v>
      </c>
      <c r="E141" s="661" t="s">
        <v>1346</v>
      </c>
      <c r="F141" s="664">
        <v>1</v>
      </c>
      <c r="G141" s="664">
        <v>1306</v>
      </c>
      <c r="H141" s="664">
        <v>1</v>
      </c>
      <c r="I141" s="664">
        <v>1306</v>
      </c>
      <c r="J141" s="664">
        <v>1</v>
      </c>
      <c r="K141" s="664">
        <v>1306</v>
      </c>
      <c r="L141" s="664">
        <v>1</v>
      </c>
      <c r="M141" s="664">
        <v>1306</v>
      </c>
      <c r="N141" s="664"/>
      <c r="O141" s="664"/>
      <c r="P141" s="677"/>
      <c r="Q141" s="665"/>
    </row>
    <row r="142" spans="1:17" ht="14.4" customHeight="1" x14ac:dyDescent="0.3">
      <c r="A142" s="660" t="s">
        <v>1445</v>
      </c>
      <c r="B142" s="661" t="s">
        <v>1256</v>
      </c>
      <c r="C142" s="661" t="s">
        <v>1327</v>
      </c>
      <c r="D142" s="661" t="s">
        <v>1347</v>
      </c>
      <c r="E142" s="661" t="s">
        <v>1348</v>
      </c>
      <c r="F142" s="664">
        <v>5</v>
      </c>
      <c r="G142" s="664">
        <v>6915</v>
      </c>
      <c r="H142" s="664">
        <v>1</v>
      </c>
      <c r="I142" s="664">
        <v>1383</v>
      </c>
      <c r="J142" s="664"/>
      <c r="K142" s="664"/>
      <c r="L142" s="664"/>
      <c r="M142" s="664"/>
      <c r="N142" s="664">
        <v>1</v>
      </c>
      <c r="O142" s="664">
        <v>1391</v>
      </c>
      <c r="P142" s="677">
        <v>0.20115690527838034</v>
      </c>
      <c r="Q142" s="665">
        <v>1391</v>
      </c>
    </row>
    <row r="143" spans="1:17" ht="14.4" customHeight="1" x14ac:dyDescent="0.3">
      <c r="A143" s="660" t="s">
        <v>1445</v>
      </c>
      <c r="B143" s="661" t="s">
        <v>1256</v>
      </c>
      <c r="C143" s="661" t="s">
        <v>1327</v>
      </c>
      <c r="D143" s="661" t="s">
        <v>1349</v>
      </c>
      <c r="E143" s="661" t="s">
        <v>1350</v>
      </c>
      <c r="F143" s="664">
        <v>2</v>
      </c>
      <c r="G143" s="664">
        <v>3680</v>
      </c>
      <c r="H143" s="664">
        <v>1</v>
      </c>
      <c r="I143" s="664">
        <v>1840</v>
      </c>
      <c r="J143" s="664"/>
      <c r="K143" s="664"/>
      <c r="L143" s="664"/>
      <c r="M143" s="664"/>
      <c r="N143" s="664">
        <v>2</v>
      </c>
      <c r="O143" s="664">
        <v>3698</v>
      </c>
      <c r="P143" s="677">
        <v>1.004891304347826</v>
      </c>
      <c r="Q143" s="665">
        <v>1849</v>
      </c>
    </row>
    <row r="144" spans="1:17" ht="14.4" customHeight="1" x14ac:dyDescent="0.3">
      <c r="A144" s="660" t="s">
        <v>1445</v>
      </c>
      <c r="B144" s="661" t="s">
        <v>1256</v>
      </c>
      <c r="C144" s="661" t="s">
        <v>1327</v>
      </c>
      <c r="D144" s="661" t="s">
        <v>1361</v>
      </c>
      <c r="E144" s="661" t="s">
        <v>1362</v>
      </c>
      <c r="F144" s="664"/>
      <c r="G144" s="664"/>
      <c r="H144" s="664"/>
      <c r="I144" s="664"/>
      <c r="J144" s="664"/>
      <c r="K144" s="664"/>
      <c r="L144" s="664"/>
      <c r="M144" s="664"/>
      <c r="N144" s="664">
        <v>1</v>
      </c>
      <c r="O144" s="664">
        <v>1762</v>
      </c>
      <c r="P144" s="677"/>
      <c r="Q144" s="665">
        <v>1762</v>
      </c>
    </row>
    <row r="145" spans="1:17" ht="14.4" customHeight="1" x14ac:dyDescent="0.3">
      <c r="A145" s="660" t="s">
        <v>1445</v>
      </c>
      <c r="B145" s="661" t="s">
        <v>1256</v>
      </c>
      <c r="C145" s="661" t="s">
        <v>1327</v>
      </c>
      <c r="D145" s="661" t="s">
        <v>1369</v>
      </c>
      <c r="E145" s="661" t="s">
        <v>1370</v>
      </c>
      <c r="F145" s="664">
        <v>1</v>
      </c>
      <c r="G145" s="664">
        <v>14328</v>
      </c>
      <c r="H145" s="664">
        <v>1</v>
      </c>
      <c r="I145" s="664">
        <v>14328</v>
      </c>
      <c r="J145" s="664">
        <v>3</v>
      </c>
      <c r="K145" s="664">
        <v>42984</v>
      </c>
      <c r="L145" s="664">
        <v>3</v>
      </c>
      <c r="M145" s="664">
        <v>14328</v>
      </c>
      <c r="N145" s="664">
        <v>1</v>
      </c>
      <c r="O145" s="664">
        <v>14340</v>
      </c>
      <c r="P145" s="677">
        <v>1.0008375209380234</v>
      </c>
      <c r="Q145" s="665">
        <v>14340</v>
      </c>
    </row>
    <row r="146" spans="1:17" ht="14.4" customHeight="1" x14ac:dyDescent="0.3">
      <c r="A146" s="660" t="s">
        <v>1446</v>
      </c>
      <c r="B146" s="661" t="s">
        <v>1256</v>
      </c>
      <c r="C146" s="661" t="s">
        <v>1268</v>
      </c>
      <c r="D146" s="661" t="s">
        <v>1447</v>
      </c>
      <c r="E146" s="661" t="s">
        <v>1448</v>
      </c>
      <c r="F146" s="664"/>
      <c r="G146" s="664"/>
      <c r="H146" s="664"/>
      <c r="I146" s="664"/>
      <c r="J146" s="664"/>
      <c r="K146" s="664"/>
      <c r="L146" s="664"/>
      <c r="M146" s="664"/>
      <c r="N146" s="664">
        <v>750</v>
      </c>
      <c r="O146" s="664">
        <v>14107.5</v>
      </c>
      <c r="P146" s="677"/>
      <c r="Q146" s="665">
        <v>18.809999999999999</v>
      </c>
    </row>
    <row r="147" spans="1:17" ht="14.4" customHeight="1" x14ac:dyDescent="0.3">
      <c r="A147" s="660" t="s">
        <v>1446</v>
      </c>
      <c r="B147" s="661" t="s">
        <v>1256</v>
      </c>
      <c r="C147" s="661" t="s">
        <v>1268</v>
      </c>
      <c r="D147" s="661" t="s">
        <v>1293</v>
      </c>
      <c r="E147" s="661" t="s">
        <v>1294</v>
      </c>
      <c r="F147" s="664"/>
      <c r="G147" s="664"/>
      <c r="H147" s="664"/>
      <c r="I147" s="664"/>
      <c r="J147" s="664">
        <v>461</v>
      </c>
      <c r="K147" s="664">
        <v>8814.32</v>
      </c>
      <c r="L147" s="664"/>
      <c r="M147" s="664">
        <v>19.12</v>
      </c>
      <c r="N147" s="664">
        <v>640</v>
      </c>
      <c r="O147" s="664">
        <v>12761.6</v>
      </c>
      <c r="P147" s="677"/>
      <c r="Q147" s="665">
        <v>19.940000000000001</v>
      </c>
    </row>
    <row r="148" spans="1:17" ht="14.4" customHeight="1" x14ac:dyDescent="0.3">
      <c r="A148" s="660" t="s">
        <v>1446</v>
      </c>
      <c r="B148" s="661" t="s">
        <v>1256</v>
      </c>
      <c r="C148" s="661" t="s">
        <v>1268</v>
      </c>
      <c r="D148" s="661" t="s">
        <v>1303</v>
      </c>
      <c r="E148" s="661" t="s">
        <v>1304</v>
      </c>
      <c r="F148" s="664"/>
      <c r="G148" s="664"/>
      <c r="H148" s="664"/>
      <c r="I148" s="664"/>
      <c r="J148" s="664">
        <v>670</v>
      </c>
      <c r="K148" s="664">
        <v>2184.1999999999998</v>
      </c>
      <c r="L148" s="664"/>
      <c r="M148" s="664">
        <v>3.26</v>
      </c>
      <c r="N148" s="664"/>
      <c r="O148" s="664"/>
      <c r="P148" s="677"/>
      <c r="Q148" s="665"/>
    </row>
    <row r="149" spans="1:17" ht="14.4" customHeight="1" x14ac:dyDescent="0.3">
      <c r="A149" s="660" t="s">
        <v>1446</v>
      </c>
      <c r="B149" s="661" t="s">
        <v>1256</v>
      </c>
      <c r="C149" s="661" t="s">
        <v>1327</v>
      </c>
      <c r="D149" s="661" t="s">
        <v>1353</v>
      </c>
      <c r="E149" s="661" t="s">
        <v>1354</v>
      </c>
      <c r="F149" s="664"/>
      <c r="G149" s="664"/>
      <c r="H149" s="664"/>
      <c r="I149" s="664"/>
      <c r="J149" s="664">
        <v>1</v>
      </c>
      <c r="K149" s="664">
        <v>1169</v>
      </c>
      <c r="L149" s="664"/>
      <c r="M149" s="664">
        <v>1169</v>
      </c>
      <c r="N149" s="664"/>
      <c r="O149" s="664"/>
      <c r="P149" s="677"/>
      <c r="Q149" s="665"/>
    </row>
    <row r="150" spans="1:17" ht="14.4" customHeight="1" x14ac:dyDescent="0.3">
      <c r="A150" s="660" t="s">
        <v>1446</v>
      </c>
      <c r="B150" s="661" t="s">
        <v>1256</v>
      </c>
      <c r="C150" s="661" t="s">
        <v>1327</v>
      </c>
      <c r="D150" s="661" t="s">
        <v>1449</v>
      </c>
      <c r="E150" s="661" t="s">
        <v>1450</v>
      </c>
      <c r="F150" s="664"/>
      <c r="G150" s="664"/>
      <c r="H150" s="664"/>
      <c r="I150" s="664"/>
      <c r="J150" s="664"/>
      <c r="K150" s="664"/>
      <c r="L150" s="664"/>
      <c r="M150" s="664"/>
      <c r="N150" s="664">
        <v>1</v>
      </c>
      <c r="O150" s="664">
        <v>2543</v>
      </c>
      <c r="P150" s="677"/>
      <c r="Q150" s="665">
        <v>2543</v>
      </c>
    </row>
    <row r="151" spans="1:17" ht="14.4" customHeight="1" x14ac:dyDescent="0.3">
      <c r="A151" s="660" t="s">
        <v>1446</v>
      </c>
      <c r="B151" s="661" t="s">
        <v>1256</v>
      </c>
      <c r="C151" s="661" t="s">
        <v>1327</v>
      </c>
      <c r="D151" s="661" t="s">
        <v>1361</v>
      </c>
      <c r="E151" s="661" t="s">
        <v>1362</v>
      </c>
      <c r="F151" s="664"/>
      <c r="G151" s="664"/>
      <c r="H151" s="664"/>
      <c r="I151" s="664"/>
      <c r="J151" s="664">
        <v>2</v>
      </c>
      <c r="K151" s="664">
        <v>3508</v>
      </c>
      <c r="L151" s="664"/>
      <c r="M151" s="664">
        <v>1754</v>
      </c>
      <c r="N151" s="664">
        <v>3</v>
      </c>
      <c r="O151" s="664">
        <v>5286</v>
      </c>
      <c r="P151" s="677"/>
      <c r="Q151" s="665">
        <v>1762</v>
      </c>
    </row>
    <row r="152" spans="1:17" ht="14.4" customHeight="1" x14ac:dyDescent="0.3">
      <c r="A152" s="660" t="s">
        <v>1446</v>
      </c>
      <c r="B152" s="661" t="s">
        <v>1256</v>
      </c>
      <c r="C152" s="661" t="s">
        <v>1327</v>
      </c>
      <c r="D152" s="661" t="s">
        <v>1385</v>
      </c>
      <c r="E152" s="661" t="s">
        <v>1386</v>
      </c>
      <c r="F152" s="664"/>
      <c r="G152" s="664"/>
      <c r="H152" s="664"/>
      <c r="I152" s="664"/>
      <c r="J152" s="664">
        <v>1</v>
      </c>
      <c r="K152" s="664">
        <v>1286</v>
      </c>
      <c r="L152" s="664"/>
      <c r="M152" s="664">
        <v>1286</v>
      </c>
      <c r="N152" s="664"/>
      <c r="O152" s="664"/>
      <c r="P152" s="677"/>
      <c r="Q152" s="665"/>
    </row>
    <row r="153" spans="1:17" ht="14.4" customHeight="1" x14ac:dyDescent="0.3">
      <c r="A153" s="660" t="s">
        <v>1446</v>
      </c>
      <c r="B153" s="661" t="s">
        <v>1256</v>
      </c>
      <c r="C153" s="661" t="s">
        <v>1327</v>
      </c>
      <c r="D153" s="661" t="s">
        <v>1389</v>
      </c>
      <c r="E153" s="661" t="s">
        <v>1390</v>
      </c>
      <c r="F153" s="664"/>
      <c r="G153" s="664"/>
      <c r="H153" s="664"/>
      <c r="I153" s="664"/>
      <c r="J153" s="664">
        <v>1</v>
      </c>
      <c r="K153" s="664">
        <v>2242</v>
      </c>
      <c r="L153" s="664"/>
      <c r="M153" s="664">
        <v>2242</v>
      </c>
      <c r="N153" s="664">
        <v>1</v>
      </c>
      <c r="O153" s="664">
        <v>2258</v>
      </c>
      <c r="P153" s="677"/>
      <c r="Q153" s="665">
        <v>2258</v>
      </c>
    </row>
    <row r="154" spans="1:17" ht="14.4" customHeight="1" x14ac:dyDescent="0.3">
      <c r="A154" s="660" t="s">
        <v>1451</v>
      </c>
      <c r="B154" s="661" t="s">
        <v>1256</v>
      </c>
      <c r="C154" s="661" t="s">
        <v>1257</v>
      </c>
      <c r="D154" s="661" t="s">
        <v>1263</v>
      </c>
      <c r="E154" s="661" t="s">
        <v>743</v>
      </c>
      <c r="F154" s="664"/>
      <c r="G154" s="664"/>
      <c r="H154" s="664"/>
      <c r="I154" s="664"/>
      <c r="J154" s="664">
        <v>0.5</v>
      </c>
      <c r="K154" s="664">
        <v>1092.1600000000001</v>
      </c>
      <c r="L154" s="664"/>
      <c r="M154" s="664">
        <v>2184.3200000000002</v>
      </c>
      <c r="N154" s="664"/>
      <c r="O154" s="664"/>
      <c r="P154" s="677"/>
      <c r="Q154" s="665"/>
    </row>
    <row r="155" spans="1:17" ht="14.4" customHeight="1" x14ac:dyDescent="0.3">
      <c r="A155" s="660" t="s">
        <v>1451</v>
      </c>
      <c r="B155" s="661" t="s">
        <v>1256</v>
      </c>
      <c r="C155" s="661" t="s">
        <v>1257</v>
      </c>
      <c r="D155" s="661" t="s">
        <v>1264</v>
      </c>
      <c r="E155" s="661" t="s">
        <v>736</v>
      </c>
      <c r="F155" s="664"/>
      <c r="G155" s="664"/>
      <c r="H155" s="664"/>
      <c r="I155" s="664"/>
      <c r="J155" s="664">
        <v>0.05</v>
      </c>
      <c r="K155" s="664">
        <v>47.24</v>
      </c>
      <c r="L155" s="664"/>
      <c r="M155" s="664">
        <v>944.8</v>
      </c>
      <c r="N155" s="664"/>
      <c r="O155" s="664"/>
      <c r="P155" s="677"/>
      <c r="Q155" s="665"/>
    </row>
    <row r="156" spans="1:17" ht="14.4" customHeight="1" x14ac:dyDescent="0.3">
      <c r="A156" s="660" t="s">
        <v>1451</v>
      </c>
      <c r="B156" s="661" t="s">
        <v>1256</v>
      </c>
      <c r="C156" s="661" t="s">
        <v>1268</v>
      </c>
      <c r="D156" s="661" t="s">
        <v>1273</v>
      </c>
      <c r="E156" s="661" t="s">
        <v>1274</v>
      </c>
      <c r="F156" s="664">
        <v>180</v>
      </c>
      <c r="G156" s="664">
        <v>871.2</v>
      </c>
      <c r="H156" s="664">
        <v>1</v>
      </c>
      <c r="I156" s="664">
        <v>4.84</v>
      </c>
      <c r="J156" s="664"/>
      <c r="K156" s="664"/>
      <c r="L156" s="664"/>
      <c r="M156" s="664"/>
      <c r="N156" s="664">
        <v>360</v>
      </c>
      <c r="O156" s="664">
        <v>1915.2</v>
      </c>
      <c r="P156" s="677">
        <v>2.1983471074380163</v>
      </c>
      <c r="Q156" s="665">
        <v>5.32</v>
      </c>
    </row>
    <row r="157" spans="1:17" ht="14.4" customHeight="1" x14ac:dyDescent="0.3">
      <c r="A157" s="660" t="s">
        <v>1451</v>
      </c>
      <c r="B157" s="661" t="s">
        <v>1256</v>
      </c>
      <c r="C157" s="661" t="s">
        <v>1268</v>
      </c>
      <c r="D157" s="661" t="s">
        <v>1283</v>
      </c>
      <c r="E157" s="661" t="s">
        <v>1284</v>
      </c>
      <c r="F157" s="664">
        <v>130</v>
      </c>
      <c r="G157" s="664">
        <v>1028.3</v>
      </c>
      <c r="H157" s="664">
        <v>1</v>
      </c>
      <c r="I157" s="664">
        <v>7.9099999999999993</v>
      </c>
      <c r="J157" s="664">
        <v>524</v>
      </c>
      <c r="K157" s="664">
        <v>4307.28</v>
      </c>
      <c r="L157" s="664">
        <v>4.1887386949333854</v>
      </c>
      <c r="M157" s="664">
        <v>8.2199999999999989</v>
      </c>
      <c r="N157" s="664">
        <v>270</v>
      </c>
      <c r="O157" s="664">
        <v>2273.3999999999996</v>
      </c>
      <c r="P157" s="677">
        <v>2.2108334143732371</v>
      </c>
      <c r="Q157" s="665">
        <v>8.4199999999999982</v>
      </c>
    </row>
    <row r="158" spans="1:17" ht="14.4" customHeight="1" x14ac:dyDescent="0.3">
      <c r="A158" s="660" t="s">
        <v>1451</v>
      </c>
      <c r="B158" s="661" t="s">
        <v>1256</v>
      </c>
      <c r="C158" s="661" t="s">
        <v>1268</v>
      </c>
      <c r="D158" s="661" t="s">
        <v>1287</v>
      </c>
      <c r="E158" s="661" t="s">
        <v>1288</v>
      </c>
      <c r="F158" s="664"/>
      <c r="G158" s="664"/>
      <c r="H158" s="664"/>
      <c r="I158" s="664"/>
      <c r="J158" s="664">
        <v>110</v>
      </c>
      <c r="K158" s="664">
        <v>1036.2</v>
      </c>
      <c r="L158" s="664"/>
      <c r="M158" s="664">
        <v>9.42</v>
      </c>
      <c r="N158" s="664"/>
      <c r="O158" s="664"/>
      <c r="P158" s="677"/>
      <c r="Q158" s="665"/>
    </row>
    <row r="159" spans="1:17" ht="14.4" customHeight="1" x14ac:dyDescent="0.3">
      <c r="A159" s="660" t="s">
        <v>1451</v>
      </c>
      <c r="B159" s="661" t="s">
        <v>1256</v>
      </c>
      <c r="C159" s="661" t="s">
        <v>1268</v>
      </c>
      <c r="D159" s="661" t="s">
        <v>1303</v>
      </c>
      <c r="E159" s="661" t="s">
        <v>1304</v>
      </c>
      <c r="F159" s="664">
        <v>643</v>
      </c>
      <c r="G159" s="664">
        <v>2006.16</v>
      </c>
      <c r="H159" s="664">
        <v>1</v>
      </c>
      <c r="I159" s="664">
        <v>3.12</v>
      </c>
      <c r="J159" s="664">
        <v>839</v>
      </c>
      <c r="K159" s="664">
        <v>2735.14</v>
      </c>
      <c r="L159" s="664">
        <v>1.3633708178809267</v>
      </c>
      <c r="M159" s="664">
        <v>3.26</v>
      </c>
      <c r="N159" s="664">
        <v>2679</v>
      </c>
      <c r="O159" s="664">
        <v>9162.18</v>
      </c>
      <c r="P159" s="677">
        <v>4.5670235674123703</v>
      </c>
      <c r="Q159" s="665">
        <v>3.42</v>
      </c>
    </row>
    <row r="160" spans="1:17" ht="14.4" customHeight="1" x14ac:dyDescent="0.3">
      <c r="A160" s="660" t="s">
        <v>1451</v>
      </c>
      <c r="B160" s="661" t="s">
        <v>1256</v>
      </c>
      <c r="C160" s="661" t="s">
        <v>1268</v>
      </c>
      <c r="D160" s="661" t="s">
        <v>1309</v>
      </c>
      <c r="E160" s="661" t="s">
        <v>1310</v>
      </c>
      <c r="F160" s="664"/>
      <c r="G160" s="664"/>
      <c r="H160" s="664"/>
      <c r="I160" s="664"/>
      <c r="J160" s="664">
        <v>436</v>
      </c>
      <c r="K160" s="664">
        <v>14518.8</v>
      </c>
      <c r="L160" s="664"/>
      <c r="M160" s="664">
        <v>33.299999999999997</v>
      </c>
      <c r="N160" s="664">
        <v>508</v>
      </c>
      <c r="O160" s="664">
        <v>17043.400000000001</v>
      </c>
      <c r="P160" s="677"/>
      <c r="Q160" s="665">
        <v>33.550000000000004</v>
      </c>
    </row>
    <row r="161" spans="1:17" ht="14.4" customHeight="1" x14ac:dyDescent="0.3">
      <c r="A161" s="660" t="s">
        <v>1451</v>
      </c>
      <c r="B161" s="661" t="s">
        <v>1256</v>
      </c>
      <c r="C161" s="661" t="s">
        <v>1327</v>
      </c>
      <c r="D161" s="661" t="s">
        <v>1347</v>
      </c>
      <c r="E161" s="661" t="s">
        <v>1348</v>
      </c>
      <c r="F161" s="664">
        <v>1</v>
      </c>
      <c r="G161" s="664">
        <v>1383</v>
      </c>
      <c r="H161" s="664">
        <v>1</v>
      </c>
      <c r="I161" s="664">
        <v>1383</v>
      </c>
      <c r="J161" s="664">
        <v>4</v>
      </c>
      <c r="K161" s="664">
        <v>5532</v>
      </c>
      <c r="L161" s="664">
        <v>4</v>
      </c>
      <c r="M161" s="664">
        <v>1383</v>
      </c>
      <c r="N161" s="664">
        <v>1</v>
      </c>
      <c r="O161" s="664">
        <v>1391</v>
      </c>
      <c r="P161" s="677">
        <v>1.0057845263919016</v>
      </c>
      <c r="Q161" s="665">
        <v>1391</v>
      </c>
    </row>
    <row r="162" spans="1:17" ht="14.4" customHeight="1" x14ac:dyDescent="0.3">
      <c r="A162" s="660" t="s">
        <v>1451</v>
      </c>
      <c r="B162" s="661" t="s">
        <v>1256</v>
      </c>
      <c r="C162" s="661" t="s">
        <v>1327</v>
      </c>
      <c r="D162" s="661" t="s">
        <v>1349</v>
      </c>
      <c r="E162" s="661" t="s">
        <v>1350</v>
      </c>
      <c r="F162" s="664"/>
      <c r="G162" s="664"/>
      <c r="H162" s="664"/>
      <c r="I162" s="664"/>
      <c r="J162" s="664">
        <v>1</v>
      </c>
      <c r="K162" s="664">
        <v>1840</v>
      </c>
      <c r="L162" s="664"/>
      <c r="M162" s="664">
        <v>1840</v>
      </c>
      <c r="N162" s="664"/>
      <c r="O162" s="664"/>
      <c r="P162" s="677"/>
      <c r="Q162" s="665"/>
    </row>
    <row r="163" spans="1:17" ht="14.4" customHeight="1" x14ac:dyDescent="0.3">
      <c r="A163" s="660" t="s">
        <v>1451</v>
      </c>
      <c r="B163" s="661" t="s">
        <v>1256</v>
      </c>
      <c r="C163" s="661" t="s">
        <v>1327</v>
      </c>
      <c r="D163" s="661" t="s">
        <v>1361</v>
      </c>
      <c r="E163" s="661" t="s">
        <v>1362</v>
      </c>
      <c r="F163" s="664">
        <v>3</v>
      </c>
      <c r="G163" s="664">
        <v>5262</v>
      </c>
      <c r="H163" s="664">
        <v>1</v>
      </c>
      <c r="I163" s="664">
        <v>1754</v>
      </c>
      <c r="J163" s="664">
        <v>1</v>
      </c>
      <c r="K163" s="664">
        <v>1754</v>
      </c>
      <c r="L163" s="664">
        <v>0.33333333333333331</v>
      </c>
      <c r="M163" s="664">
        <v>1754</v>
      </c>
      <c r="N163" s="664">
        <v>10</v>
      </c>
      <c r="O163" s="664">
        <v>17620</v>
      </c>
      <c r="P163" s="677">
        <v>3.3485366780691752</v>
      </c>
      <c r="Q163" s="665">
        <v>1762</v>
      </c>
    </row>
    <row r="164" spans="1:17" ht="14.4" customHeight="1" x14ac:dyDescent="0.3">
      <c r="A164" s="660" t="s">
        <v>1451</v>
      </c>
      <c r="B164" s="661" t="s">
        <v>1256</v>
      </c>
      <c r="C164" s="661" t="s">
        <v>1327</v>
      </c>
      <c r="D164" s="661" t="s">
        <v>1369</v>
      </c>
      <c r="E164" s="661" t="s">
        <v>1370</v>
      </c>
      <c r="F164" s="664"/>
      <c r="G164" s="664"/>
      <c r="H164" s="664"/>
      <c r="I164" s="664"/>
      <c r="J164" s="664">
        <v>1</v>
      </c>
      <c r="K164" s="664">
        <v>14328</v>
      </c>
      <c r="L164" s="664"/>
      <c r="M164" s="664">
        <v>14328</v>
      </c>
      <c r="N164" s="664">
        <v>1</v>
      </c>
      <c r="O164" s="664">
        <v>14340</v>
      </c>
      <c r="P164" s="677"/>
      <c r="Q164" s="665">
        <v>14340</v>
      </c>
    </row>
    <row r="165" spans="1:17" ht="14.4" customHeight="1" x14ac:dyDescent="0.3">
      <c r="A165" s="660" t="s">
        <v>1451</v>
      </c>
      <c r="B165" s="661" t="s">
        <v>1256</v>
      </c>
      <c r="C165" s="661" t="s">
        <v>1327</v>
      </c>
      <c r="D165" s="661" t="s">
        <v>1385</v>
      </c>
      <c r="E165" s="661" t="s">
        <v>1386</v>
      </c>
      <c r="F165" s="664">
        <v>1</v>
      </c>
      <c r="G165" s="664">
        <v>1286</v>
      </c>
      <c r="H165" s="664">
        <v>1</v>
      </c>
      <c r="I165" s="664">
        <v>1286</v>
      </c>
      <c r="J165" s="664">
        <v>1</v>
      </c>
      <c r="K165" s="664">
        <v>1286</v>
      </c>
      <c r="L165" s="664">
        <v>1</v>
      </c>
      <c r="M165" s="664">
        <v>1286</v>
      </c>
      <c r="N165" s="664">
        <v>4</v>
      </c>
      <c r="O165" s="664">
        <v>5176</v>
      </c>
      <c r="P165" s="677">
        <v>4.0248833592534989</v>
      </c>
      <c r="Q165" s="665">
        <v>1294</v>
      </c>
    </row>
    <row r="166" spans="1:17" ht="14.4" customHeight="1" x14ac:dyDescent="0.3">
      <c r="A166" s="660" t="s">
        <v>1451</v>
      </c>
      <c r="B166" s="661" t="s">
        <v>1256</v>
      </c>
      <c r="C166" s="661" t="s">
        <v>1327</v>
      </c>
      <c r="D166" s="661" t="s">
        <v>1387</v>
      </c>
      <c r="E166" s="661" t="s">
        <v>1388</v>
      </c>
      <c r="F166" s="664">
        <v>1</v>
      </c>
      <c r="G166" s="664">
        <v>487</v>
      </c>
      <c r="H166" s="664">
        <v>1</v>
      </c>
      <c r="I166" s="664">
        <v>487</v>
      </c>
      <c r="J166" s="664"/>
      <c r="K166" s="664"/>
      <c r="L166" s="664"/>
      <c r="M166" s="664"/>
      <c r="N166" s="664">
        <v>2</v>
      </c>
      <c r="O166" s="664">
        <v>980</v>
      </c>
      <c r="P166" s="677">
        <v>2.0123203285420943</v>
      </c>
      <c r="Q166" s="665">
        <v>490</v>
      </c>
    </row>
    <row r="167" spans="1:17" ht="14.4" customHeight="1" x14ac:dyDescent="0.3">
      <c r="A167" s="660" t="s">
        <v>1451</v>
      </c>
      <c r="B167" s="661" t="s">
        <v>1256</v>
      </c>
      <c r="C167" s="661" t="s">
        <v>1327</v>
      </c>
      <c r="D167" s="661" t="s">
        <v>1399</v>
      </c>
      <c r="E167" s="661" t="s">
        <v>1400</v>
      </c>
      <c r="F167" s="664"/>
      <c r="G167" s="664"/>
      <c r="H167" s="664"/>
      <c r="I167" s="664"/>
      <c r="J167" s="664"/>
      <c r="K167" s="664"/>
      <c r="L167" s="664"/>
      <c r="M167" s="664"/>
      <c r="N167" s="664">
        <v>1</v>
      </c>
      <c r="O167" s="664">
        <v>502</v>
      </c>
      <c r="P167" s="677"/>
      <c r="Q167" s="665">
        <v>502</v>
      </c>
    </row>
    <row r="168" spans="1:17" ht="14.4" customHeight="1" x14ac:dyDescent="0.3">
      <c r="A168" s="660" t="s">
        <v>1452</v>
      </c>
      <c r="B168" s="661" t="s">
        <v>1256</v>
      </c>
      <c r="C168" s="661" t="s">
        <v>1257</v>
      </c>
      <c r="D168" s="661" t="s">
        <v>1258</v>
      </c>
      <c r="E168" s="661" t="s">
        <v>732</v>
      </c>
      <c r="F168" s="664"/>
      <c r="G168" s="664"/>
      <c r="H168" s="664"/>
      <c r="I168" s="664"/>
      <c r="J168" s="664">
        <v>0.6</v>
      </c>
      <c r="K168" s="664">
        <v>1186.82</v>
      </c>
      <c r="L168" s="664"/>
      <c r="M168" s="664">
        <v>1978.0333333333333</v>
      </c>
      <c r="N168" s="664"/>
      <c r="O168" s="664"/>
      <c r="P168" s="677"/>
      <c r="Q168" s="665"/>
    </row>
    <row r="169" spans="1:17" ht="14.4" customHeight="1" x14ac:dyDescent="0.3">
      <c r="A169" s="660" t="s">
        <v>1452</v>
      </c>
      <c r="B169" s="661" t="s">
        <v>1256</v>
      </c>
      <c r="C169" s="661" t="s">
        <v>1257</v>
      </c>
      <c r="D169" s="661" t="s">
        <v>1263</v>
      </c>
      <c r="E169" s="661" t="s">
        <v>743</v>
      </c>
      <c r="F169" s="664">
        <v>0.5</v>
      </c>
      <c r="G169" s="664">
        <v>1092.1600000000001</v>
      </c>
      <c r="H169" s="664">
        <v>1</v>
      </c>
      <c r="I169" s="664">
        <v>2184.3200000000002</v>
      </c>
      <c r="J169" s="664">
        <v>0.95</v>
      </c>
      <c r="K169" s="664">
        <v>2075.1000000000004</v>
      </c>
      <c r="L169" s="664">
        <v>1.8999963375329625</v>
      </c>
      <c r="M169" s="664">
        <v>2184.3157894736846</v>
      </c>
      <c r="N169" s="664"/>
      <c r="O169" s="664"/>
      <c r="P169" s="677"/>
      <c r="Q169" s="665"/>
    </row>
    <row r="170" spans="1:17" ht="14.4" customHeight="1" x14ac:dyDescent="0.3">
      <c r="A170" s="660" t="s">
        <v>1452</v>
      </c>
      <c r="B170" s="661" t="s">
        <v>1256</v>
      </c>
      <c r="C170" s="661" t="s">
        <v>1257</v>
      </c>
      <c r="D170" s="661" t="s">
        <v>1264</v>
      </c>
      <c r="E170" s="661" t="s">
        <v>736</v>
      </c>
      <c r="F170" s="664">
        <v>0.05</v>
      </c>
      <c r="G170" s="664">
        <v>47.24</v>
      </c>
      <c r="H170" s="664">
        <v>1</v>
      </c>
      <c r="I170" s="664">
        <v>944.8</v>
      </c>
      <c r="J170" s="664">
        <v>0.03</v>
      </c>
      <c r="K170" s="664">
        <v>23.62</v>
      </c>
      <c r="L170" s="664">
        <v>0.5</v>
      </c>
      <c r="M170" s="664">
        <v>787.33333333333337</v>
      </c>
      <c r="N170" s="664"/>
      <c r="O170" s="664"/>
      <c r="P170" s="677"/>
      <c r="Q170" s="665"/>
    </row>
    <row r="171" spans="1:17" ht="14.4" customHeight="1" x14ac:dyDescent="0.3">
      <c r="A171" s="660" t="s">
        <v>1452</v>
      </c>
      <c r="B171" s="661" t="s">
        <v>1256</v>
      </c>
      <c r="C171" s="661" t="s">
        <v>1268</v>
      </c>
      <c r="D171" s="661" t="s">
        <v>1275</v>
      </c>
      <c r="E171" s="661" t="s">
        <v>1276</v>
      </c>
      <c r="F171" s="664"/>
      <c r="G171" s="664"/>
      <c r="H171" s="664"/>
      <c r="I171" s="664"/>
      <c r="J171" s="664">
        <v>0</v>
      </c>
      <c r="K171" s="664">
        <v>0</v>
      </c>
      <c r="L171" s="664"/>
      <c r="M171" s="664"/>
      <c r="N171" s="664"/>
      <c r="O171" s="664"/>
      <c r="P171" s="677"/>
      <c r="Q171" s="665"/>
    </row>
    <row r="172" spans="1:17" ht="14.4" customHeight="1" x14ac:dyDescent="0.3">
      <c r="A172" s="660" t="s">
        <v>1452</v>
      </c>
      <c r="B172" s="661" t="s">
        <v>1256</v>
      </c>
      <c r="C172" s="661" t="s">
        <v>1268</v>
      </c>
      <c r="D172" s="661" t="s">
        <v>1309</v>
      </c>
      <c r="E172" s="661" t="s">
        <v>1310</v>
      </c>
      <c r="F172" s="664">
        <v>416</v>
      </c>
      <c r="G172" s="664">
        <v>13694.72</v>
      </c>
      <c r="H172" s="664">
        <v>1</v>
      </c>
      <c r="I172" s="664">
        <v>32.92</v>
      </c>
      <c r="J172" s="664">
        <v>1273</v>
      </c>
      <c r="K172" s="664">
        <v>42390.9</v>
      </c>
      <c r="L172" s="664">
        <v>3.0954192564725678</v>
      </c>
      <c r="M172" s="664">
        <v>33.300000000000004</v>
      </c>
      <c r="N172" s="664"/>
      <c r="O172" s="664"/>
      <c r="P172" s="677"/>
      <c r="Q172" s="665"/>
    </row>
    <row r="173" spans="1:17" ht="14.4" customHeight="1" x14ac:dyDescent="0.3">
      <c r="A173" s="660" t="s">
        <v>1452</v>
      </c>
      <c r="B173" s="661" t="s">
        <v>1256</v>
      </c>
      <c r="C173" s="661" t="s">
        <v>1324</v>
      </c>
      <c r="D173" s="661" t="s">
        <v>1325</v>
      </c>
      <c r="E173" s="661" t="s">
        <v>1326</v>
      </c>
      <c r="F173" s="664"/>
      <c r="G173" s="664"/>
      <c r="H173" s="664"/>
      <c r="I173" s="664"/>
      <c r="J173" s="664">
        <v>3</v>
      </c>
      <c r="K173" s="664">
        <v>2652.96</v>
      </c>
      <c r="L173" s="664"/>
      <c r="M173" s="664">
        <v>884.32</v>
      </c>
      <c r="N173" s="664"/>
      <c r="O173" s="664"/>
      <c r="P173" s="677"/>
      <c r="Q173" s="665"/>
    </row>
    <row r="174" spans="1:17" ht="14.4" customHeight="1" x14ac:dyDescent="0.3">
      <c r="A174" s="660" t="s">
        <v>1452</v>
      </c>
      <c r="B174" s="661" t="s">
        <v>1256</v>
      </c>
      <c r="C174" s="661" t="s">
        <v>1327</v>
      </c>
      <c r="D174" s="661" t="s">
        <v>1328</v>
      </c>
      <c r="E174" s="661" t="s">
        <v>1329</v>
      </c>
      <c r="F174" s="664">
        <v>1</v>
      </c>
      <c r="G174" s="664">
        <v>34</v>
      </c>
      <c r="H174" s="664">
        <v>1</v>
      </c>
      <c r="I174" s="664">
        <v>34</v>
      </c>
      <c r="J174" s="664"/>
      <c r="K174" s="664"/>
      <c r="L174" s="664"/>
      <c r="M174" s="664"/>
      <c r="N174" s="664"/>
      <c r="O174" s="664"/>
      <c r="P174" s="677"/>
      <c r="Q174" s="665"/>
    </row>
    <row r="175" spans="1:17" ht="14.4" customHeight="1" x14ac:dyDescent="0.3">
      <c r="A175" s="660" t="s">
        <v>1452</v>
      </c>
      <c r="B175" s="661" t="s">
        <v>1256</v>
      </c>
      <c r="C175" s="661" t="s">
        <v>1327</v>
      </c>
      <c r="D175" s="661" t="s">
        <v>1365</v>
      </c>
      <c r="E175" s="661" t="s">
        <v>1366</v>
      </c>
      <c r="F175" s="664"/>
      <c r="G175" s="664"/>
      <c r="H175" s="664"/>
      <c r="I175" s="664"/>
      <c r="J175" s="664">
        <v>1</v>
      </c>
      <c r="K175" s="664">
        <v>3437</v>
      </c>
      <c r="L175" s="664"/>
      <c r="M175" s="664">
        <v>3437</v>
      </c>
      <c r="N175" s="664"/>
      <c r="O175" s="664"/>
      <c r="P175" s="677"/>
      <c r="Q175" s="665"/>
    </row>
    <row r="176" spans="1:17" ht="14.4" customHeight="1" x14ac:dyDescent="0.3">
      <c r="A176" s="660" t="s">
        <v>1452</v>
      </c>
      <c r="B176" s="661" t="s">
        <v>1256</v>
      </c>
      <c r="C176" s="661" t="s">
        <v>1327</v>
      </c>
      <c r="D176" s="661" t="s">
        <v>1369</v>
      </c>
      <c r="E176" s="661" t="s">
        <v>1370</v>
      </c>
      <c r="F176" s="664">
        <v>1</v>
      </c>
      <c r="G176" s="664">
        <v>14328</v>
      </c>
      <c r="H176" s="664">
        <v>1</v>
      </c>
      <c r="I176" s="664">
        <v>14328</v>
      </c>
      <c r="J176" s="664">
        <v>3</v>
      </c>
      <c r="K176" s="664">
        <v>42984</v>
      </c>
      <c r="L176" s="664">
        <v>3</v>
      </c>
      <c r="M176" s="664">
        <v>14328</v>
      </c>
      <c r="N176" s="664"/>
      <c r="O176" s="664"/>
      <c r="P176" s="677"/>
      <c r="Q176" s="665"/>
    </row>
    <row r="177" spans="1:17" ht="14.4" customHeight="1" x14ac:dyDescent="0.3">
      <c r="A177" s="660" t="s">
        <v>1452</v>
      </c>
      <c r="B177" s="661" t="s">
        <v>1256</v>
      </c>
      <c r="C177" s="661" t="s">
        <v>1327</v>
      </c>
      <c r="D177" s="661" t="s">
        <v>1393</v>
      </c>
      <c r="E177" s="661" t="s">
        <v>1394</v>
      </c>
      <c r="F177" s="664"/>
      <c r="G177" s="664"/>
      <c r="H177" s="664"/>
      <c r="I177" s="664"/>
      <c r="J177" s="664">
        <v>1</v>
      </c>
      <c r="K177" s="664">
        <v>327</v>
      </c>
      <c r="L177" s="664"/>
      <c r="M177" s="664">
        <v>327</v>
      </c>
      <c r="N177" s="664"/>
      <c r="O177" s="664"/>
      <c r="P177" s="677"/>
      <c r="Q177" s="665"/>
    </row>
    <row r="178" spans="1:17" ht="14.4" customHeight="1" x14ac:dyDescent="0.3">
      <c r="A178" s="660" t="s">
        <v>1453</v>
      </c>
      <c r="B178" s="661" t="s">
        <v>1256</v>
      </c>
      <c r="C178" s="661" t="s">
        <v>1257</v>
      </c>
      <c r="D178" s="661" t="s">
        <v>1258</v>
      </c>
      <c r="E178" s="661" t="s">
        <v>732</v>
      </c>
      <c r="F178" s="664"/>
      <c r="G178" s="664"/>
      <c r="H178" s="664"/>
      <c r="I178" s="664"/>
      <c r="J178" s="664">
        <v>1.05</v>
      </c>
      <c r="K178" s="664">
        <v>2076.9300000000003</v>
      </c>
      <c r="L178" s="664"/>
      <c r="M178" s="664">
        <v>1978.0285714285717</v>
      </c>
      <c r="N178" s="664">
        <v>0.45</v>
      </c>
      <c r="O178" s="664">
        <v>856.2</v>
      </c>
      <c r="P178" s="677"/>
      <c r="Q178" s="665">
        <v>1902.6666666666667</v>
      </c>
    </row>
    <row r="179" spans="1:17" ht="14.4" customHeight="1" x14ac:dyDescent="0.3">
      <c r="A179" s="660" t="s">
        <v>1453</v>
      </c>
      <c r="B179" s="661" t="s">
        <v>1256</v>
      </c>
      <c r="C179" s="661" t="s">
        <v>1257</v>
      </c>
      <c r="D179" s="661" t="s">
        <v>1261</v>
      </c>
      <c r="E179" s="661" t="s">
        <v>743</v>
      </c>
      <c r="F179" s="664"/>
      <c r="G179" s="664"/>
      <c r="H179" s="664"/>
      <c r="I179" s="664"/>
      <c r="J179" s="664"/>
      <c r="K179" s="664"/>
      <c r="L179" s="664"/>
      <c r="M179" s="664"/>
      <c r="N179" s="664">
        <v>0.14000000000000001</v>
      </c>
      <c r="O179" s="664">
        <v>1239.56</v>
      </c>
      <c r="P179" s="677"/>
      <c r="Q179" s="665">
        <v>8853.9999999999982</v>
      </c>
    </row>
    <row r="180" spans="1:17" ht="14.4" customHeight="1" x14ac:dyDescent="0.3">
      <c r="A180" s="660" t="s">
        <v>1453</v>
      </c>
      <c r="B180" s="661" t="s">
        <v>1256</v>
      </c>
      <c r="C180" s="661" t="s">
        <v>1257</v>
      </c>
      <c r="D180" s="661" t="s">
        <v>1262</v>
      </c>
      <c r="E180" s="661" t="s">
        <v>1248</v>
      </c>
      <c r="F180" s="664">
        <v>0.8</v>
      </c>
      <c r="G180" s="664">
        <v>873.72</v>
      </c>
      <c r="H180" s="664">
        <v>1</v>
      </c>
      <c r="I180" s="664">
        <v>1092.1499999999999</v>
      </c>
      <c r="J180" s="664">
        <v>0.2</v>
      </c>
      <c r="K180" s="664">
        <v>218.43</v>
      </c>
      <c r="L180" s="664">
        <v>0.25</v>
      </c>
      <c r="M180" s="664">
        <v>1092.1499999999999</v>
      </c>
      <c r="N180" s="664"/>
      <c r="O180" s="664"/>
      <c r="P180" s="677"/>
      <c r="Q180" s="665"/>
    </row>
    <row r="181" spans="1:17" ht="14.4" customHeight="1" x14ac:dyDescent="0.3">
      <c r="A181" s="660" t="s">
        <v>1453</v>
      </c>
      <c r="B181" s="661" t="s">
        <v>1256</v>
      </c>
      <c r="C181" s="661" t="s">
        <v>1257</v>
      </c>
      <c r="D181" s="661" t="s">
        <v>1263</v>
      </c>
      <c r="E181" s="661" t="s">
        <v>743</v>
      </c>
      <c r="F181" s="664">
        <v>12.95</v>
      </c>
      <c r="G181" s="664">
        <v>28286.9</v>
      </c>
      <c r="H181" s="664">
        <v>1</v>
      </c>
      <c r="I181" s="664">
        <v>2184.3166023166027</v>
      </c>
      <c r="J181" s="664">
        <v>8.9999999999999982</v>
      </c>
      <c r="K181" s="664">
        <v>19658.849999999999</v>
      </c>
      <c r="L181" s="664">
        <v>0.69498071545485707</v>
      </c>
      <c r="M181" s="664">
        <v>2184.3166666666671</v>
      </c>
      <c r="N181" s="664">
        <v>1.95</v>
      </c>
      <c r="O181" s="664">
        <v>3453.06</v>
      </c>
      <c r="P181" s="677">
        <v>0.12207276159635731</v>
      </c>
      <c r="Q181" s="665">
        <v>1770.8</v>
      </c>
    </row>
    <row r="182" spans="1:17" ht="14.4" customHeight="1" x14ac:dyDescent="0.3">
      <c r="A182" s="660" t="s">
        <v>1453</v>
      </c>
      <c r="B182" s="661" t="s">
        <v>1256</v>
      </c>
      <c r="C182" s="661" t="s">
        <v>1257</v>
      </c>
      <c r="D182" s="661" t="s">
        <v>1264</v>
      </c>
      <c r="E182" s="661" t="s">
        <v>736</v>
      </c>
      <c r="F182" s="664">
        <v>1.0500000000000003</v>
      </c>
      <c r="G182" s="664">
        <v>992.04000000000008</v>
      </c>
      <c r="H182" s="664">
        <v>1</v>
      </c>
      <c r="I182" s="664">
        <v>944.79999999999984</v>
      </c>
      <c r="J182" s="664">
        <v>0.9</v>
      </c>
      <c r="K182" s="664">
        <v>850.32</v>
      </c>
      <c r="L182" s="664">
        <v>0.8571428571428571</v>
      </c>
      <c r="M182" s="664">
        <v>944.80000000000007</v>
      </c>
      <c r="N182" s="664">
        <v>0.2</v>
      </c>
      <c r="O182" s="664">
        <v>180.76</v>
      </c>
      <c r="P182" s="677">
        <v>0.18221039474214748</v>
      </c>
      <c r="Q182" s="665">
        <v>903.8</v>
      </c>
    </row>
    <row r="183" spans="1:17" ht="14.4" customHeight="1" x14ac:dyDescent="0.3">
      <c r="A183" s="660" t="s">
        <v>1453</v>
      </c>
      <c r="B183" s="661" t="s">
        <v>1256</v>
      </c>
      <c r="C183" s="661" t="s">
        <v>1268</v>
      </c>
      <c r="D183" s="661" t="s">
        <v>1273</v>
      </c>
      <c r="E183" s="661" t="s">
        <v>1274</v>
      </c>
      <c r="F183" s="664">
        <v>2790</v>
      </c>
      <c r="G183" s="664">
        <v>13422.600000000002</v>
      </c>
      <c r="H183" s="664">
        <v>1</v>
      </c>
      <c r="I183" s="664">
        <v>4.8109677419354844</v>
      </c>
      <c r="J183" s="664">
        <v>2820</v>
      </c>
      <c r="K183" s="664">
        <v>14382</v>
      </c>
      <c r="L183" s="664">
        <v>1.0714764650663804</v>
      </c>
      <c r="M183" s="664">
        <v>5.0999999999999996</v>
      </c>
      <c r="N183" s="664">
        <v>2830</v>
      </c>
      <c r="O183" s="664">
        <v>15055.599999999999</v>
      </c>
      <c r="P183" s="677">
        <v>1.1216604830658736</v>
      </c>
      <c r="Q183" s="665">
        <v>5.3199999999999994</v>
      </c>
    </row>
    <row r="184" spans="1:17" ht="14.4" customHeight="1" x14ac:dyDescent="0.3">
      <c r="A184" s="660" t="s">
        <v>1453</v>
      </c>
      <c r="B184" s="661" t="s">
        <v>1256</v>
      </c>
      <c r="C184" s="661" t="s">
        <v>1268</v>
      </c>
      <c r="D184" s="661" t="s">
        <v>1281</v>
      </c>
      <c r="E184" s="661" t="s">
        <v>1282</v>
      </c>
      <c r="F184" s="664">
        <v>1300</v>
      </c>
      <c r="G184" s="664">
        <v>7198</v>
      </c>
      <c r="H184" s="664">
        <v>1</v>
      </c>
      <c r="I184" s="664">
        <v>5.5369230769230766</v>
      </c>
      <c r="J184" s="664">
        <v>1000</v>
      </c>
      <c r="K184" s="664">
        <v>5550</v>
      </c>
      <c r="L184" s="664">
        <v>0.7710475131981106</v>
      </c>
      <c r="M184" s="664">
        <v>5.55</v>
      </c>
      <c r="N184" s="664">
        <v>239</v>
      </c>
      <c r="O184" s="664">
        <v>1395.76</v>
      </c>
      <c r="P184" s="677">
        <v>0.19390941928313421</v>
      </c>
      <c r="Q184" s="665">
        <v>5.84</v>
      </c>
    </row>
    <row r="185" spans="1:17" ht="14.4" customHeight="1" x14ac:dyDescent="0.3">
      <c r="A185" s="660" t="s">
        <v>1453</v>
      </c>
      <c r="B185" s="661" t="s">
        <v>1256</v>
      </c>
      <c r="C185" s="661" t="s">
        <v>1268</v>
      </c>
      <c r="D185" s="661" t="s">
        <v>1285</v>
      </c>
      <c r="E185" s="661" t="s">
        <v>1286</v>
      </c>
      <c r="F185" s="664">
        <v>450</v>
      </c>
      <c r="G185" s="664">
        <v>3457.5</v>
      </c>
      <c r="H185" s="664">
        <v>1</v>
      </c>
      <c r="I185" s="664">
        <v>7.6833333333333336</v>
      </c>
      <c r="J185" s="664">
        <v>750</v>
      </c>
      <c r="K185" s="664">
        <v>5917.5</v>
      </c>
      <c r="L185" s="664">
        <v>1.7114967462039046</v>
      </c>
      <c r="M185" s="664">
        <v>7.89</v>
      </c>
      <c r="N185" s="664">
        <v>270</v>
      </c>
      <c r="O185" s="664">
        <v>2173.5</v>
      </c>
      <c r="P185" s="677">
        <v>0.62863340563991321</v>
      </c>
      <c r="Q185" s="665">
        <v>8.0500000000000007</v>
      </c>
    </row>
    <row r="186" spans="1:17" ht="14.4" customHeight="1" x14ac:dyDescent="0.3">
      <c r="A186" s="660" t="s">
        <v>1453</v>
      </c>
      <c r="B186" s="661" t="s">
        <v>1256</v>
      </c>
      <c r="C186" s="661" t="s">
        <v>1268</v>
      </c>
      <c r="D186" s="661" t="s">
        <v>1293</v>
      </c>
      <c r="E186" s="661" t="s">
        <v>1294</v>
      </c>
      <c r="F186" s="664"/>
      <c r="G186" s="664"/>
      <c r="H186" s="664"/>
      <c r="I186" s="664"/>
      <c r="J186" s="664"/>
      <c r="K186" s="664"/>
      <c r="L186" s="664"/>
      <c r="M186" s="664"/>
      <c r="N186" s="664">
        <v>460</v>
      </c>
      <c r="O186" s="664">
        <v>9172.4</v>
      </c>
      <c r="P186" s="677"/>
      <c r="Q186" s="665">
        <v>19.939999999999998</v>
      </c>
    </row>
    <row r="187" spans="1:17" ht="14.4" customHeight="1" x14ac:dyDescent="0.3">
      <c r="A187" s="660" t="s">
        <v>1453</v>
      </c>
      <c r="B187" s="661" t="s">
        <v>1256</v>
      </c>
      <c r="C187" s="661" t="s">
        <v>1268</v>
      </c>
      <c r="D187" s="661" t="s">
        <v>1299</v>
      </c>
      <c r="E187" s="661" t="s">
        <v>1300</v>
      </c>
      <c r="F187" s="664">
        <v>17</v>
      </c>
      <c r="G187" s="664">
        <v>38979.22</v>
      </c>
      <c r="H187" s="664">
        <v>1</v>
      </c>
      <c r="I187" s="664">
        <v>2292.8952941176472</v>
      </c>
      <c r="J187" s="664">
        <v>13</v>
      </c>
      <c r="K187" s="664">
        <v>28539.55</v>
      </c>
      <c r="L187" s="664">
        <v>0.73217345036663117</v>
      </c>
      <c r="M187" s="664">
        <v>2195.35</v>
      </c>
      <c r="N187" s="664">
        <v>9</v>
      </c>
      <c r="O187" s="664">
        <v>19742.22</v>
      </c>
      <c r="P187" s="677">
        <v>0.50648063250111219</v>
      </c>
      <c r="Q187" s="665">
        <v>2193.58</v>
      </c>
    </row>
    <row r="188" spans="1:17" ht="14.4" customHeight="1" x14ac:dyDescent="0.3">
      <c r="A188" s="660" t="s">
        <v>1453</v>
      </c>
      <c r="B188" s="661" t="s">
        <v>1256</v>
      </c>
      <c r="C188" s="661" t="s">
        <v>1268</v>
      </c>
      <c r="D188" s="661" t="s">
        <v>1303</v>
      </c>
      <c r="E188" s="661" t="s">
        <v>1304</v>
      </c>
      <c r="F188" s="664">
        <v>10843</v>
      </c>
      <c r="G188" s="664">
        <v>33652.759999999995</v>
      </c>
      <c r="H188" s="664">
        <v>1</v>
      </c>
      <c r="I188" s="664">
        <v>3.103639214239601</v>
      </c>
      <c r="J188" s="664">
        <v>11762</v>
      </c>
      <c r="K188" s="664">
        <v>38344.120000000003</v>
      </c>
      <c r="L188" s="664">
        <v>1.1394049106224871</v>
      </c>
      <c r="M188" s="664">
        <v>3.2600000000000002</v>
      </c>
      <c r="N188" s="664">
        <v>11703</v>
      </c>
      <c r="O188" s="664">
        <v>40024.26</v>
      </c>
      <c r="P188" s="677">
        <v>1.1893306819410951</v>
      </c>
      <c r="Q188" s="665">
        <v>3.4200000000000004</v>
      </c>
    </row>
    <row r="189" spans="1:17" ht="14.4" customHeight="1" x14ac:dyDescent="0.3">
      <c r="A189" s="660" t="s">
        <v>1453</v>
      </c>
      <c r="B189" s="661" t="s">
        <v>1256</v>
      </c>
      <c r="C189" s="661" t="s">
        <v>1268</v>
      </c>
      <c r="D189" s="661" t="s">
        <v>1305</v>
      </c>
      <c r="E189" s="661" t="s">
        <v>1306</v>
      </c>
      <c r="F189" s="664"/>
      <c r="G189" s="664"/>
      <c r="H189" s="664"/>
      <c r="I189" s="664"/>
      <c r="J189" s="664">
        <v>220</v>
      </c>
      <c r="K189" s="664">
        <v>53528.2</v>
      </c>
      <c r="L189" s="664"/>
      <c r="M189" s="664">
        <v>243.30999999999997</v>
      </c>
      <c r="N189" s="664"/>
      <c r="O189" s="664"/>
      <c r="P189" s="677"/>
      <c r="Q189" s="665"/>
    </row>
    <row r="190" spans="1:17" ht="14.4" customHeight="1" x14ac:dyDescent="0.3">
      <c r="A190" s="660" t="s">
        <v>1453</v>
      </c>
      <c r="B190" s="661" t="s">
        <v>1256</v>
      </c>
      <c r="C190" s="661" t="s">
        <v>1268</v>
      </c>
      <c r="D190" s="661" t="s">
        <v>1309</v>
      </c>
      <c r="E190" s="661" t="s">
        <v>1310</v>
      </c>
      <c r="F190" s="664">
        <v>13674</v>
      </c>
      <c r="G190" s="664">
        <v>453145.13</v>
      </c>
      <c r="H190" s="664">
        <v>1</v>
      </c>
      <c r="I190" s="664">
        <v>33.139178733362584</v>
      </c>
      <c r="J190" s="664">
        <v>7434</v>
      </c>
      <c r="K190" s="664">
        <v>247552.2</v>
      </c>
      <c r="L190" s="664">
        <v>0.54629782736493271</v>
      </c>
      <c r="M190" s="664">
        <v>33.300000000000004</v>
      </c>
      <c r="N190" s="664">
        <v>2484</v>
      </c>
      <c r="O190" s="664">
        <v>83338.200000000012</v>
      </c>
      <c r="P190" s="677">
        <v>0.18391061600948908</v>
      </c>
      <c r="Q190" s="665">
        <v>33.550000000000004</v>
      </c>
    </row>
    <row r="191" spans="1:17" ht="14.4" customHeight="1" x14ac:dyDescent="0.3">
      <c r="A191" s="660" t="s">
        <v>1453</v>
      </c>
      <c r="B191" s="661" t="s">
        <v>1256</v>
      </c>
      <c r="C191" s="661" t="s">
        <v>1268</v>
      </c>
      <c r="D191" s="661" t="s">
        <v>1319</v>
      </c>
      <c r="E191" s="661" t="s">
        <v>1320</v>
      </c>
      <c r="F191" s="664"/>
      <c r="G191" s="664"/>
      <c r="H191" s="664"/>
      <c r="I191" s="664"/>
      <c r="J191" s="664">
        <v>1644</v>
      </c>
      <c r="K191" s="664">
        <v>96700.079999999987</v>
      </c>
      <c r="L191" s="664"/>
      <c r="M191" s="664">
        <v>58.819999999999993</v>
      </c>
      <c r="N191" s="664"/>
      <c r="O191" s="664"/>
      <c r="P191" s="677"/>
      <c r="Q191" s="665"/>
    </row>
    <row r="192" spans="1:17" ht="14.4" customHeight="1" x14ac:dyDescent="0.3">
      <c r="A192" s="660" t="s">
        <v>1453</v>
      </c>
      <c r="B192" s="661" t="s">
        <v>1256</v>
      </c>
      <c r="C192" s="661" t="s">
        <v>1324</v>
      </c>
      <c r="D192" s="661" t="s">
        <v>1325</v>
      </c>
      <c r="E192" s="661" t="s">
        <v>1326</v>
      </c>
      <c r="F192" s="664"/>
      <c r="G192" s="664"/>
      <c r="H192" s="664"/>
      <c r="I192" s="664"/>
      <c r="J192" s="664">
        <v>13</v>
      </c>
      <c r="K192" s="664">
        <v>11496.16</v>
      </c>
      <c r="L192" s="664"/>
      <c r="M192" s="664">
        <v>884.31999999999994</v>
      </c>
      <c r="N192" s="664">
        <v>6</v>
      </c>
      <c r="O192" s="664">
        <v>5305.92</v>
      </c>
      <c r="P192" s="677"/>
      <c r="Q192" s="665">
        <v>884.32</v>
      </c>
    </row>
    <row r="193" spans="1:17" ht="14.4" customHeight="1" x14ac:dyDescent="0.3">
      <c r="A193" s="660" t="s">
        <v>1453</v>
      </c>
      <c r="B193" s="661" t="s">
        <v>1256</v>
      </c>
      <c r="C193" s="661" t="s">
        <v>1327</v>
      </c>
      <c r="D193" s="661" t="s">
        <v>1328</v>
      </c>
      <c r="E193" s="661" t="s">
        <v>1329</v>
      </c>
      <c r="F193" s="664">
        <v>1</v>
      </c>
      <c r="G193" s="664">
        <v>34</v>
      </c>
      <c r="H193" s="664">
        <v>1</v>
      </c>
      <c r="I193" s="664">
        <v>34</v>
      </c>
      <c r="J193" s="664"/>
      <c r="K193" s="664"/>
      <c r="L193" s="664"/>
      <c r="M193" s="664"/>
      <c r="N193" s="664"/>
      <c r="O193" s="664"/>
      <c r="P193" s="677"/>
      <c r="Q193" s="665"/>
    </row>
    <row r="194" spans="1:17" ht="14.4" customHeight="1" x14ac:dyDescent="0.3">
      <c r="A194" s="660" t="s">
        <v>1453</v>
      </c>
      <c r="B194" s="661" t="s">
        <v>1256</v>
      </c>
      <c r="C194" s="661" t="s">
        <v>1327</v>
      </c>
      <c r="D194" s="661" t="s">
        <v>1330</v>
      </c>
      <c r="E194" s="661" t="s">
        <v>1331</v>
      </c>
      <c r="F194" s="664">
        <v>1</v>
      </c>
      <c r="G194" s="664">
        <v>420</v>
      </c>
      <c r="H194" s="664">
        <v>1</v>
      </c>
      <c r="I194" s="664">
        <v>420</v>
      </c>
      <c r="J194" s="664">
        <v>1</v>
      </c>
      <c r="K194" s="664">
        <v>420</v>
      </c>
      <c r="L194" s="664">
        <v>1</v>
      </c>
      <c r="M194" s="664">
        <v>420</v>
      </c>
      <c r="N194" s="664"/>
      <c r="O194" s="664"/>
      <c r="P194" s="677"/>
      <c r="Q194" s="665"/>
    </row>
    <row r="195" spans="1:17" ht="14.4" customHeight="1" x14ac:dyDescent="0.3">
      <c r="A195" s="660" t="s">
        <v>1453</v>
      </c>
      <c r="B195" s="661" t="s">
        <v>1256</v>
      </c>
      <c r="C195" s="661" t="s">
        <v>1327</v>
      </c>
      <c r="D195" s="661" t="s">
        <v>1349</v>
      </c>
      <c r="E195" s="661" t="s">
        <v>1350</v>
      </c>
      <c r="F195" s="664">
        <v>3</v>
      </c>
      <c r="G195" s="664">
        <v>5520</v>
      </c>
      <c r="H195" s="664">
        <v>1</v>
      </c>
      <c r="I195" s="664">
        <v>1840</v>
      </c>
      <c r="J195" s="664">
        <v>5</v>
      </c>
      <c r="K195" s="664">
        <v>9200</v>
      </c>
      <c r="L195" s="664">
        <v>1.6666666666666667</v>
      </c>
      <c r="M195" s="664">
        <v>1840</v>
      </c>
      <c r="N195" s="664">
        <v>2</v>
      </c>
      <c r="O195" s="664">
        <v>3698</v>
      </c>
      <c r="P195" s="677">
        <v>0.66992753623188406</v>
      </c>
      <c r="Q195" s="665">
        <v>1849</v>
      </c>
    </row>
    <row r="196" spans="1:17" ht="14.4" customHeight="1" x14ac:dyDescent="0.3">
      <c r="A196" s="660" t="s">
        <v>1453</v>
      </c>
      <c r="B196" s="661" t="s">
        <v>1256</v>
      </c>
      <c r="C196" s="661" t="s">
        <v>1327</v>
      </c>
      <c r="D196" s="661" t="s">
        <v>1357</v>
      </c>
      <c r="E196" s="661" t="s">
        <v>1358</v>
      </c>
      <c r="F196" s="664">
        <v>17</v>
      </c>
      <c r="G196" s="664">
        <v>11118</v>
      </c>
      <c r="H196" s="664">
        <v>1</v>
      </c>
      <c r="I196" s="664">
        <v>654</v>
      </c>
      <c r="J196" s="664">
        <v>13</v>
      </c>
      <c r="K196" s="664">
        <v>8502</v>
      </c>
      <c r="L196" s="664">
        <v>0.76470588235294112</v>
      </c>
      <c r="M196" s="664">
        <v>654</v>
      </c>
      <c r="N196" s="664">
        <v>8</v>
      </c>
      <c r="O196" s="664">
        <v>5264</v>
      </c>
      <c r="P196" s="677">
        <v>0.4734664508005037</v>
      </c>
      <c r="Q196" s="665">
        <v>658</v>
      </c>
    </row>
    <row r="197" spans="1:17" ht="14.4" customHeight="1" x14ac:dyDescent="0.3">
      <c r="A197" s="660" t="s">
        <v>1453</v>
      </c>
      <c r="B197" s="661" t="s">
        <v>1256</v>
      </c>
      <c r="C197" s="661" t="s">
        <v>1327</v>
      </c>
      <c r="D197" s="661" t="s">
        <v>1361</v>
      </c>
      <c r="E197" s="661" t="s">
        <v>1362</v>
      </c>
      <c r="F197" s="664">
        <v>32</v>
      </c>
      <c r="G197" s="664">
        <v>56128</v>
      </c>
      <c r="H197" s="664">
        <v>1</v>
      </c>
      <c r="I197" s="664">
        <v>1754</v>
      </c>
      <c r="J197" s="664">
        <v>40</v>
      </c>
      <c r="K197" s="664">
        <v>70160</v>
      </c>
      <c r="L197" s="664">
        <v>1.25</v>
      </c>
      <c r="M197" s="664">
        <v>1754</v>
      </c>
      <c r="N197" s="664">
        <v>40</v>
      </c>
      <c r="O197" s="664">
        <v>70480</v>
      </c>
      <c r="P197" s="677">
        <v>1.2557012542759407</v>
      </c>
      <c r="Q197" s="665">
        <v>1762</v>
      </c>
    </row>
    <row r="198" spans="1:17" ht="14.4" customHeight="1" x14ac:dyDescent="0.3">
      <c r="A198" s="660" t="s">
        <v>1453</v>
      </c>
      <c r="B198" s="661" t="s">
        <v>1256</v>
      </c>
      <c r="C198" s="661" t="s">
        <v>1327</v>
      </c>
      <c r="D198" s="661" t="s">
        <v>1363</v>
      </c>
      <c r="E198" s="661" t="s">
        <v>1364</v>
      </c>
      <c r="F198" s="664">
        <v>3</v>
      </c>
      <c r="G198" s="664">
        <v>1230</v>
      </c>
      <c r="H198" s="664">
        <v>1</v>
      </c>
      <c r="I198" s="664">
        <v>410</v>
      </c>
      <c r="J198" s="664">
        <v>2</v>
      </c>
      <c r="K198" s="664">
        <v>820</v>
      </c>
      <c r="L198" s="664">
        <v>0.66666666666666663</v>
      </c>
      <c r="M198" s="664">
        <v>410</v>
      </c>
      <c r="N198" s="664">
        <v>1</v>
      </c>
      <c r="O198" s="664">
        <v>413</v>
      </c>
      <c r="P198" s="677">
        <v>0.33577235772357722</v>
      </c>
      <c r="Q198" s="665">
        <v>413</v>
      </c>
    </row>
    <row r="199" spans="1:17" ht="14.4" customHeight="1" x14ac:dyDescent="0.3">
      <c r="A199" s="660" t="s">
        <v>1453</v>
      </c>
      <c r="B199" s="661" t="s">
        <v>1256</v>
      </c>
      <c r="C199" s="661" t="s">
        <v>1327</v>
      </c>
      <c r="D199" s="661" t="s">
        <v>1369</v>
      </c>
      <c r="E199" s="661" t="s">
        <v>1370</v>
      </c>
      <c r="F199" s="664">
        <v>32</v>
      </c>
      <c r="G199" s="664">
        <v>458496</v>
      </c>
      <c r="H199" s="664">
        <v>1</v>
      </c>
      <c r="I199" s="664">
        <v>14328</v>
      </c>
      <c r="J199" s="664">
        <v>21</v>
      </c>
      <c r="K199" s="664">
        <v>300888</v>
      </c>
      <c r="L199" s="664">
        <v>0.65625</v>
      </c>
      <c r="M199" s="664">
        <v>14328</v>
      </c>
      <c r="N199" s="664">
        <v>6</v>
      </c>
      <c r="O199" s="664">
        <v>86040</v>
      </c>
      <c r="P199" s="677">
        <v>0.18765703517587939</v>
      </c>
      <c r="Q199" s="665">
        <v>14340</v>
      </c>
    </row>
    <row r="200" spans="1:17" ht="14.4" customHeight="1" x14ac:dyDescent="0.3">
      <c r="A200" s="660" t="s">
        <v>1453</v>
      </c>
      <c r="B200" s="661" t="s">
        <v>1256</v>
      </c>
      <c r="C200" s="661" t="s">
        <v>1327</v>
      </c>
      <c r="D200" s="661" t="s">
        <v>1379</v>
      </c>
      <c r="E200" s="661" t="s">
        <v>1380</v>
      </c>
      <c r="F200" s="664">
        <v>2</v>
      </c>
      <c r="G200" s="664">
        <v>1160</v>
      </c>
      <c r="H200" s="664">
        <v>1</v>
      </c>
      <c r="I200" s="664">
        <v>580</v>
      </c>
      <c r="J200" s="664">
        <v>1</v>
      </c>
      <c r="K200" s="664">
        <v>580</v>
      </c>
      <c r="L200" s="664">
        <v>0.5</v>
      </c>
      <c r="M200" s="664">
        <v>580</v>
      </c>
      <c r="N200" s="664">
        <v>1</v>
      </c>
      <c r="O200" s="664">
        <v>586</v>
      </c>
      <c r="P200" s="677">
        <v>0.5051724137931034</v>
      </c>
      <c r="Q200" s="665">
        <v>586</v>
      </c>
    </row>
    <row r="201" spans="1:17" ht="14.4" customHeight="1" x14ac:dyDescent="0.3">
      <c r="A201" s="660" t="s">
        <v>1453</v>
      </c>
      <c r="B201" s="661" t="s">
        <v>1256</v>
      </c>
      <c r="C201" s="661" t="s">
        <v>1327</v>
      </c>
      <c r="D201" s="661" t="s">
        <v>1385</v>
      </c>
      <c r="E201" s="661" t="s">
        <v>1386</v>
      </c>
      <c r="F201" s="664">
        <v>15</v>
      </c>
      <c r="G201" s="664">
        <v>19290</v>
      </c>
      <c r="H201" s="664">
        <v>1</v>
      </c>
      <c r="I201" s="664">
        <v>1286</v>
      </c>
      <c r="J201" s="664">
        <v>18</v>
      </c>
      <c r="K201" s="664">
        <v>23148</v>
      </c>
      <c r="L201" s="664">
        <v>1.2</v>
      </c>
      <c r="M201" s="664">
        <v>1286</v>
      </c>
      <c r="N201" s="664">
        <v>17</v>
      </c>
      <c r="O201" s="664">
        <v>21998</v>
      </c>
      <c r="P201" s="677">
        <v>1.1403836184551581</v>
      </c>
      <c r="Q201" s="665">
        <v>1294</v>
      </c>
    </row>
    <row r="202" spans="1:17" ht="14.4" customHeight="1" x14ac:dyDescent="0.3">
      <c r="A202" s="660" t="s">
        <v>1453</v>
      </c>
      <c r="B202" s="661" t="s">
        <v>1256</v>
      </c>
      <c r="C202" s="661" t="s">
        <v>1327</v>
      </c>
      <c r="D202" s="661" t="s">
        <v>1387</v>
      </c>
      <c r="E202" s="661" t="s">
        <v>1388</v>
      </c>
      <c r="F202" s="664">
        <v>18</v>
      </c>
      <c r="G202" s="664">
        <v>8766</v>
      </c>
      <c r="H202" s="664">
        <v>1</v>
      </c>
      <c r="I202" s="664">
        <v>487</v>
      </c>
      <c r="J202" s="664">
        <v>18</v>
      </c>
      <c r="K202" s="664">
        <v>8766</v>
      </c>
      <c r="L202" s="664">
        <v>1</v>
      </c>
      <c r="M202" s="664">
        <v>487</v>
      </c>
      <c r="N202" s="664">
        <v>16</v>
      </c>
      <c r="O202" s="664">
        <v>7840</v>
      </c>
      <c r="P202" s="677">
        <v>0.89436459046315309</v>
      </c>
      <c r="Q202" s="665">
        <v>490</v>
      </c>
    </row>
    <row r="203" spans="1:17" ht="14.4" customHeight="1" x14ac:dyDescent="0.3">
      <c r="A203" s="660" t="s">
        <v>1453</v>
      </c>
      <c r="B203" s="661" t="s">
        <v>1256</v>
      </c>
      <c r="C203" s="661" t="s">
        <v>1327</v>
      </c>
      <c r="D203" s="661" t="s">
        <v>1389</v>
      </c>
      <c r="E203" s="661" t="s">
        <v>1390</v>
      </c>
      <c r="F203" s="664"/>
      <c r="G203" s="664"/>
      <c r="H203" s="664"/>
      <c r="I203" s="664"/>
      <c r="J203" s="664"/>
      <c r="K203" s="664"/>
      <c r="L203" s="664"/>
      <c r="M203" s="664"/>
      <c r="N203" s="664">
        <v>1</v>
      </c>
      <c r="O203" s="664">
        <v>2258</v>
      </c>
      <c r="P203" s="677"/>
      <c r="Q203" s="665">
        <v>2258</v>
      </c>
    </row>
    <row r="204" spans="1:17" ht="14.4" customHeight="1" x14ac:dyDescent="0.3">
      <c r="A204" s="660" t="s">
        <v>1453</v>
      </c>
      <c r="B204" s="661" t="s">
        <v>1256</v>
      </c>
      <c r="C204" s="661" t="s">
        <v>1327</v>
      </c>
      <c r="D204" s="661" t="s">
        <v>1391</v>
      </c>
      <c r="E204" s="661" t="s">
        <v>1392</v>
      </c>
      <c r="F204" s="664"/>
      <c r="G204" s="664"/>
      <c r="H204" s="664"/>
      <c r="I204" s="664"/>
      <c r="J204" s="664">
        <v>1</v>
      </c>
      <c r="K204" s="664">
        <v>2535</v>
      </c>
      <c r="L204" s="664"/>
      <c r="M204" s="664">
        <v>2535</v>
      </c>
      <c r="N204" s="664"/>
      <c r="O204" s="664"/>
      <c r="P204" s="677"/>
      <c r="Q204" s="665"/>
    </row>
    <row r="205" spans="1:17" ht="14.4" customHeight="1" x14ac:dyDescent="0.3">
      <c r="A205" s="660" t="s">
        <v>1454</v>
      </c>
      <c r="B205" s="661" t="s">
        <v>1256</v>
      </c>
      <c r="C205" s="661" t="s">
        <v>1257</v>
      </c>
      <c r="D205" s="661" t="s">
        <v>1258</v>
      </c>
      <c r="E205" s="661" t="s">
        <v>732</v>
      </c>
      <c r="F205" s="664"/>
      <c r="G205" s="664"/>
      <c r="H205" s="664"/>
      <c r="I205" s="664"/>
      <c r="J205" s="664"/>
      <c r="K205" s="664"/>
      <c r="L205" s="664"/>
      <c r="M205" s="664"/>
      <c r="N205" s="664">
        <v>0.85000000000000009</v>
      </c>
      <c r="O205" s="664">
        <v>1617.27</v>
      </c>
      <c r="P205" s="677"/>
      <c r="Q205" s="665">
        <v>1902.670588235294</v>
      </c>
    </row>
    <row r="206" spans="1:17" ht="14.4" customHeight="1" x14ac:dyDescent="0.3">
      <c r="A206" s="660" t="s">
        <v>1454</v>
      </c>
      <c r="B206" s="661" t="s">
        <v>1256</v>
      </c>
      <c r="C206" s="661" t="s">
        <v>1257</v>
      </c>
      <c r="D206" s="661" t="s">
        <v>1263</v>
      </c>
      <c r="E206" s="661" t="s">
        <v>743</v>
      </c>
      <c r="F206" s="664">
        <v>0.4</v>
      </c>
      <c r="G206" s="664">
        <v>873.72</v>
      </c>
      <c r="H206" s="664">
        <v>1</v>
      </c>
      <c r="I206" s="664">
        <v>2184.2999999999997</v>
      </c>
      <c r="J206" s="664">
        <v>1.2</v>
      </c>
      <c r="K206" s="664">
        <v>2621.1799999999998</v>
      </c>
      <c r="L206" s="664">
        <v>3.0000228906285762</v>
      </c>
      <c r="M206" s="664">
        <v>2184.3166666666666</v>
      </c>
      <c r="N206" s="664">
        <v>1.65</v>
      </c>
      <c r="O206" s="664">
        <v>2921.82</v>
      </c>
      <c r="P206" s="677">
        <v>3.3441148193929404</v>
      </c>
      <c r="Q206" s="665">
        <v>1770.8000000000002</v>
      </c>
    </row>
    <row r="207" spans="1:17" ht="14.4" customHeight="1" x14ac:dyDescent="0.3">
      <c r="A207" s="660" t="s">
        <v>1454</v>
      </c>
      <c r="B207" s="661" t="s">
        <v>1256</v>
      </c>
      <c r="C207" s="661" t="s">
        <v>1257</v>
      </c>
      <c r="D207" s="661" t="s">
        <v>1264</v>
      </c>
      <c r="E207" s="661" t="s">
        <v>736</v>
      </c>
      <c r="F207" s="664">
        <v>0.1</v>
      </c>
      <c r="G207" s="664">
        <v>94.48</v>
      </c>
      <c r="H207" s="664">
        <v>1</v>
      </c>
      <c r="I207" s="664">
        <v>944.8</v>
      </c>
      <c r="J207" s="664"/>
      <c r="K207" s="664"/>
      <c r="L207" s="664"/>
      <c r="M207" s="664"/>
      <c r="N207" s="664">
        <v>0.1</v>
      </c>
      <c r="O207" s="664">
        <v>90.38</v>
      </c>
      <c r="P207" s="677">
        <v>0.95660457239627428</v>
      </c>
      <c r="Q207" s="665">
        <v>903.8</v>
      </c>
    </row>
    <row r="208" spans="1:17" ht="14.4" customHeight="1" x14ac:dyDescent="0.3">
      <c r="A208" s="660" t="s">
        <v>1454</v>
      </c>
      <c r="B208" s="661" t="s">
        <v>1256</v>
      </c>
      <c r="C208" s="661" t="s">
        <v>1268</v>
      </c>
      <c r="D208" s="661" t="s">
        <v>1281</v>
      </c>
      <c r="E208" s="661" t="s">
        <v>1282</v>
      </c>
      <c r="F208" s="664"/>
      <c r="G208" s="664"/>
      <c r="H208" s="664"/>
      <c r="I208" s="664"/>
      <c r="J208" s="664"/>
      <c r="K208" s="664"/>
      <c r="L208" s="664"/>
      <c r="M208" s="664"/>
      <c r="N208" s="664">
        <v>300</v>
      </c>
      <c r="O208" s="664">
        <v>1752</v>
      </c>
      <c r="P208" s="677"/>
      <c r="Q208" s="665">
        <v>5.84</v>
      </c>
    </row>
    <row r="209" spans="1:17" ht="14.4" customHeight="1" x14ac:dyDescent="0.3">
      <c r="A209" s="660" t="s">
        <v>1454</v>
      </c>
      <c r="B209" s="661" t="s">
        <v>1256</v>
      </c>
      <c r="C209" s="661" t="s">
        <v>1268</v>
      </c>
      <c r="D209" s="661" t="s">
        <v>1303</v>
      </c>
      <c r="E209" s="661" t="s">
        <v>1304</v>
      </c>
      <c r="F209" s="664">
        <v>2103</v>
      </c>
      <c r="G209" s="664">
        <v>6561.36</v>
      </c>
      <c r="H209" s="664">
        <v>1</v>
      </c>
      <c r="I209" s="664">
        <v>3.1199999999999997</v>
      </c>
      <c r="J209" s="664">
        <v>2678</v>
      </c>
      <c r="K209" s="664">
        <v>8730.2799999999988</v>
      </c>
      <c r="L209" s="664">
        <v>1.3305595181486765</v>
      </c>
      <c r="M209" s="664">
        <v>3.26</v>
      </c>
      <c r="N209" s="664">
        <v>1971</v>
      </c>
      <c r="O209" s="664">
        <v>6740.82</v>
      </c>
      <c r="P209" s="677">
        <v>1.0273510369801382</v>
      </c>
      <c r="Q209" s="665">
        <v>3.42</v>
      </c>
    </row>
    <row r="210" spans="1:17" ht="14.4" customHeight="1" x14ac:dyDescent="0.3">
      <c r="A210" s="660" t="s">
        <v>1454</v>
      </c>
      <c r="B210" s="661" t="s">
        <v>1256</v>
      </c>
      <c r="C210" s="661" t="s">
        <v>1268</v>
      </c>
      <c r="D210" s="661" t="s">
        <v>1309</v>
      </c>
      <c r="E210" s="661" t="s">
        <v>1310</v>
      </c>
      <c r="F210" s="664">
        <v>831</v>
      </c>
      <c r="G210" s="664">
        <v>27647.37</v>
      </c>
      <c r="H210" s="664">
        <v>1</v>
      </c>
      <c r="I210" s="664">
        <v>33.269999999999996</v>
      </c>
      <c r="J210" s="664">
        <v>1029</v>
      </c>
      <c r="K210" s="664">
        <v>34265.699999999997</v>
      </c>
      <c r="L210" s="664">
        <v>1.2393837099152649</v>
      </c>
      <c r="M210" s="664">
        <v>33.299999999999997</v>
      </c>
      <c r="N210" s="664">
        <v>2189</v>
      </c>
      <c r="O210" s="664">
        <v>73440.95</v>
      </c>
      <c r="P210" s="677">
        <v>2.6563448892245445</v>
      </c>
      <c r="Q210" s="665">
        <v>33.549999999999997</v>
      </c>
    </row>
    <row r="211" spans="1:17" ht="14.4" customHeight="1" x14ac:dyDescent="0.3">
      <c r="A211" s="660" t="s">
        <v>1454</v>
      </c>
      <c r="B211" s="661" t="s">
        <v>1256</v>
      </c>
      <c r="C211" s="661" t="s">
        <v>1268</v>
      </c>
      <c r="D211" s="661" t="s">
        <v>1311</v>
      </c>
      <c r="E211" s="661" t="s">
        <v>1312</v>
      </c>
      <c r="F211" s="664">
        <v>185</v>
      </c>
      <c r="G211" s="664">
        <v>29167.1</v>
      </c>
      <c r="H211" s="664">
        <v>1</v>
      </c>
      <c r="I211" s="664">
        <v>157.66</v>
      </c>
      <c r="J211" s="664"/>
      <c r="K211" s="664"/>
      <c r="L211" s="664"/>
      <c r="M211" s="664"/>
      <c r="N211" s="664"/>
      <c r="O211" s="664"/>
      <c r="P211" s="677"/>
      <c r="Q211" s="665"/>
    </row>
    <row r="212" spans="1:17" ht="14.4" customHeight="1" x14ac:dyDescent="0.3">
      <c r="A212" s="660" t="s">
        <v>1454</v>
      </c>
      <c r="B212" s="661" t="s">
        <v>1256</v>
      </c>
      <c r="C212" s="661" t="s">
        <v>1324</v>
      </c>
      <c r="D212" s="661" t="s">
        <v>1325</v>
      </c>
      <c r="E212" s="661" t="s">
        <v>1326</v>
      </c>
      <c r="F212" s="664"/>
      <c r="G212" s="664"/>
      <c r="H212" s="664"/>
      <c r="I212" s="664"/>
      <c r="J212" s="664">
        <v>1</v>
      </c>
      <c r="K212" s="664">
        <v>884.32</v>
      </c>
      <c r="L212" s="664"/>
      <c r="M212" s="664">
        <v>884.32</v>
      </c>
      <c r="N212" s="664">
        <v>5</v>
      </c>
      <c r="O212" s="664">
        <v>4421.6000000000004</v>
      </c>
      <c r="P212" s="677"/>
      <c r="Q212" s="665">
        <v>884.32</v>
      </c>
    </row>
    <row r="213" spans="1:17" ht="14.4" customHeight="1" x14ac:dyDescent="0.3">
      <c r="A213" s="660" t="s">
        <v>1454</v>
      </c>
      <c r="B213" s="661" t="s">
        <v>1256</v>
      </c>
      <c r="C213" s="661" t="s">
        <v>1327</v>
      </c>
      <c r="D213" s="661" t="s">
        <v>1361</v>
      </c>
      <c r="E213" s="661" t="s">
        <v>1362</v>
      </c>
      <c r="F213" s="664">
        <v>6</v>
      </c>
      <c r="G213" s="664">
        <v>10524</v>
      </c>
      <c r="H213" s="664">
        <v>1</v>
      </c>
      <c r="I213" s="664">
        <v>1754</v>
      </c>
      <c r="J213" s="664">
        <v>7</v>
      </c>
      <c r="K213" s="664">
        <v>12278</v>
      </c>
      <c r="L213" s="664">
        <v>1.1666666666666667</v>
      </c>
      <c r="M213" s="664">
        <v>1754</v>
      </c>
      <c r="N213" s="664">
        <v>5</v>
      </c>
      <c r="O213" s="664">
        <v>8810</v>
      </c>
      <c r="P213" s="677">
        <v>0.8371341695172938</v>
      </c>
      <c r="Q213" s="665">
        <v>1762</v>
      </c>
    </row>
    <row r="214" spans="1:17" ht="14.4" customHeight="1" x14ac:dyDescent="0.3">
      <c r="A214" s="660" t="s">
        <v>1454</v>
      </c>
      <c r="B214" s="661" t="s">
        <v>1256</v>
      </c>
      <c r="C214" s="661" t="s">
        <v>1327</v>
      </c>
      <c r="D214" s="661" t="s">
        <v>1363</v>
      </c>
      <c r="E214" s="661" t="s">
        <v>1364</v>
      </c>
      <c r="F214" s="664">
        <v>1</v>
      </c>
      <c r="G214" s="664">
        <v>410</v>
      </c>
      <c r="H214" s="664">
        <v>1</v>
      </c>
      <c r="I214" s="664">
        <v>410</v>
      </c>
      <c r="J214" s="664"/>
      <c r="K214" s="664"/>
      <c r="L214" s="664"/>
      <c r="M214" s="664"/>
      <c r="N214" s="664">
        <v>1</v>
      </c>
      <c r="O214" s="664">
        <v>413</v>
      </c>
      <c r="P214" s="677">
        <v>1.0073170731707317</v>
      </c>
      <c r="Q214" s="665">
        <v>413</v>
      </c>
    </row>
    <row r="215" spans="1:17" ht="14.4" customHeight="1" x14ac:dyDescent="0.3">
      <c r="A215" s="660" t="s">
        <v>1454</v>
      </c>
      <c r="B215" s="661" t="s">
        <v>1256</v>
      </c>
      <c r="C215" s="661" t="s">
        <v>1327</v>
      </c>
      <c r="D215" s="661" t="s">
        <v>1369</v>
      </c>
      <c r="E215" s="661" t="s">
        <v>1370</v>
      </c>
      <c r="F215" s="664">
        <v>2</v>
      </c>
      <c r="G215" s="664">
        <v>28656</v>
      </c>
      <c r="H215" s="664">
        <v>1</v>
      </c>
      <c r="I215" s="664">
        <v>14328</v>
      </c>
      <c r="J215" s="664">
        <v>2</v>
      </c>
      <c r="K215" s="664">
        <v>28656</v>
      </c>
      <c r="L215" s="664">
        <v>1</v>
      </c>
      <c r="M215" s="664">
        <v>14328</v>
      </c>
      <c r="N215" s="664">
        <v>5</v>
      </c>
      <c r="O215" s="664">
        <v>71700</v>
      </c>
      <c r="P215" s="677">
        <v>2.5020938023450587</v>
      </c>
      <c r="Q215" s="665">
        <v>14340</v>
      </c>
    </row>
    <row r="216" spans="1:17" ht="14.4" customHeight="1" x14ac:dyDescent="0.3">
      <c r="A216" s="660" t="s">
        <v>1454</v>
      </c>
      <c r="B216" s="661" t="s">
        <v>1256</v>
      </c>
      <c r="C216" s="661" t="s">
        <v>1327</v>
      </c>
      <c r="D216" s="661" t="s">
        <v>1385</v>
      </c>
      <c r="E216" s="661" t="s">
        <v>1386</v>
      </c>
      <c r="F216" s="664">
        <v>3</v>
      </c>
      <c r="G216" s="664">
        <v>3858</v>
      </c>
      <c r="H216" s="664">
        <v>1</v>
      </c>
      <c r="I216" s="664">
        <v>1286</v>
      </c>
      <c r="J216" s="664">
        <v>4</v>
      </c>
      <c r="K216" s="664">
        <v>5144</v>
      </c>
      <c r="L216" s="664">
        <v>1.3333333333333333</v>
      </c>
      <c r="M216" s="664">
        <v>1286</v>
      </c>
      <c r="N216" s="664">
        <v>3</v>
      </c>
      <c r="O216" s="664">
        <v>3882</v>
      </c>
      <c r="P216" s="677">
        <v>1.0062208398133747</v>
      </c>
      <c r="Q216" s="665">
        <v>1294</v>
      </c>
    </row>
    <row r="217" spans="1:17" ht="14.4" customHeight="1" x14ac:dyDescent="0.3">
      <c r="A217" s="660" t="s">
        <v>1455</v>
      </c>
      <c r="B217" s="661" t="s">
        <v>1256</v>
      </c>
      <c r="C217" s="661" t="s">
        <v>1268</v>
      </c>
      <c r="D217" s="661" t="s">
        <v>1271</v>
      </c>
      <c r="E217" s="661" t="s">
        <v>1272</v>
      </c>
      <c r="F217" s="664"/>
      <c r="G217" s="664"/>
      <c r="H217" s="664"/>
      <c r="I217" s="664"/>
      <c r="J217" s="664"/>
      <c r="K217" s="664"/>
      <c r="L217" s="664"/>
      <c r="M217" s="664"/>
      <c r="N217" s="664">
        <v>200</v>
      </c>
      <c r="O217" s="664">
        <v>422</v>
      </c>
      <c r="P217" s="677"/>
      <c r="Q217" s="665">
        <v>2.11</v>
      </c>
    </row>
    <row r="218" spans="1:17" ht="14.4" customHeight="1" x14ac:dyDescent="0.3">
      <c r="A218" s="660" t="s">
        <v>1455</v>
      </c>
      <c r="B218" s="661" t="s">
        <v>1256</v>
      </c>
      <c r="C218" s="661" t="s">
        <v>1268</v>
      </c>
      <c r="D218" s="661" t="s">
        <v>1273</v>
      </c>
      <c r="E218" s="661" t="s">
        <v>1274</v>
      </c>
      <c r="F218" s="664">
        <v>150</v>
      </c>
      <c r="G218" s="664">
        <v>699</v>
      </c>
      <c r="H218" s="664">
        <v>1</v>
      </c>
      <c r="I218" s="664">
        <v>4.66</v>
      </c>
      <c r="J218" s="664"/>
      <c r="K218" s="664"/>
      <c r="L218" s="664"/>
      <c r="M218" s="664"/>
      <c r="N218" s="664"/>
      <c r="O218" s="664"/>
      <c r="P218" s="677"/>
      <c r="Q218" s="665"/>
    </row>
    <row r="219" spans="1:17" ht="14.4" customHeight="1" x14ac:dyDescent="0.3">
      <c r="A219" s="660" t="s">
        <v>1455</v>
      </c>
      <c r="B219" s="661" t="s">
        <v>1256</v>
      </c>
      <c r="C219" s="661" t="s">
        <v>1268</v>
      </c>
      <c r="D219" s="661" t="s">
        <v>1299</v>
      </c>
      <c r="E219" s="661" t="s">
        <v>1300</v>
      </c>
      <c r="F219" s="664">
        <v>1</v>
      </c>
      <c r="G219" s="664">
        <v>2261.84</v>
      </c>
      <c r="H219" s="664">
        <v>1</v>
      </c>
      <c r="I219" s="664">
        <v>2261.84</v>
      </c>
      <c r="J219" s="664"/>
      <c r="K219" s="664"/>
      <c r="L219" s="664"/>
      <c r="M219" s="664"/>
      <c r="N219" s="664"/>
      <c r="O219" s="664"/>
      <c r="P219" s="677"/>
      <c r="Q219" s="665"/>
    </row>
    <row r="220" spans="1:17" ht="14.4" customHeight="1" x14ac:dyDescent="0.3">
      <c r="A220" s="660" t="s">
        <v>1455</v>
      </c>
      <c r="B220" s="661" t="s">
        <v>1256</v>
      </c>
      <c r="C220" s="661" t="s">
        <v>1327</v>
      </c>
      <c r="D220" s="661" t="s">
        <v>1357</v>
      </c>
      <c r="E220" s="661" t="s">
        <v>1358</v>
      </c>
      <c r="F220" s="664">
        <v>1</v>
      </c>
      <c r="G220" s="664">
        <v>654</v>
      </c>
      <c r="H220" s="664">
        <v>1</v>
      </c>
      <c r="I220" s="664">
        <v>654</v>
      </c>
      <c r="J220" s="664"/>
      <c r="K220" s="664"/>
      <c r="L220" s="664"/>
      <c r="M220" s="664"/>
      <c r="N220" s="664"/>
      <c r="O220" s="664"/>
      <c r="P220" s="677"/>
      <c r="Q220" s="665"/>
    </row>
    <row r="221" spans="1:17" ht="14.4" customHeight="1" x14ac:dyDescent="0.3">
      <c r="A221" s="660" t="s">
        <v>1455</v>
      </c>
      <c r="B221" s="661" t="s">
        <v>1256</v>
      </c>
      <c r="C221" s="661" t="s">
        <v>1327</v>
      </c>
      <c r="D221" s="661" t="s">
        <v>1383</v>
      </c>
      <c r="E221" s="661" t="s">
        <v>1384</v>
      </c>
      <c r="F221" s="664"/>
      <c r="G221" s="664"/>
      <c r="H221" s="664"/>
      <c r="I221" s="664"/>
      <c r="J221" s="664"/>
      <c r="K221" s="664"/>
      <c r="L221" s="664"/>
      <c r="M221" s="664"/>
      <c r="N221" s="664">
        <v>1</v>
      </c>
      <c r="O221" s="664">
        <v>421</v>
      </c>
      <c r="P221" s="677"/>
      <c r="Q221" s="665">
        <v>421</v>
      </c>
    </row>
    <row r="222" spans="1:17" ht="14.4" customHeight="1" x14ac:dyDescent="0.3">
      <c r="A222" s="660" t="s">
        <v>1455</v>
      </c>
      <c r="B222" s="661" t="s">
        <v>1256</v>
      </c>
      <c r="C222" s="661" t="s">
        <v>1327</v>
      </c>
      <c r="D222" s="661" t="s">
        <v>1387</v>
      </c>
      <c r="E222" s="661" t="s">
        <v>1388</v>
      </c>
      <c r="F222" s="664">
        <v>1</v>
      </c>
      <c r="G222" s="664">
        <v>487</v>
      </c>
      <c r="H222" s="664">
        <v>1</v>
      </c>
      <c r="I222" s="664">
        <v>487</v>
      </c>
      <c r="J222" s="664"/>
      <c r="K222" s="664"/>
      <c r="L222" s="664"/>
      <c r="M222" s="664"/>
      <c r="N222" s="664"/>
      <c r="O222" s="664"/>
      <c r="P222" s="677"/>
      <c r="Q222" s="665"/>
    </row>
    <row r="223" spans="1:17" ht="14.4" customHeight="1" x14ac:dyDescent="0.3">
      <c r="A223" s="660" t="s">
        <v>1456</v>
      </c>
      <c r="B223" s="661" t="s">
        <v>1256</v>
      </c>
      <c r="C223" s="661" t="s">
        <v>1268</v>
      </c>
      <c r="D223" s="661" t="s">
        <v>1313</v>
      </c>
      <c r="E223" s="661" t="s">
        <v>1314</v>
      </c>
      <c r="F223" s="664"/>
      <c r="G223" s="664"/>
      <c r="H223" s="664"/>
      <c r="I223" s="664"/>
      <c r="J223" s="664">
        <v>100</v>
      </c>
      <c r="K223" s="664">
        <v>1934</v>
      </c>
      <c r="L223" s="664"/>
      <c r="M223" s="664">
        <v>19.34</v>
      </c>
      <c r="N223" s="664"/>
      <c r="O223" s="664"/>
      <c r="P223" s="677"/>
      <c r="Q223" s="665"/>
    </row>
    <row r="224" spans="1:17" ht="14.4" customHeight="1" x14ac:dyDescent="0.3">
      <c r="A224" s="660" t="s">
        <v>1456</v>
      </c>
      <c r="B224" s="661" t="s">
        <v>1256</v>
      </c>
      <c r="C224" s="661" t="s">
        <v>1327</v>
      </c>
      <c r="D224" s="661" t="s">
        <v>1359</v>
      </c>
      <c r="E224" s="661" t="s">
        <v>1360</v>
      </c>
      <c r="F224" s="664"/>
      <c r="G224" s="664"/>
      <c r="H224" s="664"/>
      <c r="I224" s="664"/>
      <c r="J224" s="664">
        <v>1</v>
      </c>
      <c r="K224" s="664">
        <v>685</v>
      </c>
      <c r="L224" s="664"/>
      <c r="M224" s="664">
        <v>685</v>
      </c>
      <c r="N224" s="664"/>
      <c r="O224" s="664"/>
      <c r="P224" s="677"/>
      <c r="Q224" s="665"/>
    </row>
    <row r="225" spans="1:17" ht="14.4" customHeight="1" x14ac:dyDescent="0.3">
      <c r="A225" s="660" t="s">
        <v>1457</v>
      </c>
      <c r="B225" s="661" t="s">
        <v>1256</v>
      </c>
      <c r="C225" s="661" t="s">
        <v>1257</v>
      </c>
      <c r="D225" s="661" t="s">
        <v>1258</v>
      </c>
      <c r="E225" s="661" t="s">
        <v>732</v>
      </c>
      <c r="F225" s="664"/>
      <c r="G225" s="664"/>
      <c r="H225" s="664"/>
      <c r="I225" s="664"/>
      <c r="J225" s="664">
        <v>2.25</v>
      </c>
      <c r="K225" s="664">
        <v>4450.57</v>
      </c>
      <c r="L225" s="664"/>
      <c r="M225" s="664">
        <v>1978.0311111111109</v>
      </c>
      <c r="N225" s="664">
        <v>0.55000000000000004</v>
      </c>
      <c r="O225" s="664">
        <v>1046.47</v>
      </c>
      <c r="P225" s="677"/>
      <c r="Q225" s="665">
        <v>1902.6727272727271</v>
      </c>
    </row>
    <row r="226" spans="1:17" ht="14.4" customHeight="1" x14ac:dyDescent="0.3">
      <c r="A226" s="660" t="s">
        <v>1457</v>
      </c>
      <c r="B226" s="661" t="s">
        <v>1256</v>
      </c>
      <c r="C226" s="661" t="s">
        <v>1257</v>
      </c>
      <c r="D226" s="661" t="s">
        <v>1262</v>
      </c>
      <c r="E226" s="661" t="s">
        <v>1248</v>
      </c>
      <c r="F226" s="664"/>
      <c r="G226" s="664"/>
      <c r="H226" s="664"/>
      <c r="I226" s="664"/>
      <c r="J226" s="664">
        <v>0.2</v>
      </c>
      <c r="K226" s="664">
        <v>218.43</v>
      </c>
      <c r="L226" s="664"/>
      <c r="M226" s="664">
        <v>1092.1499999999999</v>
      </c>
      <c r="N226" s="664"/>
      <c r="O226" s="664"/>
      <c r="P226" s="677"/>
      <c r="Q226" s="665"/>
    </row>
    <row r="227" spans="1:17" ht="14.4" customHeight="1" x14ac:dyDescent="0.3">
      <c r="A227" s="660" t="s">
        <v>1457</v>
      </c>
      <c r="B227" s="661" t="s">
        <v>1256</v>
      </c>
      <c r="C227" s="661" t="s">
        <v>1257</v>
      </c>
      <c r="D227" s="661" t="s">
        <v>1263</v>
      </c>
      <c r="E227" s="661" t="s">
        <v>743</v>
      </c>
      <c r="F227" s="664">
        <v>6.7500000000000009</v>
      </c>
      <c r="G227" s="664">
        <v>14744.130000000001</v>
      </c>
      <c r="H227" s="664">
        <v>1</v>
      </c>
      <c r="I227" s="664">
        <v>2184.3155555555554</v>
      </c>
      <c r="J227" s="664">
        <v>3.6999999999999997</v>
      </c>
      <c r="K227" s="664">
        <v>8081.96</v>
      </c>
      <c r="L227" s="664">
        <v>0.54814763570315772</v>
      </c>
      <c r="M227" s="664">
        <v>2184.3135135135135</v>
      </c>
      <c r="N227" s="664">
        <v>1.6</v>
      </c>
      <c r="O227" s="664">
        <v>2833.2799999999997</v>
      </c>
      <c r="P227" s="677">
        <v>0.19216325412214891</v>
      </c>
      <c r="Q227" s="665">
        <v>1770.7999999999997</v>
      </c>
    </row>
    <row r="228" spans="1:17" ht="14.4" customHeight="1" x14ac:dyDescent="0.3">
      <c r="A228" s="660" t="s">
        <v>1457</v>
      </c>
      <c r="B228" s="661" t="s">
        <v>1256</v>
      </c>
      <c r="C228" s="661" t="s">
        <v>1257</v>
      </c>
      <c r="D228" s="661" t="s">
        <v>1264</v>
      </c>
      <c r="E228" s="661" t="s">
        <v>736</v>
      </c>
      <c r="F228" s="664">
        <v>0.15000000000000002</v>
      </c>
      <c r="G228" s="664">
        <v>141.72</v>
      </c>
      <c r="H228" s="664">
        <v>1</v>
      </c>
      <c r="I228" s="664">
        <v>944.79999999999984</v>
      </c>
      <c r="J228" s="664">
        <v>0.1</v>
      </c>
      <c r="K228" s="664">
        <v>94.48</v>
      </c>
      <c r="L228" s="664">
        <v>0.66666666666666674</v>
      </c>
      <c r="M228" s="664">
        <v>944.8</v>
      </c>
      <c r="N228" s="664">
        <v>0.15000000000000002</v>
      </c>
      <c r="O228" s="664">
        <v>135.57</v>
      </c>
      <c r="P228" s="677">
        <v>0.95660457239627428</v>
      </c>
      <c r="Q228" s="665">
        <v>903.79999999999984</v>
      </c>
    </row>
    <row r="229" spans="1:17" ht="14.4" customHeight="1" x14ac:dyDescent="0.3">
      <c r="A229" s="660" t="s">
        <v>1457</v>
      </c>
      <c r="B229" s="661" t="s">
        <v>1256</v>
      </c>
      <c r="C229" s="661" t="s">
        <v>1268</v>
      </c>
      <c r="D229" s="661" t="s">
        <v>1273</v>
      </c>
      <c r="E229" s="661" t="s">
        <v>1274</v>
      </c>
      <c r="F229" s="664">
        <v>750</v>
      </c>
      <c r="G229" s="664">
        <v>3603</v>
      </c>
      <c r="H229" s="664">
        <v>1</v>
      </c>
      <c r="I229" s="664">
        <v>4.8040000000000003</v>
      </c>
      <c r="J229" s="664">
        <v>360</v>
      </c>
      <c r="K229" s="664">
        <v>1836</v>
      </c>
      <c r="L229" s="664">
        <v>0.50957535387177355</v>
      </c>
      <c r="M229" s="664">
        <v>5.0999999999999996</v>
      </c>
      <c r="N229" s="664">
        <v>510</v>
      </c>
      <c r="O229" s="664">
        <v>2713.2</v>
      </c>
      <c r="P229" s="677">
        <v>0.75303913405495415</v>
      </c>
      <c r="Q229" s="665">
        <v>5.3199999999999994</v>
      </c>
    </row>
    <row r="230" spans="1:17" ht="14.4" customHeight="1" x14ac:dyDescent="0.3">
      <c r="A230" s="660" t="s">
        <v>1457</v>
      </c>
      <c r="B230" s="661" t="s">
        <v>1256</v>
      </c>
      <c r="C230" s="661" t="s">
        <v>1268</v>
      </c>
      <c r="D230" s="661" t="s">
        <v>1285</v>
      </c>
      <c r="E230" s="661" t="s">
        <v>1286</v>
      </c>
      <c r="F230" s="664">
        <v>1440</v>
      </c>
      <c r="G230" s="664">
        <v>11432</v>
      </c>
      <c r="H230" s="664">
        <v>1</v>
      </c>
      <c r="I230" s="664">
        <v>7.9388888888888891</v>
      </c>
      <c r="J230" s="664">
        <v>1825</v>
      </c>
      <c r="K230" s="664">
        <v>14399.25</v>
      </c>
      <c r="L230" s="664">
        <v>1.2595565080475857</v>
      </c>
      <c r="M230" s="664">
        <v>7.89</v>
      </c>
      <c r="N230" s="664">
        <v>1290</v>
      </c>
      <c r="O230" s="664">
        <v>10384.5</v>
      </c>
      <c r="P230" s="677">
        <v>0.90837123862841151</v>
      </c>
      <c r="Q230" s="665">
        <v>8.0500000000000007</v>
      </c>
    </row>
    <row r="231" spans="1:17" ht="14.4" customHeight="1" x14ac:dyDescent="0.3">
      <c r="A231" s="660" t="s">
        <v>1457</v>
      </c>
      <c r="B231" s="661" t="s">
        <v>1256</v>
      </c>
      <c r="C231" s="661" t="s">
        <v>1268</v>
      </c>
      <c r="D231" s="661" t="s">
        <v>1287</v>
      </c>
      <c r="E231" s="661" t="s">
        <v>1288</v>
      </c>
      <c r="F231" s="664"/>
      <c r="G231" s="664"/>
      <c r="H231" s="664"/>
      <c r="I231" s="664"/>
      <c r="J231" s="664"/>
      <c r="K231" s="664"/>
      <c r="L231" s="664"/>
      <c r="M231" s="664"/>
      <c r="N231" s="664">
        <v>140</v>
      </c>
      <c r="O231" s="664">
        <v>1325.8</v>
      </c>
      <c r="P231" s="677"/>
      <c r="Q231" s="665">
        <v>9.4699999999999989</v>
      </c>
    </row>
    <row r="232" spans="1:17" ht="14.4" customHeight="1" x14ac:dyDescent="0.3">
      <c r="A232" s="660" t="s">
        <v>1457</v>
      </c>
      <c r="B232" s="661" t="s">
        <v>1256</v>
      </c>
      <c r="C232" s="661" t="s">
        <v>1268</v>
      </c>
      <c r="D232" s="661" t="s">
        <v>1299</v>
      </c>
      <c r="E232" s="661" t="s">
        <v>1300</v>
      </c>
      <c r="F232" s="664">
        <v>5</v>
      </c>
      <c r="G232" s="664">
        <v>11460.04</v>
      </c>
      <c r="H232" s="664">
        <v>1</v>
      </c>
      <c r="I232" s="664">
        <v>2292.0080000000003</v>
      </c>
      <c r="J232" s="664"/>
      <c r="K232" s="664"/>
      <c r="L232" s="664"/>
      <c r="M232" s="664"/>
      <c r="N232" s="664">
        <v>2</v>
      </c>
      <c r="O232" s="664">
        <v>4387.16</v>
      </c>
      <c r="P232" s="677">
        <v>0.38282239852565958</v>
      </c>
      <c r="Q232" s="665">
        <v>2193.58</v>
      </c>
    </row>
    <row r="233" spans="1:17" ht="14.4" customHeight="1" x14ac:dyDescent="0.3">
      <c r="A233" s="660" t="s">
        <v>1457</v>
      </c>
      <c r="B233" s="661" t="s">
        <v>1256</v>
      </c>
      <c r="C233" s="661" t="s">
        <v>1268</v>
      </c>
      <c r="D233" s="661" t="s">
        <v>1303</v>
      </c>
      <c r="E233" s="661" t="s">
        <v>1304</v>
      </c>
      <c r="F233" s="664">
        <v>2747</v>
      </c>
      <c r="G233" s="664">
        <v>8527.64</v>
      </c>
      <c r="H233" s="664">
        <v>1</v>
      </c>
      <c r="I233" s="664">
        <v>3.1043465598835089</v>
      </c>
      <c r="J233" s="664">
        <v>7444</v>
      </c>
      <c r="K233" s="664">
        <v>24267.440000000002</v>
      </c>
      <c r="L233" s="664">
        <v>2.8457392666669796</v>
      </c>
      <c r="M233" s="664">
        <v>3.2600000000000002</v>
      </c>
      <c r="N233" s="664">
        <v>6698</v>
      </c>
      <c r="O233" s="664">
        <v>22907.160000000003</v>
      </c>
      <c r="P233" s="677">
        <v>2.6862250282610436</v>
      </c>
      <c r="Q233" s="665">
        <v>3.4200000000000004</v>
      </c>
    </row>
    <row r="234" spans="1:17" ht="14.4" customHeight="1" x14ac:dyDescent="0.3">
      <c r="A234" s="660" t="s">
        <v>1457</v>
      </c>
      <c r="B234" s="661" t="s">
        <v>1256</v>
      </c>
      <c r="C234" s="661" t="s">
        <v>1268</v>
      </c>
      <c r="D234" s="661" t="s">
        <v>1305</v>
      </c>
      <c r="E234" s="661" t="s">
        <v>1306</v>
      </c>
      <c r="F234" s="664">
        <v>220</v>
      </c>
      <c r="G234" s="664">
        <v>51667</v>
      </c>
      <c r="H234" s="664">
        <v>1</v>
      </c>
      <c r="I234" s="664">
        <v>234.85</v>
      </c>
      <c r="J234" s="664"/>
      <c r="K234" s="664"/>
      <c r="L234" s="664"/>
      <c r="M234" s="664"/>
      <c r="N234" s="664"/>
      <c r="O234" s="664"/>
      <c r="P234" s="677"/>
      <c r="Q234" s="665"/>
    </row>
    <row r="235" spans="1:17" ht="14.4" customHeight="1" x14ac:dyDescent="0.3">
      <c r="A235" s="660" t="s">
        <v>1457</v>
      </c>
      <c r="B235" s="661" t="s">
        <v>1256</v>
      </c>
      <c r="C235" s="661" t="s">
        <v>1268</v>
      </c>
      <c r="D235" s="661" t="s">
        <v>1309</v>
      </c>
      <c r="E235" s="661" t="s">
        <v>1310</v>
      </c>
      <c r="F235" s="664">
        <v>5854</v>
      </c>
      <c r="G235" s="664">
        <v>193708.38</v>
      </c>
      <c r="H235" s="664">
        <v>1</v>
      </c>
      <c r="I235" s="664">
        <v>33.089918004783058</v>
      </c>
      <c r="J235" s="664">
        <v>5404</v>
      </c>
      <c r="K235" s="664">
        <v>179953.2</v>
      </c>
      <c r="L235" s="664">
        <v>0.92899026877412327</v>
      </c>
      <c r="M235" s="664">
        <v>33.300000000000004</v>
      </c>
      <c r="N235" s="664">
        <v>2011</v>
      </c>
      <c r="O235" s="664">
        <v>67469.05</v>
      </c>
      <c r="P235" s="677">
        <v>0.34830217464004398</v>
      </c>
      <c r="Q235" s="665">
        <v>33.550000000000004</v>
      </c>
    </row>
    <row r="236" spans="1:17" ht="14.4" customHeight="1" x14ac:dyDescent="0.3">
      <c r="A236" s="660" t="s">
        <v>1457</v>
      </c>
      <c r="B236" s="661" t="s">
        <v>1256</v>
      </c>
      <c r="C236" s="661" t="s">
        <v>1324</v>
      </c>
      <c r="D236" s="661" t="s">
        <v>1325</v>
      </c>
      <c r="E236" s="661" t="s">
        <v>1326</v>
      </c>
      <c r="F236" s="664"/>
      <c r="G236" s="664"/>
      <c r="H236" s="664"/>
      <c r="I236" s="664"/>
      <c r="J236" s="664">
        <v>10</v>
      </c>
      <c r="K236" s="664">
        <v>8843.2000000000007</v>
      </c>
      <c r="L236" s="664"/>
      <c r="M236" s="664">
        <v>884.32</v>
      </c>
      <c r="N236" s="664">
        <v>4</v>
      </c>
      <c r="O236" s="664">
        <v>3537.28</v>
      </c>
      <c r="P236" s="677"/>
      <c r="Q236" s="665">
        <v>884.32</v>
      </c>
    </row>
    <row r="237" spans="1:17" ht="14.4" customHeight="1" x14ac:dyDescent="0.3">
      <c r="A237" s="660" t="s">
        <v>1457</v>
      </c>
      <c r="B237" s="661" t="s">
        <v>1256</v>
      </c>
      <c r="C237" s="661" t="s">
        <v>1327</v>
      </c>
      <c r="D237" s="661" t="s">
        <v>1328</v>
      </c>
      <c r="E237" s="661" t="s">
        <v>1329</v>
      </c>
      <c r="F237" s="664"/>
      <c r="G237" s="664"/>
      <c r="H237" s="664"/>
      <c r="I237" s="664"/>
      <c r="J237" s="664">
        <v>1</v>
      </c>
      <c r="K237" s="664">
        <v>34</v>
      </c>
      <c r="L237" s="664"/>
      <c r="M237" s="664">
        <v>34</v>
      </c>
      <c r="N237" s="664"/>
      <c r="O237" s="664"/>
      <c r="P237" s="677"/>
      <c r="Q237" s="665"/>
    </row>
    <row r="238" spans="1:17" ht="14.4" customHeight="1" x14ac:dyDescent="0.3">
      <c r="A238" s="660" t="s">
        <v>1457</v>
      </c>
      <c r="B238" s="661" t="s">
        <v>1256</v>
      </c>
      <c r="C238" s="661" t="s">
        <v>1327</v>
      </c>
      <c r="D238" s="661" t="s">
        <v>1349</v>
      </c>
      <c r="E238" s="661" t="s">
        <v>1350</v>
      </c>
      <c r="F238" s="664">
        <v>10</v>
      </c>
      <c r="G238" s="664">
        <v>18400</v>
      </c>
      <c r="H238" s="664">
        <v>1</v>
      </c>
      <c r="I238" s="664">
        <v>1840</v>
      </c>
      <c r="J238" s="664">
        <v>13</v>
      </c>
      <c r="K238" s="664">
        <v>23920</v>
      </c>
      <c r="L238" s="664">
        <v>1.3</v>
      </c>
      <c r="M238" s="664">
        <v>1840</v>
      </c>
      <c r="N238" s="664">
        <v>10</v>
      </c>
      <c r="O238" s="664">
        <v>18490</v>
      </c>
      <c r="P238" s="677">
        <v>1.004891304347826</v>
      </c>
      <c r="Q238" s="665">
        <v>1849</v>
      </c>
    </row>
    <row r="239" spans="1:17" ht="14.4" customHeight="1" x14ac:dyDescent="0.3">
      <c r="A239" s="660" t="s">
        <v>1457</v>
      </c>
      <c r="B239" s="661" t="s">
        <v>1256</v>
      </c>
      <c r="C239" s="661" t="s">
        <v>1327</v>
      </c>
      <c r="D239" s="661" t="s">
        <v>1357</v>
      </c>
      <c r="E239" s="661" t="s">
        <v>1358</v>
      </c>
      <c r="F239" s="664">
        <v>5</v>
      </c>
      <c r="G239" s="664">
        <v>3270</v>
      </c>
      <c r="H239" s="664">
        <v>1</v>
      </c>
      <c r="I239" s="664">
        <v>654</v>
      </c>
      <c r="J239" s="664"/>
      <c r="K239" s="664"/>
      <c r="L239" s="664"/>
      <c r="M239" s="664"/>
      <c r="N239" s="664">
        <v>2</v>
      </c>
      <c r="O239" s="664">
        <v>1316</v>
      </c>
      <c r="P239" s="677">
        <v>0.40244648318042814</v>
      </c>
      <c r="Q239" s="665">
        <v>658</v>
      </c>
    </row>
    <row r="240" spans="1:17" ht="14.4" customHeight="1" x14ac:dyDescent="0.3">
      <c r="A240" s="660" t="s">
        <v>1457</v>
      </c>
      <c r="B240" s="661" t="s">
        <v>1256</v>
      </c>
      <c r="C240" s="661" t="s">
        <v>1327</v>
      </c>
      <c r="D240" s="661" t="s">
        <v>1361</v>
      </c>
      <c r="E240" s="661" t="s">
        <v>1362</v>
      </c>
      <c r="F240" s="664">
        <v>9</v>
      </c>
      <c r="G240" s="664">
        <v>15786</v>
      </c>
      <c r="H240" s="664">
        <v>1</v>
      </c>
      <c r="I240" s="664">
        <v>1754</v>
      </c>
      <c r="J240" s="664">
        <v>22</v>
      </c>
      <c r="K240" s="664">
        <v>38588</v>
      </c>
      <c r="L240" s="664">
        <v>2.4444444444444446</v>
      </c>
      <c r="M240" s="664">
        <v>1754</v>
      </c>
      <c r="N240" s="664">
        <v>18</v>
      </c>
      <c r="O240" s="664">
        <v>31716</v>
      </c>
      <c r="P240" s="677">
        <v>2.0091220068415052</v>
      </c>
      <c r="Q240" s="665">
        <v>1762</v>
      </c>
    </row>
    <row r="241" spans="1:17" ht="14.4" customHeight="1" x14ac:dyDescent="0.3">
      <c r="A241" s="660" t="s">
        <v>1457</v>
      </c>
      <c r="B241" s="661" t="s">
        <v>1256</v>
      </c>
      <c r="C241" s="661" t="s">
        <v>1327</v>
      </c>
      <c r="D241" s="661" t="s">
        <v>1369</v>
      </c>
      <c r="E241" s="661" t="s">
        <v>1370</v>
      </c>
      <c r="F241" s="664">
        <v>14</v>
      </c>
      <c r="G241" s="664">
        <v>200592</v>
      </c>
      <c r="H241" s="664">
        <v>1</v>
      </c>
      <c r="I241" s="664">
        <v>14328</v>
      </c>
      <c r="J241" s="664">
        <v>13</v>
      </c>
      <c r="K241" s="664">
        <v>186264</v>
      </c>
      <c r="L241" s="664">
        <v>0.9285714285714286</v>
      </c>
      <c r="M241" s="664">
        <v>14328</v>
      </c>
      <c r="N241" s="664">
        <v>4</v>
      </c>
      <c r="O241" s="664">
        <v>57360</v>
      </c>
      <c r="P241" s="677">
        <v>0.28595357741086386</v>
      </c>
      <c r="Q241" s="665">
        <v>14340</v>
      </c>
    </row>
    <row r="242" spans="1:17" ht="14.4" customHeight="1" x14ac:dyDescent="0.3">
      <c r="A242" s="660" t="s">
        <v>1457</v>
      </c>
      <c r="B242" s="661" t="s">
        <v>1256</v>
      </c>
      <c r="C242" s="661" t="s">
        <v>1327</v>
      </c>
      <c r="D242" s="661" t="s">
        <v>1385</v>
      </c>
      <c r="E242" s="661" t="s">
        <v>1386</v>
      </c>
      <c r="F242" s="664">
        <v>4</v>
      </c>
      <c r="G242" s="664">
        <v>5144</v>
      </c>
      <c r="H242" s="664">
        <v>1</v>
      </c>
      <c r="I242" s="664">
        <v>1286</v>
      </c>
      <c r="J242" s="664">
        <v>11</v>
      </c>
      <c r="K242" s="664">
        <v>14146</v>
      </c>
      <c r="L242" s="664">
        <v>2.75</v>
      </c>
      <c r="M242" s="664">
        <v>1286</v>
      </c>
      <c r="N242" s="664">
        <v>10</v>
      </c>
      <c r="O242" s="664">
        <v>12940</v>
      </c>
      <c r="P242" s="677">
        <v>2.5155520995334371</v>
      </c>
      <c r="Q242" s="665">
        <v>1294</v>
      </c>
    </row>
    <row r="243" spans="1:17" ht="14.4" customHeight="1" x14ac:dyDescent="0.3">
      <c r="A243" s="660" t="s">
        <v>1457</v>
      </c>
      <c r="B243" s="661" t="s">
        <v>1256</v>
      </c>
      <c r="C243" s="661" t="s">
        <v>1327</v>
      </c>
      <c r="D243" s="661" t="s">
        <v>1387</v>
      </c>
      <c r="E243" s="661" t="s">
        <v>1388</v>
      </c>
      <c r="F243" s="664">
        <v>5</v>
      </c>
      <c r="G243" s="664">
        <v>2435</v>
      </c>
      <c r="H243" s="664">
        <v>1</v>
      </c>
      <c r="I243" s="664">
        <v>487</v>
      </c>
      <c r="J243" s="664">
        <v>2</v>
      </c>
      <c r="K243" s="664">
        <v>974</v>
      </c>
      <c r="L243" s="664">
        <v>0.4</v>
      </c>
      <c r="M243" s="664">
        <v>487</v>
      </c>
      <c r="N243" s="664">
        <v>3</v>
      </c>
      <c r="O243" s="664">
        <v>1470</v>
      </c>
      <c r="P243" s="677">
        <v>0.60369609856262829</v>
      </c>
      <c r="Q243" s="665">
        <v>490</v>
      </c>
    </row>
    <row r="244" spans="1:17" ht="14.4" customHeight="1" x14ac:dyDescent="0.3">
      <c r="A244" s="660" t="s">
        <v>1457</v>
      </c>
      <c r="B244" s="661" t="s">
        <v>1256</v>
      </c>
      <c r="C244" s="661" t="s">
        <v>1327</v>
      </c>
      <c r="D244" s="661" t="s">
        <v>1391</v>
      </c>
      <c r="E244" s="661" t="s">
        <v>1392</v>
      </c>
      <c r="F244" s="664">
        <v>1</v>
      </c>
      <c r="G244" s="664">
        <v>2535</v>
      </c>
      <c r="H244" s="664">
        <v>1</v>
      </c>
      <c r="I244" s="664">
        <v>2535</v>
      </c>
      <c r="J244" s="664"/>
      <c r="K244" s="664"/>
      <c r="L244" s="664"/>
      <c r="M244" s="664"/>
      <c r="N244" s="664"/>
      <c r="O244" s="664"/>
      <c r="P244" s="677"/>
      <c r="Q244" s="665"/>
    </row>
    <row r="245" spans="1:17" ht="14.4" customHeight="1" x14ac:dyDescent="0.3">
      <c r="A245" s="660" t="s">
        <v>529</v>
      </c>
      <c r="B245" s="661" t="s">
        <v>1256</v>
      </c>
      <c r="C245" s="661" t="s">
        <v>1257</v>
      </c>
      <c r="D245" s="661" t="s">
        <v>1258</v>
      </c>
      <c r="E245" s="661" t="s">
        <v>732</v>
      </c>
      <c r="F245" s="664"/>
      <c r="G245" s="664"/>
      <c r="H245" s="664"/>
      <c r="I245" s="664"/>
      <c r="J245" s="664"/>
      <c r="K245" s="664"/>
      <c r="L245" s="664"/>
      <c r="M245" s="664"/>
      <c r="N245" s="664">
        <v>0.75</v>
      </c>
      <c r="O245" s="664">
        <v>1427</v>
      </c>
      <c r="P245" s="677"/>
      <c r="Q245" s="665">
        <v>1902.6666666666667</v>
      </c>
    </row>
    <row r="246" spans="1:17" ht="14.4" customHeight="1" x14ac:dyDescent="0.3">
      <c r="A246" s="660" t="s">
        <v>529</v>
      </c>
      <c r="B246" s="661" t="s">
        <v>1256</v>
      </c>
      <c r="C246" s="661" t="s">
        <v>1257</v>
      </c>
      <c r="D246" s="661" t="s">
        <v>1262</v>
      </c>
      <c r="E246" s="661" t="s">
        <v>1248</v>
      </c>
      <c r="F246" s="664">
        <v>0.2</v>
      </c>
      <c r="G246" s="664">
        <v>218.43</v>
      </c>
      <c r="H246" s="664">
        <v>1</v>
      </c>
      <c r="I246" s="664">
        <v>1092.1499999999999</v>
      </c>
      <c r="J246" s="664"/>
      <c r="K246" s="664"/>
      <c r="L246" s="664"/>
      <c r="M246" s="664"/>
      <c r="N246" s="664"/>
      <c r="O246" s="664"/>
      <c r="P246" s="677"/>
      <c r="Q246" s="665"/>
    </row>
    <row r="247" spans="1:17" ht="14.4" customHeight="1" x14ac:dyDescent="0.3">
      <c r="A247" s="660" t="s">
        <v>529</v>
      </c>
      <c r="B247" s="661" t="s">
        <v>1256</v>
      </c>
      <c r="C247" s="661" t="s">
        <v>1257</v>
      </c>
      <c r="D247" s="661" t="s">
        <v>1263</v>
      </c>
      <c r="E247" s="661" t="s">
        <v>743</v>
      </c>
      <c r="F247" s="664">
        <v>2.0499999999999998</v>
      </c>
      <c r="G247" s="664">
        <v>4477.8500000000004</v>
      </c>
      <c r="H247" s="664">
        <v>1</v>
      </c>
      <c r="I247" s="664">
        <v>2184.3170731707319</v>
      </c>
      <c r="J247" s="664">
        <v>1.45</v>
      </c>
      <c r="K247" s="664">
        <v>3167.26</v>
      </c>
      <c r="L247" s="664">
        <v>0.70731712763938048</v>
      </c>
      <c r="M247" s="664">
        <v>2184.3172413793104</v>
      </c>
      <c r="N247" s="664">
        <v>3.3499999999999996</v>
      </c>
      <c r="O247" s="664">
        <v>5932.18</v>
      </c>
      <c r="P247" s="677">
        <v>1.3247830990319014</v>
      </c>
      <c r="Q247" s="665">
        <v>1770.8000000000002</v>
      </c>
    </row>
    <row r="248" spans="1:17" ht="14.4" customHeight="1" x14ac:dyDescent="0.3">
      <c r="A248" s="660" t="s">
        <v>529</v>
      </c>
      <c r="B248" s="661" t="s">
        <v>1256</v>
      </c>
      <c r="C248" s="661" t="s">
        <v>1257</v>
      </c>
      <c r="D248" s="661" t="s">
        <v>1264</v>
      </c>
      <c r="E248" s="661" t="s">
        <v>736</v>
      </c>
      <c r="F248" s="664">
        <v>0.30000000000000004</v>
      </c>
      <c r="G248" s="664">
        <v>283.44</v>
      </c>
      <c r="H248" s="664">
        <v>1</v>
      </c>
      <c r="I248" s="664">
        <v>944.79999999999984</v>
      </c>
      <c r="J248" s="664">
        <v>0.15000000000000002</v>
      </c>
      <c r="K248" s="664">
        <v>141.72</v>
      </c>
      <c r="L248" s="664">
        <v>0.5</v>
      </c>
      <c r="M248" s="664">
        <v>944.79999999999984</v>
      </c>
      <c r="N248" s="664">
        <v>0.44999999999999996</v>
      </c>
      <c r="O248" s="664">
        <v>406.71</v>
      </c>
      <c r="P248" s="677">
        <v>1.4349068585944114</v>
      </c>
      <c r="Q248" s="665">
        <v>903.80000000000007</v>
      </c>
    </row>
    <row r="249" spans="1:17" ht="14.4" customHeight="1" x14ac:dyDescent="0.3">
      <c r="A249" s="660" t="s">
        <v>529</v>
      </c>
      <c r="B249" s="661" t="s">
        <v>1256</v>
      </c>
      <c r="C249" s="661" t="s">
        <v>1268</v>
      </c>
      <c r="D249" s="661" t="s">
        <v>1271</v>
      </c>
      <c r="E249" s="661" t="s">
        <v>1272</v>
      </c>
      <c r="F249" s="664">
        <v>5290</v>
      </c>
      <c r="G249" s="664">
        <v>10086.6</v>
      </c>
      <c r="H249" s="664">
        <v>1</v>
      </c>
      <c r="I249" s="664">
        <v>1.9067296786389414</v>
      </c>
      <c r="J249" s="664">
        <v>4460</v>
      </c>
      <c r="K249" s="664">
        <v>8920</v>
      </c>
      <c r="L249" s="664">
        <v>0.88434160172902665</v>
      </c>
      <c r="M249" s="664">
        <v>2</v>
      </c>
      <c r="N249" s="664">
        <v>2170</v>
      </c>
      <c r="O249" s="664">
        <v>4578.7</v>
      </c>
      <c r="P249" s="677">
        <v>0.45393888921936032</v>
      </c>
      <c r="Q249" s="665">
        <v>2.11</v>
      </c>
    </row>
    <row r="250" spans="1:17" ht="14.4" customHeight="1" x14ac:dyDescent="0.3">
      <c r="A250" s="660" t="s">
        <v>529</v>
      </c>
      <c r="B250" s="661" t="s">
        <v>1256</v>
      </c>
      <c r="C250" s="661" t="s">
        <v>1268</v>
      </c>
      <c r="D250" s="661" t="s">
        <v>1289</v>
      </c>
      <c r="E250" s="661" t="s">
        <v>1290</v>
      </c>
      <c r="F250" s="664">
        <v>3775.18</v>
      </c>
      <c r="G250" s="664">
        <v>131313.44</v>
      </c>
      <c r="H250" s="664">
        <v>1</v>
      </c>
      <c r="I250" s="664">
        <v>34.78335867428838</v>
      </c>
      <c r="J250" s="664">
        <v>4367.01</v>
      </c>
      <c r="K250" s="664">
        <v>167169.19000000003</v>
      </c>
      <c r="L250" s="664">
        <v>1.2730546850345252</v>
      </c>
      <c r="M250" s="664">
        <v>38.2800108083105</v>
      </c>
      <c r="N250" s="664">
        <v>4144.58</v>
      </c>
      <c r="O250" s="664">
        <v>150779.94999999998</v>
      </c>
      <c r="P250" s="677">
        <v>1.1482446122803573</v>
      </c>
      <c r="Q250" s="665">
        <v>36.38003126975471</v>
      </c>
    </row>
    <row r="251" spans="1:17" ht="14.4" customHeight="1" x14ac:dyDescent="0.3">
      <c r="A251" s="660" t="s">
        <v>529</v>
      </c>
      <c r="B251" s="661" t="s">
        <v>1256</v>
      </c>
      <c r="C251" s="661" t="s">
        <v>1268</v>
      </c>
      <c r="D251" s="661" t="s">
        <v>1309</v>
      </c>
      <c r="E251" s="661" t="s">
        <v>1310</v>
      </c>
      <c r="F251" s="664">
        <v>3629</v>
      </c>
      <c r="G251" s="664">
        <v>120585.62999999999</v>
      </c>
      <c r="H251" s="664">
        <v>1</v>
      </c>
      <c r="I251" s="664">
        <v>33.22833562965004</v>
      </c>
      <c r="J251" s="664">
        <v>1289</v>
      </c>
      <c r="K251" s="664">
        <v>42923.7</v>
      </c>
      <c r="L251" s="664">
        <v>0.35596032462574523</v>
      </c>
      <c r="M251" s="664">
        <v>33.299999999999997</v>
      </c>
      <c r="N251" s="664">
        <v>3672</v>
      </c>
      <c r="O251" s="664">
        <v>123195.6</v>
      </c>
      <c r="P251" s="677">
        <v>1.0216441212771374</v>
      </c>
      <c r="Q251" s="665">
        <v>33.550000000000004</v>
      </c>
    </row>
    <row r="252" spans="1:17" ht="14.4" customHeight="1" x14ac:dyDescent="0.3">
      <c r="A252" s="660" t="s">
        <v>529</v>
      </c>
      <c r="B252" s="661" t="s">
        <v>1256</v>
      </c>
      <c r="C252" s="661" t="s">
        <v>1268</v>
      </c>
      <c r="D252" s="661" t="s">
        <v>1267</v>
      </c>
      <c r="E252" s="661" t="s">
        <v>1248</v>
      </c>
      <c r="F252" s="664"/>
      <c r="G252" s="664"/>
      <c r="H252" s="664"/>
      <c r="I252" s="664"/>
      <c r="J252" s="664">
        <v>700</v>
      </c>
      <c r="K252" s="664">
        <v>8750</v>
      </c>
      <c r="L252" s="664"/>
      <c r="M252" s="664">
        <v>12.5</v>
      </c>
      <c r="N252" s="664"/>
      <c r="O252" s="664"/>
      <c r="P252" s="677"/>
      <c r="Q252" s="665"/>
    </row>
    <row r="253" spans="1:17" ht="14.4" customHeight="1" x14ac:dyDescent="0.3">
      <c r="A253" s="660" t="s">
        <v>529</v>
      </c>
      <c r="B253" s="661" t="s">
        <v>1256</v>
      </c>
      <c r="C253" s="661" t="s">
        <v>1324</v>
      </c>
      <c r="D253" s="661" t="s">
        <v>1325</v>
      </c>
      <c r="E253" s="661" t="s">
        <v>1326</v>
      </c>
      <c r="F253" s="664"/>
      <c r="G253" s="664"/>
      <c r="H253" s="664"/>
      <c r="I253" s="664"/>
      <c r="J253" s="664">
        <v>3</v>
      </c>
      <c r="K253" s="664">
        <v>2652.96</v>
      </c>
      <c r="L253" s="664"/>
      <c r="M253" s="664">
        <v>884.32</v>
      </c>
      <c r="N253" s="664">
        <v>9</v>
      </c>
      <c r="O253" s="664">
        <v>7958.88</v>
      </c>
      <c r="P253" s="677"/>
      <c r="Q253" s="665">
        <v>884.32</v>
      </c>
    </row>
    <row r="254" spans="1:17" ht="14.4" customHeight="1" x14ac:dyDescent="0.3">
      <c r="A254" s="660" t="s">
        <v>529</v>
      </c>
      <c r="B254" s="661" t="s">
        <v>1256</v>
      </c>
      <c r="C254" s="661" t="s">
        <v>1327</v>
      </c>
      <c r="D254" s="661" t="s">
        <v>1361</v>
      </c>
      <c r="E254" s="661" t="s">
        <v>1362</v>
      </c>
      <c r="F254" s="664">
        <v>20</v>
      </c>
      <c r="G254" s="664">
        <v>35080</v>
      </c>
      <c r="H254" s="664">
        <v>1</v>
      </c>
      <c r="I254" s="664">
        <v>1754</v>
      </c>
      <c r="J254" s="664">
        <v>16</v>
      </c>
      <c r="K254" s="664">
        <v>28064</v>
      </c>
      <c r="L254" s="664">
        <v>0.8</v>
      </c>
      <c r="M254" s="664">
        <v>1754</v>
      </c>
      <c r="N254" s="664">
        <v>36</v>
      </c>
      <c r="O254" s="664">
        <v>63432</v>
      </c>
      <c r="P254" s="677">
        <v>1.8082098061573546</v>
      </c>
      <c r="Q254" s="665">
        <v>1762</v>
      </c>
    </row>
    <row r="255" spans="1:17" ht="14.4" customHeight="1" x14ac:dyDescent="0.3">
      <c r="A255" s="660" t="s">
        <v>529</v>
      </c>
      <c r="B255" s="661" t="s">
        <v>1256</v>
      </c>
      <c r="C255" s="661" t="s">
        <v>1327</v>
      </c>
      <c r="D255" s="661" t="s">
        <v>1369</v>
      </c>
      <c r="E255" s="661" t="s">
        <v>1370</v>
      </c>
      <c r="F255" s="664">
        <v>8</v>
      </c>
      <c r="G255" s="664">
        <v>114624</v>
      </c>
      <c r="H255" s="664">
        <v>1</v>
      </c>
      <c r="I255" s="664">
        <v>14328</v>
      </c>
      <c r="J255" s="664">
        <v>3</v>
      </c>
      <c r="K255" s="664">
        <v>42984</v>
      </c>
      <c r="L255" s="664">
        <v>0.375</v>
      </c>
      <c r="M255" s="664">
        <v>14328</v>
      </c>
      <c r="N255" s="664">
        <v>9</v>
      </c>
      <c r="O255" s="664">
        <v>129060</v>
      </c>
      <c r="P255" s="677">
        <v>1.1259422110552764</v>
      </c>
      <c r="Q255" s="665">
        <v>14340</v>
      </c>
    </row>
    <row r="256" spans="1:17" ht="14.4" customHeight="1" x14ac:dyDescent="0.3">
      <c r="A256" s="660" t="s">
        <v>529</v>
      </c>
      <c r="B256" s="661" t="s">
        <v>1256</v>
      </c>
      <c r="C256" s="661" t="s">
        <v>1327</v>
      </c>
      <c r="D256" s="661" t="s">
        <v>1381</v>
      </c>
      <c r="E256" s="661" t="s">
        <v>1382</v>
      </c>
      <c r="F256" s="664">
        <v>69</v>
      </c>
      <c r="G256" s="664">
        <v>134481</v>
      </c>
      <c r="H256" s="664">
        <v>1</v>
      </c>
      <c r="I256" s="664">
        <v>1949</v>
      </c>
      <c r="J256" s="664">
        <v>77</v>
      </c>
      <c r="K256" s="664">
        <v>150073</v>
      </c>
      <c r="L256" s="664">
        <v>1.1159420289855073</v>
      </c>
      <c r="M256" s="664">
        <v>1949</v>
      </c>
      <c r="N256" s="664">
        <v>69</v>
      </c>
      <c r="O256" s="664">
        <v>135585</v>
      </c>
      <c r="P256" s="677">
        <v>1.008209338122114</v>
      </c>
      <c r="Q256" s="665">
        <v>1965</v>
      </c>
    </row>
    <row r="257" spans="1:17" ht="14.4" customHeight="1" x14ac:dyDescent="0.3">
      <c r="A257" s="660" t="s">
        <v>529</v>
      </c>
      <c r="B257" s="661" t="s">
        <v>1256</v>
      </c>
      <c r="C257" s="661" t="s">
        <v>1327</v>
      </c>
      <c r="D257" s="661" t="s">
        <v>1383</v>
      </c>
      <c r="E257" s="661" t="s">
        <v>1384</v>
      </c>
      <c r="F257" s="664">
        <v>54</v>
      </c>
      <c r="G257" s="664">
        <v>22572</v>
      </c>
      <c r="H257" s="664">
        <v>1</v>
      </c>
      <c r="I257" s="664">
        <v>418</v>
      </c>
      <c r="J257" s="664">
        <v>41</v>
      </c>
      <c r="K257" s="664">
        <v>17138</v>
      </c>
      <c r="L257" s="664">
        <v>0.7592592592592593</v>
      </c>
      <c r="M257" s="664">
        <v>418</v>
      </c>
      <c r="N257" s="664">
        <v>32</v>
      </c>
      <c r="O257" s="664">
        <v>13472</v>
      </c>
      <c r="P257" s="677">
        <v>0.5968456494772284</v>
      </c>
      <c r="Q257" s="665">
        <v>421</v>
      </c>
    </row>
    <row r="258" spans="1:17" ht="14.4" customHeight="1" x14ac:dyDescent="0.3">
      <c r="A258" s="660" t="s">
        <v>529</v>
      </c>
      <c r="B258" s="661" t="s">
        <v>1256</v>
      </c>
      <c r="C258" s="661" t="s">
        <v>1327</v>
      </c>
      <c r="D258" s="661" t="s">
        <v>1391</v>
      </c>
      <c r="E258" s="661" t="s">
        <v>1392</v>
      </c>
      <c r="F258" s="664"/>
      <c r="G258" s="664"/>
      <c r="H258" s="664"/>
      <c r="I258" s="664"/>
      <c r="J258" s="664">
        <v>1</v>
      </c>
      <c r="K258" s="664">
        <v>2535</v>
      </c>
      <c r="L258" s="664"/>
      <c r="M258" s="664">
        <v>2535</v>
      </c>
      <c r="N258" s="664"/>
      <c r="O258" s="664"/>
      <c r="P258" s="677"/>
      <c r="Q258" s="665"/>
    </row>
    <row r="259" spans="1:17" ht="14.4" customHeight="1" x14ac:dyDescent="0.3">
      <c r="A259" s="660" t="s">
        <v>529</v>
      </c>
      <c r="B259" s="661" t="s">
        <v>1256</v>
      </c>
      <c r="C259" s="661" t="s">
        <v>1327</v>
      </c>
      <c r="D259" s="661" t="s">
        <v>1397</v>
      </c>
      <c r="E259" s="661" t="s">
        <v>1398</v>
      </c>
      <c r="F259" s="664">
        <v>5</v>
      </c>
      <c r="G259" s="664">
        <v>4910</v>
      </c>
      <c r="H259" s="664">
        <v>1</v>
      </c>
      <c r="I259" s="664">
        <v>982</v>
      </c>
      <c r="J259" s="664">
        <v>5</v>
      </c>
      <c r="K259" s="664">
        <v>4910</v>
      </c>
      <c r="L259" s="664">
        <v>1</v>
      </c>
      <c r="M259" s="664">
        <v>982</v>
      </c>
      <c r="N259" s="664">
        <v>3</v>
      </c>
      <c r="O259" s="664">
        <v>3027</v>
      </c>
      <c r="P259" s="677">
        <v>0.61649694501018326</v>
      </c>
      <c r="Q259" s="665">
        <v>1009</v>
      </c>
    </row>
    <row r="260" spans="1:17" ht="14.4" customHeight="1" x14ac:dyDescent="0.3">
      <c r="A260" s="660" t="s">
        <v>529</v>
      </c>
      <c r="B260" s="661" t="s">
        <v>1458</v>
      </c>
      <c r="C260" s="661" t="s">
        <v>1257</v>
      </c>
      <c r="D260" s="661" t="s">
        <v>1459</v>
      </c>
      <c r="E260" s="661" t="s">
        <v>746</v>
      </c>
      <c r="F260" s="664"/>
      <c r="G260" s="664"/>
      <c r="H260" s="664"/>
      <c r="I260" s="664"/>
      <c r="J260" s="664">
        <v>2</v>
      </c>
      <c r="K260" s="664">
        <v>41139.72</v>
      </c>
      <c r="L260" s="664"/>
      <c r="M260" s="664">
        <v>20569.86</v>
      </c>
      <c r="N260" s="664">
        <v>12</v>
      </c>
      <c r="O260" s="664">
        <v>224787.84000000003</v>
      </c>
      <c r="P260" s="677"/>
      <c r="Q260" s="665">
        <v>18732.320000000003</v>
      </c>
    </row>
    <row r="261" spans="1:17" ht="14.4" customHeight="1" x14ac:dyDescent="0.3">
      <c r="A261" s="660" t="s">
        <v>529</v>
      </c>
      <c r="B261" s="661" t="s">
        <v>1458</v>
      </c>
      <c r="C261" s="661" t="s">
        <v>1257</v>
      </c>
      <c r="D261" s="661" t="s">
        <v>1459</v>
      </c>
      <c r="E261" s="661" t="s">
        <v>1460</v>
      </c>
      <c r="F261" s="664"/>
      <c r="G261" s="664"/>
      <c r="H261" s="664"/>
      <c r="I261" s="664"/>
      <c r="J261" s="664">
        <v>0</v>
      </c>
      <c r="K261" s="664">
        <v>0</v>
      </c>
      <c r="L261" s="664"/>
      <c r="M261" s="664"/>
      <c r="N261" s="664">
        <v>0</v>
      </c>
      <c r="O261" s="664">
        <v>2.1827872842550278E-11</v>
      </c>
      <c r="P261" s="677"/>
      <c r="Q261" s="665"/>
    </row>
    <row r="262" spans="1:17" ht="14.4" customHeight="1" x14ac:dyDescent="0.3">
      <c r="A262" s="660" t="s">
        <v>529</v>
      </c>
      <c r="B262" s="661" t="s">
        <v>1458</v>
      </c>
      <c r="C262" s="661" t="s">
        <v>1268</v>
      </c>
      <c r="D262" s="661" t="s">
        <v>1461</v>
      </c>
      <c r="E262" s="661" t="s">
        <v>1462</v>
      </c>
      <c r="F262" s="664">
        <v>3600</v>
      </c>
      <c r="G262" s="664">
        <v>6169</v>
      </c>
      <c r="H262" s="664">
        <v>1</v>
      </c>
      <c r="I262" s="664">
        <v>1.7136111111111112</v>
      </c>
      <c r="J262" s="664">
        <v>3050</v>
      </c>
      <c r="K262" s="664">
        <v>4605.5</v>
      </c>
      <c r="L262" s="664">
        <v>0.74655535743232293</v>
      </c>
      <c r="M262" s="664">
        <v>1.51</v>
      </c>
      <c r="N262" s="664">
        <v>5440</v>
      </c>
      <c r="O262" s="664">
        <v>8220</v>
      </c>
      <c r="P262" s="677">
        <v>1.3324687955908576</v>
      </c>
      <c r="Q262" s="665">
        <v>1.5110294117647058</v>
      </c>
    </row>
    <row r="263" spans="1:17" ht="14.4" customHeight="1" x14ac:dyDescent="0.3">
      <c r="A263" s="660" t="s">
        <v>529</v>
      </c>
      <c r="B263" s="661" t="s">
        <v>1458</v>
      </c>
      <c r="C263" s="661" t="s">
        <v>1268</v>
      </c>
      <c r="D263" s="661" t="s">
        <v>1463</v>
      </c>
      <c r="E263" s="661" t="s">
        <v>1464</v>
      </c>
      <c r="F263" s="664">
        <v>139570</v>
      </c>
      <c r="G263" s="664">
        <v>254330.29999999996</v>
      </c>
      <c r="H263" s="664">
        <v>1</v>
      </c>
      <c r="I263" s="664">
        <v>1.8222418857920755</v>
      </c>
      <c r="J263" s="664">
        <v>74570</v>
      </c>
      <c r="K263" s="664">
        <v>131988.9</v>
      </c>
      <c r="L263" s="664">
        <v>0.5189664778439691</v>
      </c>
      <c r="M263" s="664">
        <v>1.77</v>
      </c>
      <c r="N263" s="664">
        <v>106610</v>
      </c>
      <c r="O263" s="664">
        <v>185679.9</v>
      </c>
      <c r="P263" s="677">
        <v>0.73007384491741656</v>
      </c>
      <c r="Q263" s="665">
        <v>1.7416743269862114</v>
      </c>
    </row>
    <row r="264" spans="1:17" ht="14.4" customHeight="1" x14ac:dyDescent="0.3">
      <c r="A264" s="660" t="s">
        <v>529</v>
      </c>
      <c r="B264" s="661" t="s">
        <v>1458</v>
      </c>
      <c r="C264" s="661" t="s">
        <v>1327</v>
      </c>
      <c r="D264" s="661" t="s">
        <v>1465</v>
      </c>
      <c r="E264" s="661" t="s">
        <v>1466</v>
      </c>
      <c r="F264" s="664">
        <v>517</v>
      </c>
      <c r="G264" s="664">
        <v>516175</v>
      </c>
      <c r="H264" s="664">
        <v>1</v>
      </c>
      <c r="I264" s="664">
        <v>998.40425531914889</v>
      </c>
      <c r="J264" s="664">
        <v>478</v>
      </c>
      <c r="K264" s="664">
        <v>481362</v>
      </c>
      <c r="L264" s="664">
        <v>0.93255581924734832</v>
      </c>
      <c r="M264" s="664">
        <v>1007.0334728033473</v>
      </c>
      <c r="N264" s="664">
        <v>499</v>
      </c>
      <c r="O264" s="664">
        <v>505435</v>
      </c>
      <c r="P264" s="677">
        <v>0.97919310311425389</v>
      </c>
      <c r="Q264" s="665">
        <v>1012.8957915831663</v>
      </c>
    </row>
    <row r="265" spans="1:17" ht="14.4" customHeight="1" x14ac:dyDescent="0.3">
      <c r="A265" s="660" t="s">
        <v>529</v>
      </c>
      <c r="B265" s="661" t="s">
        <v>1458</v>
      </c>
      <c r="C265" s="661" t="s">
        <v>1327</v>
      </c>
      <c r="D265" s="661" t="s">
        <v>1467</v>
      </c>
      <c r="E265" s="661" t="s">
        <v>1468</v>
      </c>
      <c r="F265" s="664">
        <v>17</v>
      </c>
      <c r="G265" s="664">
        <v>10914</v>
      </c>
      <c r="H265" s="664">
        <v>1</v>
      </c>
      <c r="I265" s="664">
        <v>642</v>
      </c>
      <c r="J265" s="664">
        <v>17</v>
      </c>
      <c r="K265" s="664">
        <v>10914</v>
      </c>
      <c r="L265" s="664">
        <v>1</v>
      </c>
      <c r="M265" s="664">
        <v>642</v>
      </c>
      <c r="N265" s="664">
        <v>9</v>
      </c>
      <c r="O265" s="664">
        <v>5850</v>
      </c>
      <c r="P265" s="677">
        <v>0.5360087960417812</v>
      </c>
      <c r="Q265" s="665">
        <v>650</v>
      </c>
    </row>
    <row r="266" spans="1:17" ht="14.4" customHeight="1" x14ac:dyDescent="0.3">
      <c r="A266" s="660" t="s">
        <v>529</v>
      </c>
      <c r="B266" s="661" t="s">
        <v>1458</v>
      </c>
      <c r="C266" s="661" t="s">
        <v>1327</v>
      </c>
      <c r="D266" s="661" t="s">
        <v>1469</v>
      </c>
      <c r="E266" s="661" t="s">
        <v>1470</v>
      </c>
      <c r="F266" s="664">
        <v>0</v>
      </c>
      <c r="G266" s="664">
        <v>0</v>
      </c>
      <c r="H266" s="664"/>
      <c r="I266" s="664"/>
      <c r="J266" s="664">
        <v>0</v>
      </c>
      <c r="K266" s="664">
        <v>0</v>
      </c>
      <c r="L266" s="664"/>
      <c r="M266" s="664"/>
      <c r="N266" s="664">
        <v>0</v>
      </c>
      <c r="O266" s="664">
        <v>0</v>
      </c>
      <c r="P266" s="677"/>
      <c r="Q266" s="665"/>
    </row>
    <row r="267" spans="1:17" ht="14.4" customHeight="1" x14ac:dyDescent="0.3">
      <c r="A267" s="660" t="s">
        <v>529</v>
      </c>
      <c r="B267" s="661" t="s">
        <v>1458</v>
      </c>
      <c r="C267" s="661" t="s">
        <v>1327</v>
      </c>
      <c r="D267" s="661" t="s">
        <v>1471</v>
      </c>
      <c r="E267" s="661" t="s">
        <v>1472</v>
      </c>
      <c r="F267" s="664">
        <v>2</v>
      </c>
      <c r="G267" s="664">
        <v>0</v>
      </c>
      <c r="H267" s="664"/>
      <c r="I267" s="664">
        <v>0</v>
      </c>
      <c r="J267" s="664"/>
      <c r="K267" s="664"/>
      <c r="L267" s="664"/>
      <c r="M267" s="664"/>
      <c r="N267" s="664">
        <v>1</v>
      </c>
      <c r="O267" s="664">
        <v>0</v>
      </c>
      <c r="P267" s="677"/>
      <c r="Q267" s="665">
        <v>0</v>
      </c>
    </row>
    <row r="268" spans="1:17" ht="14.4" customHeight="1" x14ac:dyDescent="0.3">
      <c r="A268" s="660" t="s">
        <v>529</v>
      </c>
      <c r="B268" s="661" t="s">
        <v>1458</v>
      </c>
      <c r="C268" s="661" t="s">
        <v>1327</v>
      </c>
      <c r="D268" s="661" t="s">
        <v>1371</v>
      </c>
      <c r="E268" s="661" t="s">
        <v>1372</v>
      </c>
      <c r="F268" s="664">
        <v>14</v>
      </c>
      <c r="G268" s="664">
        <v>0</v>
      </c>
      <c r="H268" s="664"/>
      <c r="I268" s="664">
        <v>0</v>
      </c>
      <c r="J268" s="664"/>
      <c r="K268" s="664"/>
      <c r="L268" s="664"/>
      <c r="M268" s="664"/>
      <c r="N268" s="664"/>
      <c r="O268" s="664"/>
      <c r="P268" s="677"/>
      <c r="Q268" s="665"/>
    </row>
    <row r="269" spans="1:17" ht="14.4" customHeight="1" x14ac:dyDescent="0.3">
      <c r="A269" s="660" t="s">
        <v>529</v>
      </c>
      <c r="B269" s="661" t="s">
        <v>1458</v>
      </c>
      <c r="C269" s="661" t="s">
        <v>1327</v>
      </c>
      <c r="D269" s="661" t="s">
        <v>1373</v>
      </c>
      <c r="E269" s="661" t="s">
        <v>1374</v>
      </c>
      <c r="F269" s="664"/>
      <c r="G269" s="664"/>
      <c r="H269" s="664"/>
      <c r="I269" s="664"/>
      <c r="J269" s="664"/>
      <c r="K269" s="664"/>
      <c r="L269" s="664"/>
      <c r="M269" s="664"/>
      <c r="N269" s="664">
        <v>6</v>
      </c>
      <c r="O269" s="664">
        <v>0</v>
      </c>
      <c r="P269" s="677"/>
      <c r="Q269" s="665">
        <v>0</v>
      </c>
    </row>
    <row r="270" spans="1:17" ht="14.4" customHeight="1" x14ac:dyDescent="0.3">
      <c r="A270" s="660" t="s">
        <v>529</v>
      </c>
      <c r="B270" s="661" t="s">
        <v>1458</v>
      </c>
      <c r="C270" s="661" t="s">
        <v>1327</v>
      </c>
      <c r="D270" s="661" t="s">
        <v>1473</v>
      </c>
      <c r="E270" s="661" t="s">
        <v>1474</v>
      </c>
      <c r="F270" s="664">
        <v>487</v>
      </c>
      <c r="G270" s="664">
        <v>0</v>
      </c>
      <c r="H270" s="664"/>
      <c r="I270" s="664">
        <v>0</v>
      </c>
      <c r="J270" s="664"/>
      <c r="K270" s="664"/>
      <c r="L270" s="664"/>
      <c r="M270" s="664"/>
      <c r="N270" s="664"/>
      <c r="O270" s="664"/>
      <c r="P270" s="677"/>
      <c r="Q270" s="665"/>
    </row>
    <row r="271" spans="1:17" ht="14.4" customHeight="1" x14ac:dyDescent="0.3">
      <c r="A271" s="660" t="s">
        <v>529</v>
      </c>
      <c r="B271" s="661" t="s">
        <v>1458</v>
      </c>
      <c r="C271" s="661" t="s">
        <v>1327</v>
      </c>
      <c r="D271" s="661" t="s">
        <v>1475</v>
      </c>
      <c r="E271" s="661" t="s">
        <v>1476</v>
      </c>
      <c r="F271" s="664"/>
      <c r="G271" s="664"/>
      <c r="H271" s="664"/>
      <c r="I271" s="664"/>
      <c r="J271" s="664">
        <v>1</v>
      </c>
      <c r="K271" s="664">
        <v>30</v>
      </c>
      <c r="L271" s="664"/>
      <c r="M271" s="664">
        <v>30</v>
      </c>
      <c r="N271" s="664"/>
      <c r="O271" s="664"/>
      <c r="P271" s="677"/>
      <c r="Q271" s="665"/>
    </row>
    <row r="272" spans="1:17" ht="14.4" customHeight="1" x14ac:dyDescent="0.3">
      <c r="A272" s="660" t="s">
        <v>529</v>
      </c>
      <c r="B272" s="661" t="s">
        <v>1458</v>
      </c>
      <c r="C272" s="661" t="s">
        <v>1327</v>
      </c>
      <c r="D272" s="661" t="s">
        <v>1393</v>
      </c>
      <c r="E272" s="661" t="s">
        <v>1394</v>
      </c>
      <c r="F272" s="664">
        <v>92</v>
      </c>
      <c r="G272" s="664">
        <v>30084</v>
      </c>
      <c r="H272" s="664">
        <v>1</v>
      </c>
      <c r="I272" s="664">
        <v>327</v>
      </c>
      <c r="J272" s="664">
        <v>83</v>
      </c>
      <c r="K272" s="664">
        <v>27141</v>
      </c>
      <c r="L272" s="664">
        <v>0.90217391304347827</v>
      </c>
      <c r="M272" s="664">
        <v>327</v>
      </c>
      <c r="N272" s="664">
        <v>92</v>
      </c>
      <c r="O272" s="664">
        <v>30452</v>
      </c>
      <c r="P272" s="677">
        <v>1.0122324159021407</v>
      </c>
      <c r="Q272" s="665">
        <v>331</v>
      </c>
    </row>
    <row r="273" spans="1:17" ht="14.4" customHeight="1" x14ac:dyDescent="0.3">
      <c r="A273" s="660" t="s">
        <v>529</v>
      </c>
      <c r="B273" s="661" t="s">
        <v>1458</v>
      </c>
      <c r="C273" s="661" t="s">
        <v>1327</v>
      </c>
      <c r="D273" s="661" t="s">
        <v>1477</v>
      </c>
      <c r="E273" s="661" t="s">
        <v>1478</v>
      </c>
      <c r="F273" s="664">
        <v>7</v>
      </c>
      <c r="G273" s="664">
        <v>2261</v>
      </c>
      <c r="H273" s="664">
        <v>1</v>
      </c>
      <c r="I273" s="664">
        <v>323</v>
      </c>
      <c r="J273" s="664">
        <v>6</v>
      </c>
      <c r="K273" s="664">
        <v>1938</v>
      </c>
      <c r="L273" s="664">
        <v>0.8571428571428571</v>
      </c>
      <c r="M273" s="664">
        <v>323</v>
      </c>
      <c r="N273" s="664">
        <v>9</v>
      </c>
      <c r="O273" s="664">
        <v>2943</v>
      </c>
      <c r="P273" s="677">
        <v>1.3016364440513046</v>
      </c>
      <c r="Q273" s="665">
        <v>327</v>
      </c>
    </row>
    <row r="274" spans="1:17" ht="14.4" customHeight="1" x14ac:dyDescent="0.3">
      <c r="A274" s="660" t="s">
        <v>529</v>
      </c>
      <c r="B274" s="661" t="s">
        <v>1458</v>
      </c>
      <c r="C274" s="661" t="s">
        <v>1327</v>
      </c>
      <c r="D274" s="661" t="s">
        <v>1479</v>
      </c>
      <c r="E274" s="661" t="s">
        <v>1480</v>
      </c>
      <c r="F274" s="664">
        <v>80</v>
      </c>
      <c r="G274" s="664">
        <v>51600</v>
      </c>
      <c r="H274" s="664">
        <v>1</v>
      </c>
      <c r="I274" s="664">
        <v>645</v>
      </c>
      <c r="J274" s="664">
        <v>83</v>
      </c>
      <c r="K274" s="664">
        <v>53535</v>
      </c>
      <c r="L274" s="664">
        <v>1.0375000000000001</v>
      </c>
      <c r="M274" s="664">
        <v>645</v>
      </c>
      <c r="N274" s="664">
        <v>82</v>
      </c>
      <c r="O274" s="664">
        <v>53546</v>
      </c>
      <c r="P274" s="677">
        <v>1.0377131782945737</v>
      </c>
      <c r="Q274" s="665">
        <v>653</v>
      </c>
    </row>
    <row r="275" spans="1:17" ht="14.4" customHeight="1" x14ac:dyDescent="0.3">
      <c r="A275" s="660" t="s">
        <v>529</v>
      </c>
      <c r="B275" s="661" t="s">
        <v>1458</v>
      </c>
      <c r="C275" s="661" t="s">
        <v>1327</v>
      </c>
      <c r="D275" s="661" t="s">
        <v>1481</v>
      </c>
      <c r="E275" s="661" t="s">
        <v>1482</v>
      </c>
      <c r="F275" s="664">
        <v>9</v>
      </c>
      <c r="G275" s="664">
        <v>5778</v>
      </c>
      <c r="H275" s="664">
        <v>1</v>
      </c>
      <c r="I275" s="664">
        <v>642</v>
      </c>
      <c r="J275" s="664">
        <v>1</v>
      </c>
      <c r="K275" s="664">
        <v>642</v>
      </c>
      <c r="L275" s="664">
        <v>0.1111111111111111</v>
      </c>
      <c r="M275" s="664">
        <v>642</v>
      </c>
      <c r="N275" s="664">
        <v>11</v>
      </c>
      <c r="O275" s="664">
        <v>7150</v>
      </c>
      <c r="P275" s="677">
        <v>1.2374524056767047</v>
      </c>
      <c r="Q275" s="665">
        <v>650</v>
      </c>
    </row>
    <row r="276" spans="1:17" ht="14.4" customHeight="1" x14ac:dyDescent="0.3">
      <c r="A276" s="660" t="s">
        <v>1483</v>
      </c>
      <c r="B276" s="661" t="s">
        <v>1256</v>
      </c>
      <c r="C276" s="661" t="s">
        <v>1257</v>
      </c>
      <c r="D276" s="661" t="s">
        <v>1262</v>
      </c>
      <c r="E276" s="661" t="s">
        <v>1248</v>
      </c>
      <c r="F276" s="664">
        <v>0.2</v>
      </c>
      <c r="G276" s="664">
        <v>218.43</v>
      </c>
      <c r="H276" s="664">
        <v>1</v>
      </c>
      <c r="I276" s="664">
        <v>1092.1499999999999</v>
      </c>
      <c r="J276" s="664"/>
      <c r="K276" s="664"/>
      <c r="L276" s="664"/>
      <c r="M276" s="664"/>
      <c r="N276" s="664"/>
      <c r="O276" s="664"/>
      <c r="P276" s="677"/>
      <c r="Q276" s="665"/>
    </row>
    <row r="277" spans="1:17" ht="14.4" customHeight="1" x14ac:dyDescent="0.3">
      <c r="A277" s="660" t="s">
        <v>1483</v>
      </c>
      <c r="B277" s="661" t="s">
        <v>1256</v>
      </c>
      <c r="C277" s="661" t="s">
        <v>1257</v>
      </c>
      <c r="D277" s="661" t="s">
        <v>1263</v>
      </c>
      <c r="E277" s="661" t="s">
        <v>743</v>
      </c>
      <c r="F277" s="664"/>
      <c r="G277" s="664"/>
      <c r="H277" s="664"/>
      <c r="I277" s="664"/>
      <c r="J277" s="664"/>
      <c r="K277" s="664"/>
      <c r="L277" s="664"/>
      <c r="M277" s="664"/>
      <c r="N277" s="664">
        <v>0.45</v>
      </c>
      <c r="O277" s="664">
        <v>796.86</v>
      </c>
      <c r="P277" s="677"/>
      <c r="Q277" s="665">
        <v>1770.8</v>
      </c>
    </row>
    <row r="278" spans="1:17" ht="14.4" customHeight="1" x14ac:dyDescent="0.3">
      <c r="A278" s="660" t="s">
        <v>1483</v>
      </c>
      <c r="B278" s="661" t="s">
        <v>1256</v>
      </c>
      <c r="C278" s="661" t="s">
        <v>1257</v>
      </c>
      <c r="D278" s="661" t="s">
        <v>1264</v>
      </c>
      <c r="E278" s="661" t="s">
        <v>736</v>
      </c>
      <c r="F278" s="664"/>
      <c r="G278" s="664"/>
      <c r="H278" s="664"/>
      <c r="I278" s="664"/>
      <c r="J278" s="664"/>
      <c r="K278" s="664"/>
      <c r="L278" s="664"/>
      <c r="M278" s="664"/>
      <c r="N278" s="664">
        <v>0.05</v>
      </c>
      <c r="O278" s="664">
        <v>45.19</v>
      </c>
      <c r="P278" s="677"/>
      <c r="Q278" s="665">
        <v>903.8</v>
      </c>
    </row>
    <row r="279" spans="1:17" ht="14.4" customHeight="1" x14ac:dyDescent="0.3">
      <c r="A279" s="660" t="s">
        <v>1483</v>
      </c>
      <c r="B279" s="661" t="s">
        <v>1256</v>
      </c>
      <c r="C279" s="661" t="s">
        <v>1268</v>
      </c>
      <c r="D279" s="661" t="s">
        <v>1309</v>
      </c>
      <c r="E279" s="661" t="s">
        <v>1310</v>
      </c>
      <c r="F279" s="664">
        <v>412</v>
      </c>
      <c r="G279" s="664">
        <v>13707.24</v>
      </c>
      <c r="H279" s="664">
        <v>1</v>
      </c>
      <c r="I279" s="664">
        <v>33.269999999999996</v>
      </c>
      <c r="J279" s="664"/>
      <c r="K279" s="664"/>
      <c r="L279" s="664"/>
      <c r="M279" s="664"/>
      <c r="N279" s="664">
        <v>418</v>
      </c>
      <c r="O279" s="664">
        <v>14023.9</v>
      </c>
      <c r="P279" s="677">
        <v>1.0231016601445659</v>
      </c>
      <c r="Q279" s="665">
        <v>33.549999999999997</v>
      </c>
    </row>
    <row r="280" spans="1:17" ht="14.4" customHeight="1" x14ac:dyDescent="0.3">
      <c r="A280" s="660" t="s">
        <v>1483</v>
      </c>
      <c r="B280" s="661" t="s">
        <v>1256</v>
      </c>
      <c r="C280" s="661" t="s">
        <v>1324</v>
      </c>
      <c r="D280" s="661" t="s">
        <v>1325</v>
      </c>
      <c r="E280" s="661" t="s">
        <v>1326</v>
      </c>
      <c r="F280" s="664"/>
      <c r="G280" s="664"/>
      <c r="H280" s="664"/>
      <c r="I280" s="664"/>
      <c r="J280" s="664"/>
      <c r="K280" s="664"/>
      <c r="L280" s="664"/>
      <c r="M280" s="664"/>
      <c r="N280" s="664">
        <v>1</v>
      </c>
      <c r="O280" s="664">
        <v>884.32</v>
      </c>
      <c r="P280" s="677"/>
      <c r="Q280" s="665">
        <v>884.32</v>
      </c>
    </row>
    <row r="281" spans="1:17" ht="14.4" customHeight="1" x14ac:dyDescent="0.3">
      <c r="A281" s="660" t="s">
        <v>1483</v>
      </c>
      <c r="B281" s="661" t="s">
        <v>1256</v>
      </c>
      <c r="C281" s="661" t="s">
        <v>1327</v>
      </c>
      <c r="D281" s="661" t="s">
        <v>1369</v>
      </c>
      <c r="E281" s="661" t="s">
        <v>1370</v>
      </c>
      <c r="F281" s="664">
        <v>1</v>
      </c>
      <c r="G281" s="664">
        <v>14328</v>
      </c>
      <c r="H281" s="664">
        <v>1</v>
      </c>
      <c r="I281" s="664">
        <v>14328</v>
      </c>
      <c r="J281" s="664"/>
      <c r="K281" s="664"/>
      <c r="L281" s="664"/>
      <c r="M281" s="664"/>
      <c r="N281" s="664">
        <v>1</v>
      </c>
      <c r="O281" s="664">
        <v>14340</v>
      </c>
      <c r="P281" s="677">
        <v>1.0008375209380234</v>
      </c>
      <c r="Q281" s="665">
        <v>14340</v>
      </c>
    </row>
    <row r="282" spans="1:17" ht="14.4" customHeight="1" x14ac:dyDescent="0.3">
      <c r="A282" s="660" t="s">
        <v>1484</v>
      </c>
      <c r="B282" s="661" t="s">
        <v>1256</v>
      </c>
      <c r="C282" s="661" t="s">
        <v>1257</v>
      </c>
      <c r="D282" s="661" t="s">
        <v>1263</v>
      </c>
      <c r="E282" s="661" t="s">
        <v>743</v>
      </c>
      <c r="F282" s="664"/>
      <c r="G282" s="664"/>
      <c r="H282" s="664"/>
      <c r="I282" s="664"/>
      <c r="J282" s="664"/>
      <c r="K282" s="664"/>
      <c r="L282" s="664"/>
      <c r="M282" s="664"/>
      <c r="N282" s="664">
        <v>0.5</v>
      </c>
      <c r="O282" s="664">
        <v>885.4</v>
      </c>
      <c r="P282" s="677"/>
      <c r="Q282" s="665">
        <v>1770.8</v>
      </c>
    </row>
    <row r="283" spans="1:17" ht="14.4" customHeight="1" x14ac:dyDescent="0.3">
      <c r="A283" s="660" t="s">
        <v>1484</v>
      </c>
      <c r="B283" s="661" t="s">
        <v>1256</v>
      </c>
      <c r="C283" s="661" t="s">
        <v>1268</v>
      </c>
      <c r="D283" s="661" t="s">
        <v>1281</v>
      </c>
      <c r="E283" s="661" t="s">
        <v>1282</v>
      </c>
      <c r="F283" s="664"/>
      <c r="G283" s="664"/>
      <c r="H283" s="664"/>
      <c r="I283" s="664"/>
      <c r="J283" s="664"/>
      <c r="K283" s="664"/>
      <c r="L283" s="664"/>
      <c r="M283" s="664"/>
      <c r="N283" s="664">
        <v>290</v>
      </c>
      <c r="O283" s="664">
        <v>1693.6</v>
      </c>
      <c r="P283" s="677"/>
      <c r="Q283" s="665">
        <v>5.84</v>
      </c>
    </row>
    <row r="284" spans="1:17" ht="14.4" customHeight="1" x14ac:dyDescent="0.3">
      <c r="A284" s="660" t="s">
        <v>1484</v>
      </c>
      <c r="B284" s="661" t="s">
        <v>1256</v>
      </c>
      <c r="C284" s="661" t="s">
        <v>1268</v>
      </c>
      <c r="D284" s="661" t="s">
        <v>1309</v>
      </c>
      <c r="E284" s="661" t="s">
        <v>1310</v>
      </c>
      <c r="F284" s="664"/>
      <c r="G284" s="664"/>
      <c r="H284" s="664"/>
      <c r="I284" s="664"/>
      <c r="J284" s="664"/>
      <c r="K284" s="664"/>
      <c r="L284" s="664"/>
      <c r="M284" s="664"/>
      <c r="N284" s="664">
        <v>403</v>
      </c>
      <c r="O284" s="664">
        <v>13520.65</v>
      </c>
      <c r="P284" s="677"/>
      <c r="Q284" s="665">
        <v>33.549999999999997</v>
      </c>
    </row>
    <row r="285" spans="1:17" ht="14.4" customHeight="1" x14ac:dyDescent="0.3">
      <c r="A285" s="660" t="s">
        <v>1484</v>
      </c>
      <c r="B285" s="661" t="s">
        <v>1256</v>
      </c>
      <c r="C285" s="661" t="s">
        <v>1324</v>
      </c>
      <c r="D285" s="661" t="s">
        <v>1325</v>
      </c>
      <c r="E285" s="661" t="s">
        <v>1326</v>
      </c>
      <c r="F285" s="664"/>
      <c r="G285" s="664"/>
      <c r="H285" s="664"/>
      <c r="I285" s="664"/>
      <c r="J285" s="664"/>
      <c r="K285" s="664"/>
      <c r="L285" s="664"/>
      <c r="M285" s="664"/>
      <c r="N285" s="664">
        <v>1</v>
      </c>
      <c r="O285" s="664">
        <v>884.32</v>
      </c>
      <c r="P285" s="677"/>
      <c r="Q285" s="665">
        <v>884.32</v>
      </c>
    </row>
    <row r="286" spans="1:17" ht="14.4" customHeight="1" x14ac:dyDescent="0.3">
      <c r="A286" s="660" t="s">
        <v>1484</v>
      </c>
      <c r="B286" s="661" t="s">
        <v>1256</v>
      </c>
      <c r="C286" s="661" t="s">
        <v>1327</v>
      </c>
      <c r="D286" s="661" t="s">
        <v>1332</v>
      </c>
      <c r="E286" s="661" t="s">
        <v>1333</v>
      </c>
      <c r="F286" s="664"/>
      <c r="G286" s="664"/>
      <c r="H286" s="664"/>
      <c r="I286" s="664"/>
      <c r="J286" s="664"/>
      <c r="K286" s="664"/>
      <c r="L286" s="664"/>
      <c r="M286" s="664"/>
      <c r="N286" s="664">
        <v>1</v>
      </c>
      <c r="O286" s="664">
        <v>165</v>
      </c>
      <c r="P286" s="677"/>
      <c r="Q286" s="665">
        <v>165</v>
      </c>
    </row>
    <row r="287" spans="1:17" ht="14.4" customHeight="1" x14ac:dyDescent="0.3">
      <c r="A287" s="660" t="s">
        <v>1484</v>
      </c>
      <c r="B287" s="661" t="s">
        <v>1256</v>
      </c>
      <c r="C287" s="661" t="s">
        <v>1327</v>
      </c>
      <c r="D287" s="661" t="s">
        <v>1361</v>
      </c>
      <c r="E287" s="661" t="s">
        <v>1362</v>
      </c>
      <c r="F287" s="664"/>
      <c r="G287" s="664"/>
      <c r="H287" s="664"/>
      <c r="I287" s="664"/>
      <c r="J287" s="664"/>
      <c r="K287" s="664"/>
      <c r="L287" s="664"/>
      <c r="M287" s="664"/>
      <c r="N287" s="664">
        <v>1</v>
      </c>
      <c r="O287" s="664">
        <v>1762</v>
      </c>
      <c r="P287" s="677"/>
      <c r="Q287" s="665">
        <v>1762</v>
      </c>
    </row>
    <row r="288" spans="1:17" ht="14.4" customHeight="1" x14ac:dyDescent="0.3">
      <c r="A288" s="660" t="s">
        <v>1484</v>
      </c>
      <c r="B288" s="661" t="s">
        <v>1256</v>
      </c>
      <c r="C288" s="661" t="s">
        <v>1327</v>
      </c>
      <c r="D288" s="661" t="s">
        <v>1363</v>
      </c>
      <c r="E288" s="661" t="s">
        <v>1364</v>
      </c>
      <c r="F288" s="664"/>
      <c r="G288" s="664"/>
      <c r="H288" s="664"/>
      <c r="I288" s="664"/>
      <c r="J288" s="664"/>
      <c r="K288" s="664"/>
      <c r="L288" s="664"/>
      <c r="M288" s="664"/>
      <c r="N288" s="664">
        <v>1</v>
      </c>
      <c r="O288" s="664">
        <v>413</v>
      </c>
      <c r="P288" s="677"/>
      <c r="Q288" s="665">
        <v>413</v>
      </c>
    </row>
    <row r="289" spans="1:17" ht="14.4" customHeight="1" x14ac:dyDescent="0.3">
      <c r="A289" s="660" t="s">
        <v>1484</v>
      </c>
      <c r="B289" s="661" t="s">
        <v>1256</v>
      </c>
      <c r="C289" s="661" t="s">
        <v>1327</v>
      </c>
      <c r="D289" s="661" t="s">
        <v>1369</v>
      </c>
      <c r="E289" s="661" t="s">
        <v>1370</v>
      </c>
      <c r="F289" s="664"/>
      <c r="G289" s="664"/>
      <c r="H289" s="664"/>
      <c r="I289" s="664"/>
      <c r="J289" s="664"/>
      <c r="K289" s="664"/>
      <c r="L289" s="664"/>
      <c r="M289" s="664"/>
      <c r="N289" s="664">
        <v>1</v>
      </c>
      <c r="O289" s="664">
        <v>14340</v>
      </c>
      <c r="P289" s="677"/>
      <c r="Q289" s="665">
        <v>14340</v>
      </c>
    </row>
    <row r="290" spans="1:17" ht="14.4" customHeight="1" x14ac:dyDescent="0.3">
      <c r="A290" s="660" t="s">
        <v>1485</v>
      </c>
      <c r="B290" s="661" t="s">
        <v>1256</v>
      </c>
      <c r="C290" s="661" t="s">
        <v>1257</v>
      </c>
      <c r="D290" s="661" t="s">
        <v>1263</v>
      </c>
      <c r="E290" s="661" t="s">
        <v>743</v>
      </c>
      <c r="F290" s="664"/>
      <c r="G290" s="664"/>
      <c r="H290" s="664"/>
      <c r="I290" s="664"/>
      <c r="J290" s="664"/>
      <c r="K290" s="664"/>
      <c r="L290" s="664"/>
      <c r="M290" s="664"/>
      <c r="N290" s="664">
        <v>0.5</v>
      </c>
      <c r="O290" s="664">
        <v>885.4</v>
      </c>
      <c r="P290" s="677"/>
      <c r="Q290" s="665">
        <v>1770.8</v>
      </c>
    </row>
    <row r="291" spans="1:17" ht="14.4" customHeight="1" x14ac:dyDescent="0.3">
      <c r="A291" s="660" t="s">
        <v>1485</v>
      </c>
      <c r="B291" s="661" t="s">
        <v>1256</v>
      </c>
      <c r="C291" s="661" t="s">
        <v>1268</v>
      </c>
      <c r="D291" s="661" t="s">
        <v>1271</v>
      </c>
      <c r="E291" s="661" t="s">
        <v>1272</v>
      </c>
      <c r="F291" s="664">
        <v>100</v>
      </c>
      <c r="G291" s="664">
        <v>190</v>
      </c>
      <c r="H291" s="664">
        <v>1</v>
      </c>
      <c r="I291" s="664">
        <v>1.9</v>
      </c>
      <c r="J291" s="664"/>
      <c r="K291" s="664"/>
      <c r="L291" s="664"/>
      <c r="M291" s="664"/>
      <c r="N291" s="664">
        <v>100</v>
      </c>
      <c r="O291" s="664">
        <v>211</v>
      </c>
      <c r="P291" s="677">
        <v>1.1105263157894736</v>
      </c>
      <c r="Q291" s="665">
        <v>2.11</v>
      </c>
    </row>
    <row r="292" spans="1:17" ht="14.4" customHeight="1" x14ac:dyDescent="0.3">
      <c r="A292" s="660" t="s">
        <v>1485</v>
      </c>
      <c r="B292" s="661" t="s">
        <v>1256</v>
      </c>
      <c r="C292" s="661" t="s">
        <v>1268</v>
      </c>
      <c r="D292" s="661" t="s">
        <v>1273</v>
      </c>
      <c r="E292" s="661" t="s">
        <v>1274</v>
      </c>
      <c r="F292" s="664">
        <v>150</v>
      </c>
      <c r="G292" s="664">
        <v>699</v>
      </c>
      <c r="H292" s="664">
        <v>1</v>
      </c>
      <c r="I292" s="664">
        <v>4.66</v>
      </c>
      <c r="J292" s="664">
        <v>300</v>
      </c>
      <c r="K292" s="664">
        <v>1530</v>
      </c>
      <c r="L292" s="664">
        <v>2.188841201716738</v>
      </c>
      <c r="M292" s="664">
        <v>5.0999999999999996</v>
      </c>
      <c r="N292" s="664"/>
      <c r="O292" s="664"/>
      <c r="P292" s="677"/>
      <c r="Q292" s="665"/>
    </row>
    <row r="293" spans="1:17" ht="14.4" customHeight="1" x14ac:dyDescent="0.3">
      <c r="A293" s="660" t="s">
        <v>1485</v>
      </c>
      <c r="B293" s="661" t="s">
        <v>1256</v>
      </c>
      <c r="C293" s="661" t="s">
        <v>1268</v>
      </c>
      <c r="D293" s="661" t="s">
        <v>1281</v>
      </c>
      <c r="E293" s="661" t="s">
        <v>1282</v>
      </c>
      <c r="F293" s="664">
        <v>1500</v>
      </c>
      <c r="G293" s="664">
        <v>8316</v>
      </c>
      <c r="H293" s="664">
        <v>1</v>
      </c>
      <c r="I293" s="664">
        <v>5.5439999999999996</v>
      </c>
      <c r="J293" s="664"/>
      <c r="K293" s="664"/>
      <c r="L293" s="664"/>
      <c r="M293" s="664"/>
      <c r="N293" s="664">
        <v>1100</v>
      </c>
      <c r="O293" s="664">
        <v>6424</v>
      </c>
      <c r="P293" s="677">
        <v>0.77248677248677244</v>
      </c>
      <c r="Q293" s="665">
        <v>5.84</v>
      </c>
    </row>
    <row r="294" spans="1:17" ht="14.4" customHeight="1" x14ac:dyDescent="0.3">
      <c r="A294" s="660" t="s">
        <v>1485</v>
      </c>
      <c r="B294" s="661" t="s">
        <v>1256</v>
      </c>
      <c r="C294" s="661" t="s">
        <v>1268</v>
      </c>
      <c r="D294" s="661" t="s">
        <v>1299</v>
      </c>
      <c r="E294" s="661" t="s">
        <v>1300</v>
      </c>
      <c r="F294" s="664">
        <v>1</v>
      </c>
      <c r="G294" s="664">
        <v>2261.84</v>
      </c>
      <c r="H294" s="664">
        <v>1</v>
      </c>
      <c r="I294" s="664">
        <v>2261.84</v>
      </c>
      <c r="J294" s="664">
        <v>2</v>
      </c>
      <c r="K294" s="664">
        <v>4390.7</v>
      </c>
      <c r="L294" s="664">
        <v>1.9412071587733879</v>
      </c>
      <c r="M294" s="664">
        <v>2195.35</v>
      </c>
      <c r="N294" s="664"/>
      <c r="O294" s="664"/>
      <c r="P294" s="677"/>
      <c r="Q294" s="665"/>
    </row>
    <row r="295" spans="1:17" ht="14.4" customHeight="1" x14ac:dyDescent="0.3">
      <c r="A295" s="660" t="s">
        <v>1485</v>
      </c>
      <c r="B295" s="661" t="s">
        <v>1256</v>
      </c>
      <c r="C295" s="661" t="s">
        <v>1268</v>
      </c>
      <c r="D295" s="661" t="s">
        <v>1303</v>
      </c>
      <c r="E295" s="661" t="s">
        <v>1304</v>
      </c>
      <c r="F295" s="664"/>
      <c r="G295" s="664"/>
      <c r="H295" s="664"/>
      <c r="I295" s="664"/>
      <c r="J295" s="664">
        <v>780</v>
      </c>
      <c r="K295" s="664">
        <v>2542.8000000000002</v>
      </c>
      <c r="L295" s="664"/>
      <c r="M295" s="664">
        <v>3.2600000000000002</v>
      </c>
      <c r="N295" s="664"/>
      <c r="O295" s="664"/>
      <c r="P295" s="677"/>
      <c r="Q295" s="665"/>
    </row>
    <row r="296" spans="1:17" ht="14.4" customHeight="1" x14ac:dyDescent="0.3">
      <c r="A296" s="660" t="s">
        <v>1485</v>
      </c>
      <c r="B296" s="661" t="s">
        <v>1256</v>
      </c>
      <c r="C296" s="661" t="s">
        <v>1268</v>
      </c>
      <c r="D296" s="661" t="s">
        <v>1309</v>
      </c>
      <c r="E296" s="661" t="s">
        <v>1310</v>
      </c>
      <c r="F296" s="664"/>
      <c r="G296" s="664"/>
      <c r="H296" s="664"/>
      <c r="I296" s="664"/>
      <c r="J296" s="664"/>
      <c r="K296" s="664"/>
      <c r="L296" s="664"/>
      <c r="M296" s="664"/>
      <c r="N296" s="664">
        <v>468</v>
      </c>
      <c r="O296" s="664">
        <v>15701.4</v>
      </c>
      <c r="P296" s="677"/>
      <c r="Q296" s="665">
        <v>33.549999999999997</v>
      </c>
    </row>
    <row r="297" spans="1:17" ht="14.4" customHeight="1" x14ac:dyDescent="0.3">
      <c r="A297" s="660" t="s">
        <v>1485</v>
      </c>
      <c r="B297" s="661" t="s">
        <v>1256</v>
      </c>
      <c r="C297" s="661" t="s">
        <v>1324</v>
      </c>
      <c r="D297" s="661" t="s">
        <v>1325</v>
      </c>
      <c r="E297" s="661" t="s">
        <v>1326</v>
      </c>
      <c r="F297" s="664"/>
      <c r="G297" s="664"/>
      <c r="H297" s="664"/>
      <c r="I297" s="664"/>
      <c r="J297" s="664"/>
      <c r="K297" s="664"/>
      <c r="L297" s="664"/>
      <c r="M297" s="664"/>
      <c r="N297" s="664">
        <v>1</v>
      </c>
      <c r="O297" s="664">
        <v>884.32</v>
      </c>
      <c r="P297" s="677"/>
      <c r="Q297" s="665">
        <v>884.32</v>
      </c>
    </row>
    <row r="298" spans="1:17" ht="14.4" customHeight="1" x14ac:dyDescent="0.3">
      <c r="A298" s="660" t="s">
        <v>1485</v>
      </c>
      <c r="B298" s="661" t="s">
        <v>1256</v>
      </c>
      <c r="C298" s="661" t="s">
        <v>1327</v>
      </c>
      <c r="D298" s="661" t="s">
        <v>1328</v>
      </c>
      <c r="E298" s="661" t="s">
        <v>1329</v>
      </c>
      <c r="F298" s="664"/>
      <c r="G298" s="664"/>
      <c r="H298" s="664"/>
      <c r="I298" s="664"/>
      <c r="J298" s="664"/>
      <c r="K298" s="664"/>
      <c r="L298" s="664"/>
      <c r="M298" s="664"/>
      <c r="N298" s="664">
        <v>1</v>
      </c>
      <c r="O298" s="664">
        <v>35</v>
      </c>
      <c r="P298" s="677"/>
      <c r="Q298" s="665">
        <v>35</v>
      </c>
    </row>
    <row r="299" spans="1:17" ht="14.4" customHeight="1" x14ac:dyDescent="0.3">
      <c r="A299" s="660" t="s">
        <v>1485</v>
      </c>
      <c r="B299" s="661" t="s">
        <v>1256</v>
      </c>
      <c r="C299" s="661" t="s">
        <v>1327</v>
      </c>
      <c r="D299" s="661" t="s">
        <v>1341</v>
      </c>
      <c r="E299" s="661" t="s">
        <v>1342</v>
      </c>
      <c r="F299" s="664">
        <v>1</v>
      </c>
      <c r="G299" s="664">
        <v>1965</v>
      </c>
      <c r="H299" s="664">
        <v>1</v>
      </c>
      <c r="I299" s="664">
        <v>1965</v>
      </c>
      <c r="J299" s="664"/>
      <c r="K299" s="664"/>
      <c r="L299" s="664"/>
      <c r="M299" s="664"/>
      <c r="N299" s="664">
        <v>1</v>
      </c>
      <c r="O299" s="664">
        <v>1975</v>
      </c>
      <c r="P299" s="677">
        <v>1.005089058524173</v>
      </c>
      <c r="Q299" s="665">
        <v>1975</v>
      </c>
    </row>
    <row r="300" spans="1:17" ht="14.4" customHeight="1" x14ac:dyDescent="0.3">
      <c r="A300" s="660" t="s">
        <v>1485</v>
      </c>
      <c r="B300" s="661" t="s">
        <v>1256</v>
      </c>
      <c r="C300" s="661" t="s">
        <v>1327</v>
      </c>
      <c r="D300" s="661" t="s">
        <v>1357</v>
      </c>
      <c r="E300" s="661" t="s">
        <v>1358</v>
      </c>
      <c r="F300" s="664">
        <v>1</v>
      </c>
      <c r="G300" s="664">
        <v>654</v>
      </c>
      <c r="H300" s="664">
        <v>1</v>
      </c>
      <c r="I300" s="664">
        <v>654</v>
      </c>
      <c r="J300" s="664">
        <v>2</v>
      </c>
      <c r="K300" s="664">
        <v>1308</v>
      </c>
      <c r="L300" s="664">
        <v>2</v>
      </c>
      <c r="M300" s="664">
        <v>654</v>
      </c>
      <c r="N300" s="664"/>
      <c r="O300" s="664"/>
      <c r="P300" s="677"/>
      <c r="Q300" s="665"/>
    </row>
    <row r="301" spans="1:17" ht="14.4" customHeight="1" x14ac:dyDescent="0.3">
      <c r="A301" s="660" t="s">
        <v>1485</v>
      </c>
      <c r="B301" s="661" t="s">
        <v>1256</v>
      </c>
      <c r="C301" s="661" t="s">
        <v>1327</v>
      </c>
      <c r="D301" s="661" t="s">
        <v>1361</v>
      </c>
      <c r="E301" s="661" t="s">
        <v>1362</v>
      </c>
      <c r="F301" s="664">
        <v>2</v>
      </c>
      <c r="G301" s="664">
        <v>3508</v>
      </c>
      <c r="H301" s="664">
        <v>1</v>
      </c>
      <c r="I301" s="664">
        <v>1754</v>
      </c>
      <c r="J301" s="664">
        <v>2</v>
      </c>
      <c r="K301" s="664">
        <v>3508</v>
      </c>
      <c r="L301" s="664">
        <v>1</v>
      </c>
      <c r="M301" s="664">
        <v>1754</v>
      </c>
      <c r="N301" s="664">
        <v>2</v>
      </c>
      <c r="O301" s="664">
        <v>3524</v>
      </c>
      <c r="P301" s="677">
        <v>1.0045610034207526</v>
      </c>
      <c r="Q301" s="665">
        <v>1762</v>
      </c>
    </row>
    <row r="302" spans="1:17" ht="14.4" customHeight="1" x14ac:dyDescent="0.3">
      <c r="A302" s="660" t="s">
        <v>1485</v>
      </c>
      <c r="B302" s="661" t="s">
        <v>1256</v>
      </c>
      <c r="C302" s="661" t="s">
        <v>1327</v>
      </c>
      <c r="D302" s="661" t="s">
        <v>1363</v>
      </c>
      <c r="E302" s="661" t="s">
        <v>1364</v>
      </c>
      <c r="F302" s="664">
        <v>1</v>
      </c>
      <c r="G302" s="664">
        <v>410</v>
      </c>
      <c r="H302" s="664">
        <v>1</v>
      </c>
      <c r="I302" s="664">
        <v>410</v>
      </c>
      <c r="J302" s="664"/>
      <c r="K302" s="664"/>
      <c r="L302" s="664"/>
      <c r="M302" s="664"/>
      <c r="N302" s="664">
        <v>1</v>
      </c>
      <c r="O302" s="664">
        <v>413</v>
      </c>
      <c r="P302" s="677">
        <v>1.0073170731707317</v>
      </c>
      <c r="Q302" s="665">
        <v>413</v>
      </c>
    </row>
    <row r="303" spans="1:17" ht="14.4" customHeight="1" x14ac:dyDescent="0.3">
      <c r="A303" s="660" t="s">
        <v>1485</v>
      </c>
      <c r="B303" s="661" t="s">
        <v>1256</v>
      </c>
      <c r="C303" s="661" t="s">
        <v>1327</v>
      </c>
      <c r="D303" s="661" t="s">
        <v>1369</v>
      </c>
      <c r="E303" s="661" t="s">
        <v>1370</v>
      </c>
      <c r="F303" s="664"/>
      <c r="G303" s="664"/>
      <c r="H303" s="664"/>
      <c r="I303" s="664"/>
      <c r="J303" s="664"/>
      <c r="K303" s="664"/>
      <c r="L303" s="664"/>
      <c r="M303" s="664"/>
      <c r="N303" s="664">
        <v>1</v>
      </c>
      <c r="O303" s="664">
        <v>14340</v>
      </c>
      <c r="P303" s="677"/>
      <c r="Q303" s="665">
        <v>14340</v>
      </c>
    </row>
    <row r="304" spans="1:17" ht="14.4" customHeight="1" x14ac:dyDescent="0.3">
      <c r="A304" s="660" t="s">
        <v>1485</v>
      </c>
      <c r="B304" s="661" t="s">
        <v>1256</v>
      </c>
      <c r="C304" s="661" t="s">
        <v>1327</v>
      </c>
      <c r="D304" s="661" t="s">
        <v>1385</v>
      </c>
      <c r="E304" s="661" t="s">
        <v>1386</v>
      </c>
      <c r="F304" s="664"/>
      <c r="G304" s="664"/>
      <c r="H304" s="664"/>
      <c r="I304" s="664"/>
      <c r="J304" s="664">
        <v>1</v>
      </c>
      <c r="K304" s="664">
        <v>1286</v>
      </c>
      <c r="L304" s="664"/>
      <c r="M304" s="664">
        <v>1286</v>
      </c>
      <c r="N304" s="664"/>
      <c r="O304" s="664"/>
      <c r="P304" s="677"/>
      <c r="Q304" s="665"/>
    </row>
    <row r="305" spans="1:17" ht="14.4" customHeight="1" x14ac:dyDescent="0.3">
      <c r="A305" s="660" t="s">
        <v>1485</v>
      </c>
      <c r="B305" s="661" t="s">
        <v>1256</v>
      </c>
      <c r="C305" s="661" t="s">
        <v>1327</v>
      </c>
      <c r="D305" s="661" t="s">
        <v>1387</v>
      </c>
      <c r="E305" s="661" t="s">
        <v>1388</v>
      </c>
      <c r="F305" s="664">
        <v>1</v>
      </c>
      <c r="G305" s="664">
        <v>487</v>
      </c>
      <c r="H305" s="664">
        <v>1</v>
      </c>
      <c r="I305" s="664">
        <v>487</v>
      </c>
      <c r="J305" s="664">
        <v>2</v>
      </c>
      <c r="K305" s="664">
        <v>974</v>
      </c>
      <c r="L305" s="664">
        <v>2</v>
      </c>
      <c r="M305" s="664">
        <v>487</v>
      </c>
      <c r="N305" s="664"/>
      <c r="O305" s="664"/>
      <c r="P305" s="677"/>
      <c r="Q305" s="665"/>
    </row>
    <row r="306" spans="1:17" ht="14.4" customHeight="1" x14ac:dyDescent="0.3">
      <c r="A306" s="660" t="s">
        <v>1486</v>
      </c>
      <c r="B306" s="661" t="s">
        <v>1256</v>
      </c>
      <c r="C306" s="661" t="s">
        <v>1257</v>
      </c>
      <c r="D306" s="661" t="s">
        <v>1263</v>
      </c>
      <c r="E306" s="661" t="s">
        <v>743</v>
      </c>
      <c r="F306" s="664">
        <v>0.5</v>
      </c>
      <c r="G306" s="664">
        <v>1092.1600000000001</v>
      </c>
      <c r="H306" s="664">
        <v>1</v>
      </c>
      <c r="I306" s="664">
        <v>2184.3200000000002</v>
      </c>
      <c r="J306" s="664"/>
      <c r="K306" s="664"/>
      <c r="L306" s="664"/>
      <c r="M306" s="664"/>
      <c r="N306" s="664">
        <v>0.95</v>
      </c>
      <c r="O306" s="664">
        <v>1682.26</v>
      </c>
      <c r="P306" s="677">
        <v>1.5403054497509521</v>
      </c>
      <c r="Q306" s="665">
        <v>1770.8000000000002</v>
      </c>
    </row>
    <row r="307" spans="1:17" ht="14.4" customHeight="1" x14ac:dyDescent="0.3">
      <c r="A307" s="660" t="s">
        <v>1486</v>
      </c>
      <c r="B307" s="661" t="s">
        <v>1256</v>
      </c>
      <c r="C307" s="661" t="s">
        <v>1268</v>
      </c>
      <c r="D307" s="661" t="s">
        <v>1281</v>
      </c>
      <c r="E307" s="661" t="s">
        <v>1282</v>
      </c>
      <c r="F307" s="664">
        <v>1000</v>
      </c>
      <c r="G307" s="664">
        <v>5530</v>
      </c>
      <c r="H307" s="664">
        <v>1</v>
      </c>
      <c r="I307" s="664">
        <v>5.53</v>
      </c>
      <c r="J307" s="664"/>
      <c r="K307" s="664"/>
      <c r="L307" s="664"/>
      <c r="M307" s="664"/>
      <c r="N307" s="664"/>
      <c r="O307" s="664"/>
      <c r="P307" s="677"/>
      <c r="Q307" s="665"/>
    </row>
    <row r="308" spans="1:17" ht="14.4" customHeight="1" x14ac:dyDescent="0.3">
      <c r="A308" s="660" t="s">
        <v>1486</v>
      </c>
      <c r="B308" s="661" t="s">
        <v>1256</v>
      </c>
      <c r="C308" s="661" t="s">
        <v>1268</v>
      </c>
      <c r="D308" s="661" t="s">
        <v>1293</v>
      </c>
      <c r="E308" s="661" t="s">
        <v>1294</v>
      </c>
      <c r="F308" s="664">
        <v>2306</v>
      </c>
      <c r="G308" s="664">
        <v>39542.47</v>
      </c>
      <c r="H308" s="664">
        <v>1</v>
      </c>
      <c r="I308" s="664">
        <v>17.147645273200347</v>
      </c>
      <c r="J308" s="664">
        <v>1593</v>
      </c>
      <c r="K308" s="664">
        <v>30458.160000000003</v>
      </c>
      <c r="L308" s="664">
        <v>0.77026447766161299</v>
      </c>
      <c r="M308" s="664">
        <v>19.12</v>
      </c>
      <c r="N308" s="664">
        <v>480</v>
      </c>
      <c r="O308" s="664">
        <v>9571.2000000000007</v>
      </c>
      <c r="P308" s="677">
        <v>0.24204861254241328</v>
      </c>
      <c r="Q308" s="665">
        <v>19.940000000000001</v>
      </c>
    </row>
    <row r="309" spans="1:17" ht="14.4" customHeight="1" x14ac:dyDescent="0.3">
      <c r="A309" s="660" t="s">
        <v>1486</v>
      </c>
      <c r="B309" s="661" t="s">
        <v>1256</v>
      </c>
      <c r="C309" s="661" t="s">
        <v>1268</v>
      </c>
      <c r="D309" s="661" t="s">
        <v>1309</v>
      </c>
      <c r="E309" s="661" t="s">
        <v>1310</v>
      </c>
      <c r="F309" s="664">
        <v>410</v>
      </c>
      <c r="G309" s="664">
        <v>13497.2</v>
      </c>
      <c r="H309" s="664">
        <v>1</v>
      </c>
      <c r="I309" s="664">
        <v>32.92</v>
      </c>
      <c r="J309" s="664">
        <v>367</v>
      </c>
      <c r="K309" s="664">
        <v>12221.1</v>
      </c>
      <c r="L309" s="664">
        <v>0.90545446462970092</v>
      </c>
      <c r="M309" s="664">
        <v>33.300000000000004</v>
      </c>
      <c r="N309" s="664">
        <v>833</v>
      </c>
      <c r="O309" s="664">
        <v>27947.15</v>
      </c>
      <c r="P309" s="677">
        <v>2.0705887146963815</v>
      </c>
      <c r="Q309" s="665">
        <v>33.550000000000004</v>
      </c>
    </row>
    <row r="310" spans="1:17" ht="14.4" customHeight="1" x14ac:dyDescent="0.3">
      <c r="A310" s="660" t="s">
        <v>1486</v>
      </c>
      <c r="B310" s="661" t="s">
        <v>1256</v>
      </c>
      <c r="C310" s="661" t="s">
        <v>1324</v>
      </c>
      <c r="D310" s="661" t="s">
        <v>1325</v>
      </c>
      <c r="E310" s="661" t="s">
        <v>1326</v>
      </c>
      <c r="F310" s="664"/>
      <c r="G310" s="664"/>
      <c r="H310" s="664"/>
      <c r="I310" s="664"/>
      <c r="J310" s="664"/>
      <c r="K310" s="664"/>
      <c r="L310" s="664"/>
      <c r="M310" s="664"/>
      <c r="N310" s="664">
        <v>2</v>
      </c>
      <c r="O310" s="664">
        <v>1768.64</v>
      </c>
      <c r="P310" s="677"/>
      <c r="Q310" s="665">
        <v>884.32</v>
      </c>
    </row>
    <row r="311" spans="1:17" ht="14.4" customHeight="1" x14ac:dyDescent="0.3">
      <c r="A311" s="660" t="s">
        <v>1486</v>
      </c>
      <c r="B311" s="661" t="s">
        <v>1256</v>
      </c>
      <c r="C311" s="661" t="s">
        <v>1327</v>
      </c>
      <c r="D311" s="661" t="s">
        <v>1330</v>
      </c>
      <c r="E311" s="661" t="s">
        <v>1331</v>
      </c>
      <c r="F311" s="664">
        <v>1</v>
      </c>
      <c r="G311" s="664">
        <v>420</v>
      </c>
      <c r="H311" s="664">
        <v>1</v>
      </c>
      <c r="I311" s="664">
        <v>420</v>
      </c>
      <c r="J311" s="664"/>
      <c r="K311" s="664"/>
      <c r="L311" s="664"/>
      <c r="M311" s="664"/>
      <c r="N311" s="664"/>
      <c r="O311" s="664"/>
      <c r="P311" s="677"/>
      <c r="Q311" s="665"/>
    </row>
    <row r="312" spans="1:17" ht="14.4" customHeight="1" x14ac:dyDescent="0.3">
      <c r="A312" s="660" t="s">
        <v>1486</v>
      </c>
      <c r="B312" s="661" t="s">
        <v>1256</v>
      </c>
      <c r="C312" s="661" t="s">
        <v>1327</v>
      </c>
      <c r="D312" s="661" t="s">
        <v>1361</v>
      </c>
      <c r="E312" s="661" t="s">
        <v>1362</v>
      </c>
      <c r="F312" s="664">
        <v>6</v>
      </c>
      <c r="G312" s="664">
        <v>10524</v>
      </c>
      <c r="H312" s="664">
        <v>1</v>
      </c>
      <c r="I312" s="664">
        <v>1754</v>
      </c>
      <c r="J312" s="664">
        <v>3</v>
      </c>
      <c r="K312" s="664">
        <v>5262</v>
      </c>
      <c r="L312" s="664">
        <v>0.5</v>
      </c>
      <c r="M312" s="664">
        <v>1754</v>
      </c>
      <c r="N312" s="664">
        <v>1</v>
      </c>
      <c r="O312" s="664">
        <v>1762</v>
      </c>
      <c r="P312" s="677">
        <v>0.16742683390345875</v>
      </c>
      <c r="Q312" s="665">
        <v>1762</v>
      </c>
    </row>
    <row r="313" spans="1:17" ht="14.4" customHeight="1" x14ac:dyDescent="0.3">
      <c r="A313" s="660" t="s">
        <v>1486</v>
      </c>
      <c r="B313" s="661" t="s">
        <v>1256</v>
      </c>
      <c r="C313" s="661" t="s">
        <v>1327</v>
      </c>
      <c r="D313" s="661" t="s">
        <v>1363</v>
      </c>
      <c r="E313" s="661" t="s">
        <v>1364</v>
      </c>
      <c r="F313" s="664">
        <v>2</v>
      </c>
      <c r="G313" s="664">
        <v>820</v>
      </c>
      <c r="H313" s="664">
        <v>1</v>
      </c>
      <c r="I313" s="664">
        <v>410</v>
      </c>
      <c r="J313" s="664"/>
      <c r="K313" s="664"/>
      <c r="L313" s="664"/>
      <c r="M313" s="664"/>
      <c r="N313" s="664"/>
      <c r="O313" s="664"/>
      <c r="P313" s="677"/>
      <c r="Q313" s="665"/>
    </row>
    <row r="314" spans="1:17" ht="14.4" customHeight="1" x14ac:dyDescent="0.3">
      <c r="A314" s="660" t="s">
        <v>1486</v>
      </c>
      <c r="B314" s="661" t="s">
        <v>1256</v>
      </c>
      <c r="C314" s="661" t="s">
        <v>1327</v>
      </c>
      <c r="D314" s="661" t="s">
        <v>1369</v>
      </c>
      <c r="E314" s="661" t="s">
        <v>1370</v>
      </c>
      <c r="F314" s="664">
        <v>1</v>
      </c>
      <c r="G314" s="664">
        <v>14328</v>
      </c>
      <c r="H314" s="664">
        <v>1</v>
      </c>
      <c r="I314" s="664">
        <v>14328</v>
      </c>
      <c r="J314" s="664">
        <v>1</v>
      </c>
      <c r="K314" s="664">
        <v>14328</v>
      </c>
      <c r="L314" s="664">
        <v>1</v>
      </c>
      <c r="M314" s="664">
        <v>14328</v>
      </c>
      <c r="N314" s="664">
        <v>2</v>
      </c>
      <c r="O314" s="664">
        <v>28680</v>
      </c>
      <c r="P314" s="677">
        <v>2.0016750418760467</v>
      </c>
      <c r="Q314" s="665">
        <v>14340</v>
      </c>
    </row>
    <row r="315" spans="1:17" ht="14.4" customHeight="1" x14ac:dyDescent="0.3">
      <c r="A315" s="660" t="s">
        <v>1486</v>
      </c>
      <c r="B315" s="661" t="s">
        <v>1256</v>
      </c>
      <c r="C315" s="661" t="s">
        <v>1327</v>
      </c>
      <c r="D315" s="661" t="s">
        <v>1389</v>
      </c>
      <c r="E315" s="661" t="s">
        <v>1390</v>
      </c>
      <c r="F315" s="664">
        <v>4</v>
      </c>
      <c r="G315" s="664">
        <v>8968</v>
      </c>
      <c r="H315" s="664">
        <v>1</v>
      </c>
      <c r="I315" s="664">
        <v>2242</v>
      </c>
      <c r="J315" s="664">
        <v>3</v>
      </c>
      <c r="K315" s="664">
        <v>6726</v>
      </c>
      <c r="L315" s="664">
        <v>0.75</v>
      </c>
      <c r="M315" s="664">
        <v>2242</v>
      </c>
      <c r="N315" s="664">
        <v>1</v>
      </c>
      <c r="O315" s="664">
        <v>2258</v>
      </c>
      <c r="P315" s="677">
        <v>0.2517841213202498</v>
      </c>
      <c r="Q315" s="665">
        <v>2258</v>
      </c>
    </row>
    <row r="316" spans="1:17" ht="14.4" customHeight="1" x14ac:dyDescent="0.3">
      <c r="A316" s="660" t="s">
        <v>1487</v>
      </c>
      <c r="B316" s="661" t="s">
        <v>1256</v>
      </c>
      <c r="C316" s="661" t="s">
        <v>1257</v>
      </c>
      <c r="D316" s="661" t="s">
        <v>1258</v>
      </c>
      <c r="E316" s="661" t="s">
        <v>732</v>
      </c>
      <c r="F316" s="664"/>
      <c r="G316" s="664"/>
      <c r="H316" s="664"/>
      <c r="I316" s="664"/>
      <c r="J316" s="664"/>
      <c r="K316" s="664"/>
      <c r="L316" s="664"/>
      <c r="M316" s="664"/>
      <c r="N316" s="664">
        <v>0.9</v>
      </c>
      <c r="O316" s="664">
        <v>1712.41</v>
      </c>
      <c r="P316" s="677"/>
      <c r="Q316" s="665">
        <v>1902.6777777777779</v>
      </c>
    </row>
    <row r="317" spans="1:17" ht="14.4" customHeight="1" x14ac:dyDescent="0.3">
      <c r="A317" s="660" t="s">
        <v>1487</v>
      </c>
      <c r="B317" s="661" t="s">
        <v>1256</v>
      </c>
      <c r="C317" s="661" t="s">
        <v>1257</v>
      </c>
      <c r="D317" s="661" t="s">
        <v>1261</v>
      </c>
      <c r="E317" s="661" t="s">
        <v>743</v>
      </c>
      <c r="F317" s="664"/>
      <c r="G317" s="664"/>
      <c r="H317" s="664"/>
      <c r="I317" s="664"/>
      <c r="J317" s="664"/>
      <c r="K317" s="664"/>
      <c r="L317" s="664"/>
      <c r="M317" s="664"/>
      <c r="N317" s="664">
        <v>0.04</v>
      </c>
      <c r="O317" s="664">
        <v>354.16</v>
      </c>
      <c r="P317" s="677"/>
      <c r="Q317" s="665">
        <v>8854</v>
      </c>
    </row>
    <row r="318" spans="1:17" ht="14.4" customHeight="1" x14ac:dyDescent="0.3">
      <c r="A318" s="660" t="s">
        <v>1487</v>
      </c>
      <c r="B318" s="661" t="s">
        <v>1256</v>
      </c>
      <c r="C318" s="661" t="s">
        <v>1257</v>
      </c>
      <c r="D318" s="661" t="s">
        <v>1262</v>
      </c>
      <c r="E318" s="661" t="s">
        <v>1248</v>
      </c>
      <c r="F318" s="664">
        <v>1</v>
      </c>
      <c r="G318" s="664">
        <v>1092.1500000000001</v>
      </c>
      <c r="H318" s="664">
        <v>1</v>
      </c>
      <c r="I318" s="664">
        <v>1092.1500000000001</v>
      </c>
      <c r="J318" s="664">
        <v>0.8</v>
      </c>
      <c r="K318" s="664">
        <v>873.72</v>
      </c>
      <c r="L318" s="664">
        <v>0.79999999999999993</v>
      </c>
      <c r="M318" s="664">
        <v>1092.1499999999999</v>
      </c>
      <c r="N318" s="664"/>
      <c r="O318" s="664"/>
      <c r="P318" s="677"/>
      <c r="Q318" s="665"/>
    </row>
    <row r="319" spans="1:17" ht="14.4" customHeight="1" x14ac:dyDescent="0.3">
      <c r="A319" s="660" t="s">
        <v>1487</v>
      </c>
      <c r="B319" s="661" t="s">
        <v>1256</v>
      </c>
      <c r="C319" s="661" t="s">
        <v>1257</v>
      </c>
      <c r="D319" s="661" t="s">
        <v>1263</v>
      </c>
      <c r="E319" s="661" t="s">
        <v>743</v>
      </c>
      <c r="F319" s="664">
        <v>11.249999999999996</v>
      </c>
      <c r="G319" s="664">
        <v>24573.559999999998</v>
      </c>
      <c r="H319" s="664">
        <v>1</v>
      </c>
      <c r="I319" s="664">
        <v>2184.3164444444451</v>
      </c>
      <c r="J319" s="664">
        <v>9.7000000000000011</v>
      </c>
      <c r="K319" s="664">
        <v>21187.850000000002</v>
      </c>
      <c r="L319" s="664">
        <v>0.86222142823424874</v>
      </c>
      <c r="M319" s="664">
        <v>2184.3144329896909</v>
      </c>
      <c r="N319" s="664">
        <v>4.55</v>
      </c>
      <c r="O319" s="664">
        <v>8057.1400000000012</v>
      </c>
      <c r="P319" s="677">
        <v>0.32787841891854508</v>
      </c>
      <c r="Q319" s="665">
        <v>1770.8000000000004</v>
      </c>
    </row>
    <row r="320" spans="1:17" ht="14.4" customHeight="1" x14ac:dyDescent="0.3">
      <c r="A320" s="660" t="s">
        <v>1487</v>
      </c>
      <c r="B320" s="661" t="s">
        <v>1256</v>
      </c>
      <c r="C320" s="661" t="s">
        <v>1257</v>
      </c>
      <c r="D320" s="661" t="s">
        <v>1264</v>
      </c>
      <c r="E320" s="661" t="s">
        <v>736</v>
      </c>
      <c r="F320" s="664">
        <v>0.8</v>
      </c>
      <c r="G320" s="664">
        <v>755.84</v>
      </c>
      <c r="H320" s="664">
        <v>1</v>
      </c>
      <c r="I320" s="664">
        <v>944.8</v>
      </c>
      <c r="J320" s="664">
        <v>0.95000000000000018</v>
      </c>
      <c r="K320" s="664">
        <v>897.56000000000006</v>
      </c>
      <c r="L320" s="664">
        <v>1.1875</v>
      </c>
      <c r="M320" s="664">
        <v>944.79999999999984</v>
      </c>
      <c r="N320" s="664">
        <v>0.4</v>
      </c>
      <c r="O320" s="664">
        <v>361.52</v>
      </c>
      <c r="P320" s="677">
        <v>0.47830228619813714</v>
      </c>
      <c r="Q320" s="665">
        <v>903.8</v>
      </c>
    </row>
    <row r="321" spans="1:17" ht="14.4" customHeight="1" x14ac:dyDescent="0.3">
      <c r="A321" s="660" t="s">
        <v>1487</v>
      </c>
      <c r="B321" s="661" t="s">
        <v>1256</v>
      </c>
      <c r="C321" s="661" t="s">
        <v>1268</v>
      </c>
      <c r="D321" s="661" t="s">
        <v>1271</v>
      </c>
      <c r="E321" s="661" t="s">
        <v>1272</v>
      </c>
      <c r="F321" s="664"/>
      <c r="G321" s="664"/>
      <c r="H321" s="664"/>
      <c r="I321" s="664"/>
      <c r="J321" s="664"/>
      <c r="K321" s="664"/>
      <c r="L321" s="664"/>
      <c r="M321" s="664"/>
      <c r="N321" s="664">
        <v>100</v>
      </c>
      <c r="O321" s="664">
        <v>211</v>
      </c>
      <c r="P321" s="677"/>
      <c r="Q321" s="665">
        <v>2.11</v>
      </c>
    </row>
    <row r="322" spans="1:17" ht="14.4" customHeight="1" x14ac:dyDescent="0.3">
      <c r="A322" s="660" t="s">
        <v>1487</v>
      </c>
      <c r="B322" s="661" t="s">
        <v>1256</v>
      </c>
      <c r="C322" s="661" t="s">
        <v>1268</v>
      </c>
      <c r="D322" s="661" t="s">
        <v>1281</v>
      </c>
      <c r="E322" s="661" t="s">
        <v>1282</v>
      </c>
      <c r="F322" s="664"/>
      <c r="G322" s="664"/>
      <c r="H322" s="664"/>
      <c r="I322" s="664"/>
      <c r="J322" s="664"/>
      <c r="K322" s="664"/>
      <c r="L322" s="664"/>
      <c r="M322" s="664"/>
      <c r="N322" s="664">
        <v>1626</v>
      </c>
      <c r="O322" s="664">
        <v>9495.84</v>
      </c>
      <c r="P322" s="677"/>
      <c r="Q322" s="665">
        <v>5.84</v>
      </c>
    </row>
    <row r="323" spans="1:17" ht="14.4" customHeight="1" x14ac:dyDescent="0.3">
      <c r="A323" s="660" t="s">
        <v>1487</v>
      </c>
      <c r="B323" s="661" t="s">
        <v>1256</v>
      </c>
      <c r="C323" s="661" t="s">
        <v>1268</v>
      </c>
      <c r="D323" s="661" t="s">
        <v>1283</v>
      </c>
      <c r="E323" s="661" t="s">
        <v>1284</v>
      </c>
      <c r="F323" s="664">
        <v>130</v>
      </c>
      <c r="G323" s="664">
        <v>1028.3</v>
      </c>
      <c r="H323" s="664">
        <v>1</v>
      </c>
      <c r="I323" s="664">
        <v>7.9099999999999993</v>
      </c>
      <c r="J323" s="664"/>
      <c r="K323" s="664"/>
      <c r="L323" s="664"/>
      <c r="M323" s="664"/>
      <c r="N323" s="664"/>
      <c r="O323" s="664"/>
      <c r="P323" s="677"/>
      <c r="Q323" s="665"/>
    </row>
    <row r="324" spans="1:17" ht="14.4" customHeight="1" x14ac:dyDescent="0.3">
      <c r="A324" s="660" t="s">
        <v>1487</v>
      </c>
      <c r="B324" s="661" t="s">
        <v>1256</v>
      </c>
      <c r="C324" s="661" t="s">
        <v>1268</v>
      </c>
      <c r="D324" s="661" t="s">
        <v>1293</v>
      </c>
      <c r="E324" s="661" t="s">
        <v>1294</v>
      </c>
      <c r="F324" s="664"/>
      <c r="G324" s="664"/>
      <c r="H324" s="664"/>
      <c r="I324" s="664"/>
      <c r="J324" s="664">
        <v>480</v>
      </c>
      <c r="K324" s="664">
        <v>9177.6</v>
      </c>
      <c r="L324" s="664"/>
      <c r="M324" s="664">
        <v>19.12</v>
      </c>
      <c r="N324" s="664"/>
      <c r="O324" s="664"/>
      <c r="P324" s="677"/>
      <c r="Q324" s="665"/>
    </row>
    <row r="325" spans="1:17" ht="14.4" customHeight="1" x14ac:dyDescent="0.3">
      <c r="A325" s="660" t="s">
        <v>1487</v>
      </c>
      <c r="B325" s="661" t="s">
        <v>1256</v>
      </c>
      <c r="C325" s="661" t="s">
        <v>1268</v>
      </c>
      <c r="D325" s="661" t="s">
        <v>1297</v>
      </c>
      <c r="E325" s="661" t="s">
        <v>1298</v>
      </c>
      <c r="F325" s="664"/>
      <c r="G325" s="664"/>
      <c r="H325" s="664"/>
      <c r="I325" s="664"/>
      <c r="J325" s="664"/>
      <c r="K325" s="664"/>
      <c r="L325" s="664"/>
      <c r="M325" s="664"/>
      <c r="N325" s="664">
        <v>4</v>
      </c>
      <c r="O325" s="664">
        <v>17684.28</v>
      </c>
      <c r="P325" s="677"/>
      <c r="Q325" s="665">
        <v>4421.07</v>
      </c>
    </row>
    <row r="326" spans="1:17" ht="14.4" customHeight="1" x14ac:dyDescent="0.3">
      <c r="A326" s="660" t="s">
        <v>1487</v>
      </c>
      <c r="B326" s="661" t="s">
        <v>1256</v>
      </c>
      <c r="C326" s="661" t="s">
        <v>1268</v>
      </c>
      <c r="D326" s="661" t="s">
        <v>1303</v>
      </c>
      <c r="E326" s="661" t="s">
        <v>1304</v>
      </c>
      <c r="F326" s="664">
        <v>647</v>
      </c>
      <c r="G326" s="664">
        <v>2018.64</v>
      </c>
      <c r="H326" s="664">
        <v>1</v>
      </c>
      <c r="I326" s="664">
        <v>3.12</v>
      </c>
      <c r="J326" s="664"/>
      <c r="K326" s="664"/>
      <c r="L326" s="664"/>
      <c r="M326" s="664"/>
      <c r="N326" s="664"/>
      <c r="O326" s="664"/>
      <c r="P326" s="677"/>
      <c r="Q326" s="665"/>
    </row>
    <row r="327" spans="1:17" ht="14.4" customHeight="1" x14ac:dyDescent="0.3">
      <c r="A327" s="660" t="s">
        <v>1487</v>
      </c>
      <c r="B327" s="661" t="s">
        <v>1256</v>
      </c>
      <c r="C327" s="661" t="s">
        <v>1268</v>
      </c>
      <c r="D327" s="661" t="s">
        <v>1309</v>
      </c>
      <c r="E327" s="661" t="s">
        <v>1310</v>
      </c>
      <c r="F327" s="664">
        <v>10556</v>
      </c>
      <c r="G327" s="664">
        <v>349985.37</v>
      </c>
      <c r="H327" s="664">
        <v>1</v>
      </c>
      <c r="I327" s="664">
        <v>33.155112732095489</v>
      </c>
      <c r="J327" s="664">
        <v>10280</v>
      </c>
      <c r="K327" s="664">
        <v>342324</v>
      </c>
      <c r="L327" s="664">
        <v>0.97810945640384916</v>
      </c>
      <c r="M327" s="664">
        <v>33.299999999999997</v>
      </c>
      <c r="N327" s="664">
        <v>5426</v>
      </c>
      <c r="O327" s="664">
        <v>182042.30000000002</v>
      </c>
      <c r="P327" s="677">
        <v>0.52014259910349969</v>
      </c>
      <c r="Q327" s="665">
        <v>33.550000000000004</v>
      </c>
    </row>
    <row r="328" spans="1:17" ht="14.4" customHeight="1" x14ac:dyDescent="0.3">
      <c r="A328" s="660" t="s">
        <v>1487</v>
      </c>
      <c r="B328" s="661" t="s">
        <v>1256</v>
      </c>
      <c r="C328" s="661" t="s">
        <v>1268</v>
      </c>
      <c r="D328" s="661" t="s">
        <v>1488</v>
      </c>
      <c r="E328" s="661" t="s">
        <v>1489</v>
      </c>
      <c r="F328" s="664"/>
      <c r="G328" s="664"/>
      <c r="H328" s="664"/>
      <c r="I328" s="664"/>
      <c r="J328" s="664">
        <v>0</v>
      </c>
      <c r="K328" s="664">
        <v>0</v>
      </c>
      <c r="L328" s="664"/>
      <c r="M328" s="664"/>
      <c r="N328" s="664"/>
      <c r="O328" s="664"/>
      <c r="P328" s="677"/>
      <c r="Q328" s="665"/>
    </row>
    <row r="329" spans="1:17" ht="14.4" customHeight="1" x14ac:dyDescent="0.3">
      <c r="A329" s="660" t="s">
        <v>1487</v>
      </c>
      <c r="B329" s="661" t="s">
        <v>1256</v>
      </c>
      <c r="C329" s="661" t="s">
        <v>1268</v>
      </c>
      <c r="D329" s="661" t="s">
        <v>1488</v>
      </c>
      <c r="E329" s="661" t="s">
        <v>1490</v>
      </c>
      <c r="F329" s="664"/>
      <c r="G329" s="664"/>
      <c r="H329" s="664"/>
      <c r="I329" s="664"/>
      <c r="J329" s="664">
        <v>1</v>
      </c>
      <c r="K329" s="664">
        <v>449209.69</v>
      </c>
      <c r="L329" s="664"/>
      <c r="M329" s="664">
        <v>449209.69</v>
      </c>
      <c r="N329" s="664"/>
      <c r="O329" s="664"/>
      <c r="P329" s="677"/>
      <c r="Q329" s="665"/>
    </row>
    <row r="330" spans="1:17" ht="14.4" customHeight="1" x14ac:dyDescent="0.3">
      <c r="A330" s="660" t="s">
        <v>1487</v>
      </c>
      <c r="B330" s="661" t="s">
        <v>1256</v>
      </c>
      <c r="C330" s="661" t="s">
        <v>1324</v>
      </c>
      <c r="D330" s="661" t="s">
        <v>1325</v>
      </c>
      <c r="E330" s="661" t="s">
        <v>1326</v>
      </c>
      <c r="F330" s="664"/>
      <c r="G330" s="664"/>
      <c r="H330" s="664"/>
      <c r="I330" s="664"/>
      <c r="J330" s="664">
        <v>18</v>
      </c>
      <c r="K330" s="664">
        <v>15917.759999999998</v>
      </c>
      <c r="L330" s="664"/>
      <c r="M330" s="664">
        <v>884.31999999999994</v>
      </c>
      <c r="N330" s="664">
        <v>13</v>
      </c>
      <c r="O330" s="664">
        <v>11496.16</v>
      </c>
      <c r="P330" s="677"/>
      <c r="Q330" s="665">
        <v>884.31999999999994</v>
      </c>
    </row>
    <row r="331" spans="1:17" ht="14.4" customHeight="1" x14ac:dyDescent="0.3">
      <c r="A331" s="660" t="s">
        <v>1487</v>
      </c>
      <c r="B331" s="661" t="s">
        <v>1256</v>
      </c>
      <c r="C331" s="661" t="s">
        <v>1327</v>
      </c>
      <c r="D331" s="661" t="s">
        <v>1341</v>
      </c>
      <c r="E331" s="661" t="s">
        <v>1342</v>
      </c>
      <c r="F331" s="664"/>
      <c r="G331" s="664"/>
      <c r="H331" s="664"/>
      <c r="I331" s="664"/>
      <c r="J331" s="664"/>
      <c r="K331" s="664"/>
      <c r="L331" s="664"/>
      <c r="M331" s="664"/>
      <c r="N331" s="664">
        <v>1</v>
      </c>
      <c r="O331" s="664">
        <v>1975</v>
      </c>
      <c r="P331" s="677"/>
      <c r="Q331" s="665">
        <v>1975</v>
      </c>
    </row>
    <row r="332" spans="1:17" ht="14.4" customHeight="1" x14ac:dyDescent="0.3">
      <c r="A332" s="660" t="s">
        <v>1487</v>
      </c>
      <c r="B332" s="661" t="s">
        <v>1256</v>
      </c>
      <c r="C332" s="661" t="s">
        <v>1327</v>
      </c>
      <c r="D332" s="661" t="s">
        <v>1347</v>
      </c>
      <c r="E332" s="661" t="s">
        <v>1348</v>
      </c>
      <c r="F332" s="664">
        <v>1</v>
      </c>
      <c r="G332" s="664">
        <v>1383</v>
      </c>
      <c r="H332" s="664">
        <v>1</v>
      </c>
      <c r="I332" s="664">
        <v>1383</v>
      </c>
      <c r="J332" s="664"/>
      <c r="K332" s="664"/>
      <c r="L332" s="664"/>
      <c r="M332" s="664"/>
      <c r="N332" s="664"/>
      <c r="O332" s="664"/>
      <c r="P332" s="677"/>
      <c r="Q332" s="665"/>
    </row>
    <row r="333" spans="1:17" ht="14.4" customHeight="1" x14ac:dyDescent="0.3">
      <c r="A333" s="660" t="s">
        <v>1487</v>
      </c>
      <c r="B333" s="661" t="s">
        <v>1256</v>
      </c>
      <c r="C333" s="661" t="s">
        <v>1327</v>
      </c>
      <c r="D333" s="661" t="s">
        <v>1351</v>
      </c>
      <c r="E333" s="661" t="s">
        <v>1352</v>
      </c>
      <c r="F333" s="664"/>
      <c r="G333" s="664"/>
      <c r="H333" s="664"/>
      <c r="I333" s="664"/>
      <c r="J333" s="664"/>
      <c r="K333" s="664"/>
      <c r="L333" s="664"/>
      <c r="M333" s="664"/>
      <c r="N333" s="664">
        <v>1</v>
      </c>
      <c r="O333" s="664">
        <v>1208</v>
      </c>
      <c r="P333" s="677"/>
      <c r="Q333" s="665">
        <v>1208</v>
      </c>
    </row>
    <row r="334" spans="1:17" ht="14.4" customHeight="1" x14ac:dyDescent="0.3">
      <c r="A334" s="660" t="s">
        <v>1487</v>
      </c>
      <c r="B334" s="661" t="s">
        <v>1256</v>
      </c>
      <c r="C334" s="661" t="s">
        <v>1327</v>
      </c>
      <c r="D334" s="661" t="s">
        <v>1353</v>
      </c>
      <c r="E334" s="661" t="s">
        <v>1354</v>
      </c>
      <c r="F334" s="664">
        <v>1</v>
      </c>
      <c r="G334" s="664">
        <v>1169</v>
      </c>
      <c r="H334" s="664">
        <v>1</v>
      </c>
      <c r="I334" s="664">
        <v>1169</v>
      </c>
      <c r="J334" s="664"/>
      <c r="K334" s="664"/>
      <c r="L334" s="664"/>
      <c r="M334" s="664"/>
      <c r="N334" s="664"/>
      <c r="O334" s="664"/>
      <c r="P334" s="677"/>
      <c r="Q334" s="665"/>
    </row>
    <row r="335" spans="1:17" ht="14.4" customHeight="1" x14ac:dyDescent="0.3">
      <c r="A335" s="660" t="s">
        <v>1487</v>
      </c>
      <c r="B335" s="661" t="s">
        <v>1256</v>
      </c>
      <c r="C335" s="661" t="s">
        <v>1327</v>
      </c>
      <c r="D335" s="661" t="s">
        <v>1361</v>
      </c>
      <c r="E335" s="661" t="s">
        <v>1362</v>
      </c>
      <c r="F335" s="664">
        <v>1</v>
      </c>
      <c r="G335" s="664">
        <v>1754</v>
      </c>
      <c r="H335" s="664">
        <v>1</v>
      </c>
      <c r="I335" s="664">
        <v>1754</v>
      </c>
      <c r="J335" s="664">
        <v>1</v>
      </c>
      <c r="K335" s="664">
        <v>1754</v>
      </c>
      <c r="L335" s="664">
        <v>1</v>
      </c>
      <c r="M335" s="664">
        <v>1754</v>
      </c>
      <c r="N335" s="664">
        <v>3</v>
      </c>
      <c r="O335" s="664">
        <v>5286</v>
      </c>
      <c r="P335" s="677">
        <v>3.0136830102622576</v>
      </c>
      <c r="Q335" s="665">
        <v>1762</v>
      </c>
    </row>
    <row r="336" spans="1:17" ht="14.4" customHeight="1" x14ac:dyDescent="0.3">
      <c r="A336" s="660" t="s">
        <v>1487</v>
      </c>
      <c r="B336" s="661" t="s">
        <v>1256</v>
      </c>
      <c r="C336" s="661" t="s">
        <v>1327</v>
      </c>
      <c r="D336" s="661" t="s">
        <v>1369</v>
      </c>
      <c r="E336" s="661" t="s">
        <v>1370</v>
      </c>
      <c r="F336" s="664">
        <v>25</v>
      </c>
      <c r="G336" s="664">
        <v>358200</v>
      </c>
      <c r="H336" s="664">
        <v>1</v>
      </c>
      <c r="I336" s="664">
        <v>14328</v>
      </c>
      <c r="J336" s="664">
        <v>24</v>
      </c>
      <c r="K336" s="664">
        <v>343872</v>
      </c>
      <c r="L336" s="664">
        <v>0.96</v>
      </c>
      <c r="M336" s="664">
        <v>14328</v>
      </c>
      <c r="N336" s="664">
        <v>13</v>
      </c>
      <c r="O336" s="664">
        <v>186420</v>
      </c>
      <c r="P336" s="677">
        <v>0.52043551088777218</v>
      </c>
      <c r="Q336" s="665">
        <v>14340</v>
      </c>
    </row>
    <row r="337" spans="1:17" ht="14.4" customHeight="1" x14ac:dyDescent="0.3">
      <c r="A337" s="660" t="s">
        <v>1487</v>
      </c>
      <c r="B337" s="661" t="s">
        <v>1256</v>
      </c>
      <c r="C337" s="661" t="s">
        <v>1327</v>
      </c>
      <c r="D337" s="661" t="s">
        <v>1373</v>
      </c>
      <c r="E337" s="661" t="s">
        <v>1374</v>
      </c>
      <c r="F337" s="664"/>
      <c r="G337" s="664"/>
      <c r="H337" s="664"/>
      <c r="I337" s="664"/>
      <c r="J337" s="664">
        <v>1</v>
      </c>
      <c r="K337" s="664">
        <v>0</v>
      </c>
      <c r="L337" s="664"/>
      <c r="M337" s="664">
        <v>0</v>
      </c>
      <c r="N337" s="664"/>
      <c r="O337" s="664"/>
      <c r="P337" s="677"/>
      <c r="Q337" s="665"/>
    </row>
    <row r="338" spans="1:17" ht="14.4" customHeight="1" x14ac:dyDescent="0.3">
      <c r="A338" s="660" t="s">
        <v>1487</v>
      </c>
      <c r="B338" s="661" t="s">
        <v>1256</v>
      </c>
      <c r="C338" s="661" t="s">
        <v>1327</v>
      </c>
      <c r="D338" s="661" t="s">
        <v>1385</v>
      </c>
      <c r="E338" s="661" t="s">
        <v>1386</v>
      </c>
      <c r="F338" s="664">
        <v>1</v>
      </c>
      <c r="G338" s="664">
        <v>1286</v>
      </c>
      <c r="H338" s="664">
        <v>1</v>
      </c>
      <c r="I338" s="664">
        <v>1286</v>
      </c>
      <c r="J338" s="664"/>
      <c r="K338" s="664"/>
      <c r="L338" s="664"/>
      <c r="M338" s="664"/>
      <c r="N338" s="664"/>
      <c r="O338" s="664"/>
      <c r="P338" s="677"/>
      <c r="Q338" s="665"/>
    </row>
    <row r="339" spans="1:17" ht="14.4" customHeight="1" x14ac:dyDescent="0.3">
      <c r="A339" s="660" t="s">
        <v>1487</v>
      </c>
      <c r="B339" s="661" t="s">
        <v>1256</v>
      </c>
      <c r="C339" s="661" t="s">
        <v>1327</v>
      </c>
      <c r="D339" s="661" t="s">
        <v>1389</v>
      </c>
      <c r="E339" s="661" t="s">
        <v>1390</v>
      </c>
      <c r="F339" s="664"/>
      <c r="G339" s="664"/>
      <c r="H339" s="664"/>
      <c r="I339" s="664"/>
      <c r="J339" s="664">
        <v>1</v>
      </c>
      <c r="K339" s="664">
        <v>2242</v>
      </c>
      <c r="L339" s="664"/>
      <c r="M339" s="664">
        <v>2242</v>
      </c>
      <c r="N339" s="664"/>
      <c r="O339" s="664"/>
      <c r="P339" s="677"/>
      <c r="Q339" s="665"/>
    </row>
    <row r="340" spans="1:17" ht="14.4" customHeight="1" x14ac:dyDescent="0.3">
      <c r="A340" s="660" t="s">
        <v>1487</v>
      </c>
      <c r="B340" s="661" t="s">
        <v>1256</v>
      </c>
      <c r="C340" s="661" t="s">
        <v>1327</v>
      </c>
      <c r="D340" s="661" t="s">
        <v>1391</v>
      </c>
      <c r="E340" s="661" t="s">
        <v>1392</v>
      </c>
      <c r="F340" s="664"/>
      <c r="G340" s="664"/>
      <c r="H340" s="664"/>
      <c r="I340" s="664"/>
      <c r="J340" s="664"/>
      <c r="K340" s="664"/>
      <c r="L340" s="664"/>
      <c r="M340" s="664"/>
      <c r="N340" s="664">
        <v>1</v>
      </c>
      <c r="O340" s="664">
        <v>2551</v>
      </c>
      <c r="P340" s="677"/>
      <c r="Q340" s="665">
        <v>2551</v>
      </c>
    </row>
    <row r="341" spans="1:17" ht="14.4" customHeight="1" x14ac:dyDescent="0.3">
      <c r="A341" s="660" t="s">
        <v>1487</v>
      </c>
      <c r="B341" s="661" t="s">
        <v>1256</v>
      </c>
      <c r="C341" s="661" t="s">
        <v>1327</v>
      </c>
      <c r="D341" s="661" t="s">
        <v>1407</v>
      </c>
      <c r="E341" s="661" t="s">
        <v>1408</v>
      </c>
      <c r="F341" s="664"/>
      <c r="G341" s="664"/>
      <c r="H341" s="664"/>
      <c r="I341" s="664"/>
      <c r="J341" s="664">
        <v>1</v>
      </c>
      <c r="K341" s="664">
        <v>1126</v>
      </c>
      <c r="L341" s="664"/>
      <c r="M341" s="664">
        <v>1126</v>
      </c>
      <c r="N341" s="664"/>
      <c r="O341" s="664"/>
      <c r="P341" s="677"/>
      <c r="Q341" s="665"/>
    </row>
    <row r="342" spans="1:17" ht="14.4" customHeight="1" x14ac:dyDescent="0.3">
      <c r="A342" s="660" t="s">
        <v>1491</v>
      </c>
      <c r="B342" s="661" t="s">
        <v>1256</v>
      </c>
      <c r="C342" s="661" t="s">
        <v>1268</v>
      </c>
      <c r="D342" s="661" t="s">
        <v>1281</v>
      </c>
      <c r="E342" s="661" t="s">
        <v>1282</v>
      </c>
      <c r="F342" s="664"/>
      <c r="G342" s="664"/>
      <c r="H342" s="664"/>
      <c r="I342" s="664"/>
      <c r="J342" s="664">
        <v>1600</v>
      </c>
      <c r="K342" s="664">
        <v>8880</v>
      </c>
      <c r="L342" s="664"/>
      <c r="M342" s="664">
        <v>5.55</v>
      </c>
      <c r="N342" s="664">
        <v>303</v>
      </c>
      <c r="O342" s="664">
        <v>1769.52</v>
      </c>
      <c r="P342" s="677"/>
      <c r="Q342" s="665">
        <v>5.84</v>
      </c>
    </row>
    <row r="343" spans="1:17" ht="14.4" customHeight="1" x14ac:dyDescent="0.3">
      <c r="A343" s="660" t="s">
        <v>1491</v>
      </c>
      <c r="B343" s="661" t="s">
        <v>1256</v>
      </c>
      <c r="C343" s="661" t="s">
        <v>1268</v>
      </c>
      <c r="D343" s="661" t="s">
        <v>1285</v>
      </c>
      <c r="E343" s="661" t="s">
        <v>1286</v>
      </c>
      <c r="F343" s="664">
        <v>500</v>
      </c>
      <c r="G343" s="664">
        <v>3995</v>
      </c>
      <c r="H343" s="664">
        <v>1</v>
      </c>
      <c r="I343" s="664">
        <v>7.99</v>
      </c>
      <c r="J343" s="664"/>
      <c r="K343" s="664"/>
      <c r="L343" s="664"/>
      <c r="M343" s="664"/>
      <c r="N343" s="664"/>
      <c r="O343" s="664"/>
      <c r="P343" s="677"/>
      <c r="Q343" s="665"/>
    </row>
    <row r="344" spans="1:17" ht="14.4" customHeight="1" x14ac:dyDescent="0.3">
      <c r="A344" s="660" t="s">
        <v>1491</v>
      </c>
      <c r="B344" s="661" t="s">
        <v>1256</v>
      </c>
      <c r="C344" s="661" t="s">
        <v>1327</v>
      </c>
      <c r="D344" s="661" t="s">
        <v>1330</v>
      </c>
      <c r="E344" s="661" t="s">
        <v>1331</v>
      </c>
      <c r="F344" s="664"/>
      <c r="G344" s="664"/>
      <c r="H344" s="664"/>
      <c r="I344" s="664"/>
      <c r="J344" s="664">
        <v>1</v>
      </c>
      <c r="K344" s="664">
        <v>420</v>
      </c>
      <c r="L344" s="664"/>
      <c r="M344" s="664">
        <v>420</v>
      </c>
      <c r="N344" s="664"/>
      <c r="O344" s="664"/>
      <c r="P344" s="677"/>
      <c r="Q344" s="665"/>
    </row>
    <row r="345" spans="1:17" ht="14.4" customHeight="1" x14ac:dyDescent="0.3">
      <c r="A345" s="660" t="s">
        <v>1491</v>
      </c>
      <c r="B345" s="661" t="s">
        <v>1256</v>
      </c>
      <c r="C345" s="661" t="s">
        <v>1327</v>
      </c>
      <c r="D345" s="661" t="s">
        <v>1332</v>
      </c>
      <c r="E345" s="661" t="s">
        <v>1333</v>
      </c>
      <c r="F345" s="664">
        <v>1</v>
      </c>
      <c r="G345" s="664">
        <v>163</v>
      </c>
      <c r="H345" s="664">
        <v>1</v>
      </c>
      <c r="I345" s="664">
        <v>163</v>
      </c>
      <c r="J345" s="664"/>
      <c r="K345" s="664"/>
      <c r="L345" s="664"/>
      <c r="M345" s="664"/>
      <c r="N345" s="664"/>
      <c r="O345" s="664"/>
      <c r="P345" s="677"/>
      <c r="Q345" s="665"/>
    </row>
    <row r="346" spans="1:17" ht="14.4" customHeight="1" x14ac:dyDescent="0.3">
      <c r="A346" s="660" t="s">
        <v>1491</v>
      </c>
      <c r="B346" s="661" t="s">
        <v>1256</v>
      </c>
      <c r="C346" s="661" t="s">
        <v>1327</v>
      </c>
      <c r="D346" s="661" t="s">
        <v>1338</v>
      </c>
      <c r="E346" s="661" t="s">
        <v>1339</v>
      </c>
      <c r="F346" s="664">
        <v>1</v>
      </c>
      <c r="G346" s="664">
        <v>1376</v>
      </c>
      <c r="H346" s="664">
        <v>1</v>
      </c>
      <c r="I346" s="664">
        <v>1376</v>
      </c>
      <c r="J346" s="664"/>
      <c r="K346" s="664"/>
      <c r="L346" s="664"/>
      <c r="M346" s="664"/>
      <c r="N346" s="664"/>
      <c r="O346" s="664"/>
      <c r="P346" s="677"/>
      <c r="Q346" s="665"/>
    </row>
    <row r="347" spans="1:17" ht="14.4" customHeight="1" x14ac:dyDescent="0.3">
      <c r="A347" s="660" t="s">
        <v>1491</v>
      </c>
      <c r="B347" s="661" t="s">
        <v>1256</v>
      </c>
      <c r="C347" s="661" t="s">
        <v>1327</v>
      </c>
      <c r="D347" s="661" t="s">
        <v>1361</v>
      </c>
      <c r="E347" s="661" t="s">
        <v>1362</v>
      </c>
      <c r="F347" s="664"/>
      <c r="G347" s="664"/>
      <c r="H347" s="664"/>
      <c r="I347" s="664"/>
      <c r="J347" s="664">
        <v>4</v>
      </c>
      <c r="K347" s="664">
        <v>7016</v>
      </c>
      <c r="L347" s="664"/>
      <c r="M347" s="664">
        <v>1754</v>
      </c>
      <c r="N347" s="664">
        <v>1</v>
      </c>
      <c r="O347" s="664">
        <v>1762</v>
      </c>
      <c r="P347" s="677"/>
      <c r="Q347" s="665">
        <v>1762</v>
      </c>
    </row>
    <row r="348" spans="1:17" ht="14.4" customHeight="1" x14ac:dyDescent="0.3">
      <c r="A348" s="660" t="s">
        <v>1491</v>
      </c>
      <c r="B348" s="661" t="s">
        <v>1256</v>
      </c>
      <c r="C348" s="661" t="s">
        <v>1327</v>
      </c>
      <c r="D348" s="661" t="s">
        <v>1363</v>
      </c>
      <c r="E348" s="661" t="s">
        <v>1364</v>
      </c>
      <c r="F348" s="664"/>
      <c r="G348" s="664"/>
      <c r="H348" s="664"/>
      <c r="I348" s="664"/>
      <c r="J348" s="664">
        <v>4</v>
      </c>
      <c r="K348" s="664">
        <v>1640</v>
      </c>
      <c r="L348" s="664"/>
      <c r="M348" s="664">
        <v>410</v>
      </c>
      <c r="N348" s="664">
        <v>1</v>
      </c>
      <c r="O348" s="664">
        <v>413</v>
      </c>
      <c r="P348" s="677"/>
      <c r="Q348" s="665">
        <v>413</v>
      </c>
    </row>
    <row r="349" spans="1:17" ht="14.4" customHeight="1" thickBot="1" x14ac:dyDescent="0.35">
      <c r="A349" s="666" t="s">
        <v>1491</v>
      </c>
      <c r="B349" s="667" t="s">
        <v>1256</v>
      </c>
      <c r="C349" s="667" t="s">
        <v>1327</v>
      </c>
      <c r="D349" s="667" t="s">
        <v>1379</v>
      </c>
      <c r="E349" s="667" t="s">
        <v>1380</v>
      </c>
      <c r="F349" s="670"/>
      <c r="G349" s="670"/>
      <c r="H349" s="670"/>
      <c r="I349" s="670"/>
      <c r="J349" s="670">
        <v>1</v>
      </c>
      <c r="K349" s="670">
        <v>580</v>
      </c>
      <c r="L349" s="670"/>
      <c r="M349" s="670">
        <v>580</v>
      </c>
      <c r="N349" s="670"/>
      <c r="O349" s="670"/>
      <c r="P349" s="678"/>
      <c r="Q349" s="67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1" customWidth="1"/>
    <col min="2" max="4" width="7.88671875" style="361" customWidth="1"/>
    <col min="5" max="5" width="7.88671875" style="370" customWidth="1"/>
    <col min="6" max="8" width="7.88671875" style="361" customWidth="1"/>
    <col min="9" max="9" width="7.88671875" style="371" customWidth="1"/>
    <col min="10" max="13" width="7.88671875" style="361" customWidth="1"/>
    <col min="14" max="16384" width="9.33203125" style="361"/>
  </cols>
  <sheetData>
    <row r="1" spans="1:13" ht="18.600000000000001" customHeight="1" thickBot="1" x14ac:dyDescent="0.4">
      <c r="A1" s="589" t="s">
        <v>136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3" t="s">
        <v>336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4.4" customHeight="1" thickBot="1" x14ac:dyDescent="0.35">
      <c r="A3" s="590" t="s">
        <v>70</v>
      </c>
      <c r="B3" s="553" t="s">
        <v>71</v>
      </c>
      <c r="C3" s="554"/>
      <c r="D3" s="554"/>
      <c r="E3" s="555"/>
      <c r="F3" s="553" t="s">
        <v>294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91"/>
      <c r="B4" s="126">
        <v>2013</v>
      </c>
      <c r="C4" s="127">
        <v>2014</v>
      </c>
      <c r="D4" s="127">
        <v>2015</v>
      </c>
      <c r="E4" s="128" t="s">
        <v>2</v>
      </c>
      <c r="F4" s="127">
        <v>2013</v>
      </c>
      <c r="G4" s="127">
        <v>2014</v>
      </c>
      <c r="H4" s="127">
        <v>2015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32.340000000000003</v>
      </c>
      <c r="C5" s="114">
        <v>21.408000000000001</v>
      </c>
      <c r="D5" s="114">
        <v>16.035</v>
      </c>
      <c r="E5" s="131">
        <v>0.49582560296846007</v>
      </c>
      <c r="F5" s="132">
        <v>43</v>
      </c>
      <c r="G5" s="114">
        <v>35</v>
      </c>
      <c r="H5" s="114">
        <v>30</v>
      </c>
      <c r="I5" s="133">
        <v>0.69767441860465118</v>
      </c>
      <c r="J5" s="123"/>
      <c r="K5" s="123"/>
      <c r="L5" s="7">
        <f>D5-B5</f>
        <v>-16.305000000000003</v>
      </c>
      <c r="M5" s="8">
        <f>H5-F5</f>
        <v>-13</v>
      </c>
    </row>
    <row r="6" spans="1:13" ht="14.4" hidden="1" customHeight="1" outlineLevel="1" x14ac:dyDescent="0.3">
      <c r="A6" s="119" t="s">
        <v>170</v>
      </c>
      <c r="B6" s="122">
        <v>6.109</v>
      </c>
      <c r="C6" s="113">
        <v>6.14</v>
      </c>
      <c r="D6" s="113">
        <v>9.4209999999999994</v>
      </c>
      <c r="E6" s="134">
        <v>1.5421509248649532</v>
      </c>
      <c r="F6" s="135">
        <v>7</v>
      </c>
      <c r="G6" s="113">
        <v>11</v>
      </c>
      <c r="H6" s="113">
        <v>10</v>
      </c>
      <c r="I6" s="136">
        <v>1.4285714285714286</v>
      </c>
      <c r="J6" s="123"/>
      <c r="K6" s="123"/>
      <c r="L6" s="5">
        <f t="shared" ref="L6:L11" si="0">D6-B6</f>
        <v>3.3119999999999994</v>
      </c>
      <c r="M6" s="6">
        <f t="shared" ref="M6:M13" si="1">H6-F6</f>
        <v>3</v>
      </c>
    </row>
    <row r="7" spans="1:13" ht="14.4" hidden="1" customHeight="1" outlineLevel="1" x14ac:dyDescent="0.3">
      <c r="A7" s="119" t="s">
        <v>171</v>
      </c>
      <c r="B7" s="122">
        <v>17.52</v>
      </c>
      <c r="C7" s="113">
        <v>18.213999999999999</v>
      </c>
      <c r="D7" s="113">
        <v>21.434999999999999</v>
      </c>
      <c r="E7" s="134">
        <v>1.2234589041095889</v>
      </c>
      <c r="F7" s="135">
        <v>21</v>
      </c>
      <c r="G7" s="113">
        <v>30</v>
      </c>
      <c r="H7" s="113">
        <v>30</v>
      </c>
      <c r="I7" s="136">
        <v>1.4285714285714286</v>
      </c>
      <c r="J7" s="123"/>
      <c r="K7" s="123"/>
      <c r="L7" s="5">
        <f t="shared" si="0"/>
        <v>3.9149999999999991</v>
      </c>
      <c r="M7" s="6">
        <f t="shared" si="1"/>
        <v>9</v>
      </c>
    </row>
    <row r="8" spans="1:13" ht="14.4" hidden="1" customHeight="1" outlineLevel="1" x14ac:dyDescent="0.3">
      <c r="A8" s="119" t="s">
        <v>172</v>
      </c>
      <c r="B8" s="122">
        <v>2.9950000000000001</v>
      </c>
      <c r="C8" s="113">
        <v>0.29799999999999999</v>
      </c>
      <c r="D8" s="113">
        <v>4.4820000000000002</v>
      </c>
      <c r="E8" s="134">
        <v>1.4964941569282137</v>
      </c>
      <c r="F8" s="135">
        <v>4</v>
      </c>
      <c r="G8" s="113">
        <v>1</v>
      </c>
      <c r="H8" s="113">
        <v>6</v>
      </c>
      <c r="I8" s="136">
        <v>1.5</v>
      </c>
      <c r="J8" s="123"/>
      <c r="K8" s="123"/>
      <c r="L8" s="5">
        <f t="shared" si="0"/>
        <v>1.4870000000000001</v>
      </c>
      <c r="M8" s="6">
        <f t="shared" si="1"/>
        <v>2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531</v>
      </c>
      <c r="F9" s="135">
        <v>0</v>
      </c>
      <c r="G9" s="113">
        <v>0</v>
      </c>
      <c r="H9" s="113">
        <v>0</v>
      </c>
      <c r="I9" s="136" t="s">
        <v>531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6.0549999999999997</v>
      </c>
      <c r="C10" s="113">
        <v>4.0170000000000003</v>
      </c>
      <c r="D10" s="113">
        <v>4.3959999999999999</v>
      </c>
      <c r="E10" s="134">
        <v>0.72601156069364159</v>
      </c>
      <c r="F10" s="135">
        <v>12</v>
      </c>
      <c r="G10" s="113">
        <v>9</v>
      </c>
      <c r="H10" s="113">
        <v>9</v>
      </c>
      <c r="I10" s="136">
        <v>0.75</v>
      </c>
      <c r="J10" s="123"/>
      <c r="K10" s="123"/>
      <c r="L10" s="5">
        <f t="shared" si="0"/>
        <v>-1.6589999999999998</v>
      </c>
      <c r="M10" s="6">
        <f t="shared" si="1"/>
        <v>-3</v>
      </c>
    </row>
    <row r="11" spans="1:13" ht="14.4" hidden="1" customHeight="1" outlineLevel="1" x14ac:dyDescent="0.3">
      <c r="A11" s="119" t="s">
        <v>175</v>
      </c>
      <c r="B11" s="122">
        <v>0.29099999999999998</v>
      </c>
      <c r="C11" s="113">
        <v>0.81799999999999995</v>
      </c>
      <c r="D11" s="113">
        <v>0.29499999999999998</v>
      </c>
      <c r="E11" s="134">
        <v>1.0137457044673539</v>
      </c>
      <c r="F11" s="135">
        <v>1</v>
      </c>
      <c r="G11" s="113">
        <v>2</v>
      </c>
      <c r="H11" s="113">
        <v>1</v>
      </c>
      <c r="I11" s="136">
        <v>1</v>
      </c>
      <c r="J11" s="123"/>
      <c r="K11" s="123"/>
      <c r="L11" s="5">
        <f t="shared" si="0"/>
        <v>4.0000000000000036E-3</v>
      </c>
      <c r="M11" s="6">
        <f t="shared" si="1"/>
        <v>0</v>
      </c>
    </row>
    <row r="12" spans="1:13" ht="14.4" hidden="1" customHeight="1" outlineLevel="1" thickBot="1" x14ac:dyDescent="0.35">
      <c r="A12" s="244" t="s">
        <v>213</v>
      </c>
      <c r="B12" s="245">
        <v>0</v>
      </c>
      <c r="C12" s="246">
        <v>0.29799999999999999</v>
      </c>
      <c r="D12" s="246">
        <v>0</v>
      </c>
      <c r="E12" s="247"/>
      <c r="F12" s="248">
        <v>0</v>
      </c>
      <c r="G12" s="246">
        <v>1</v>
      </c>
      <c r="H12" s="246">
        <v>0</v>
      </c>
      <c r="I12" s="249"/>
      <c r="J12" s="123"/>
      <c r="K12" s="123"/>
      <c r="L12" s="250">
        <f>D12-B12</f>
        <v>0</v>
      </c>
      <c r="M12" s="251">
        <f>H12-F12</f>
        <v>0</v>
      </c>
    </row>
    <row r="13" spans="1:13" ht="14.4" customHeight="1" collapsed="1" thickBot="1" x14ac:dyDescent="0.35">
      <c r="A13" s="120" t="s">
        <v>3</v>
      </c>
      <c r="B13" s="115">
        <f>SUM(B5:B12)</f>
        <v>65.31</v>
      </c>
      <c r="C13" s="116">
        <f>SUM(C5:C12)</f>
        <v>51.193000000000005</v>
      </c>
      <c r="D13" s="116">
        <f>SUM(D5:D12)</f>
        <v>56.064</v>
      </c>
      <c r="E13" s="137">
        <f>IF(OR(D13=0,B13=0),0,D13/B13)</f>
        <v>0.85842903077629762</v>
      </c>
      <c r="F13" s="138">
        <f>SUM(F5:F12)</f>
        <v>88</v>
      </c>
      <c r="G13" s="116">
        <f>SUM(G5:G12)</f>
        <v>89</v>
      </c>
      <c r="H13" s="116">
        <f>SUM(H5:H12)</f>
        <v>86</v>
      </c>
      <c r="I13" s="139">
        <f>IF(OR(H13=0,F13=0),0,H13/F13)</f>
        <v>0.97727272727272729</v>
      </c>
      <c r="J13" s="123"/>
      <c r="K13" s="123"/>
      <c r="L13" s="129">
        <f>D13-B13</f>
        <v>-9.2460000000000022</v>
      </c>
      <c r="M13" s="140">
        <f t="shared" si="1"/>
        <v>-2</v>
      </c>
    </row>
    <row r="14" spans="1:13" ht="14.4" customHeight="1" x14ac:dyDescent="0.3">
      <c r="A14" s="141"/>
      <c r="B14" s="583"/>
      <c r="C14" s="583"/>
      <c r="D14" s="583"/>
      <c r="E14" s="583"/>
      <c r="F14" s="583"/>
      <c r="G14" s="583"/>
      <c r="H14" s="583"/>
      <c r="I14" s="583"/>
      <c r="J14" s="123"/>
      <c r="K14" s="123"/>
      <c r="L14" s="123"/>
      <c r="M14" s="125"/>
    </row>
    <row r="15" spans="1:13" ht="14.4" customHeight="1" thickBot="1" x14ac:dyDescent="0.35">
      <c r="A15" s="141"/>
      <c r="B15" s="363"/>
      <c r="C15" s="364"/>
      <c r="D15" s="364"/>
      <c r="E15" s="364"/>
      <c r="F15" s="363"/>
      <c r="G15" s="364"/>
      <c r="H15" s="364"/>
      <c r="I15" s="364"/>
      <c r="J15" s="123"/>
      <c r="K15" s="123"/>
      <c r="L15" s="123"/>
      <c r="M15" s="125"/>
    </row>
    <row r="16" spans="1:13" ht="14.4" customHeight="1" thickBot="1" x14ac:dyDescent="0.35">
      <c r="A16" s="578" t="s">
        <v>209</v>
      </c>
      <c r="B16" s="580" t="s">
        <v>71</v>
      </c>
      <c r="C16" s="581"/>
      <c r="D16" s="581"/>
      <c r="E16" s="582"/>
      <c r="F16" s="580" t="s">
        <v>294</v>
      </c>
      <c r="G16" s="581"/>
      <c r="H16" s="581"/>
      <c r="I16" s="582"/>
      <c r="J16" s="585" t="s">
        <v>180</v>
      </c>
      <c r="K16" s="586"/>
      <c r="L16" s="158"/>
      <c r="M16" s="158"/>
    </row>
    <row r="17" spans="1:13" ht="14.4" customHeight="1" thickBot="1" x14ac:dyDescent="0.35">
      <c r="A17" s="579"/>
      <c r="B17" s="142">
        <v>2013</v>
      </c>
      <c r="C17" s="143">
        <v>2014</v>
      </c>
      <c r="D17" s="143">
        <v>2015</v>
      </c>
      <c r="E17" s="144" t="s">
        <v>2</v>
      </c>
      <c r="F17" s="142">
        <v>2013</v>
      </c>
      <c r="G17" s="143">
        <v>2014</v>
      </c>
      <c r="H17" s="143">
        <v>2015</v>
      </c>
      <c r="I17" s="144" t="s">
        <v>2</v>
      </c>
      <c r="J17" s="587" t="s">
        <v>181</v>
      </c>
      <c r="K17" s="58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32.340000000000003</v>
      </c>
      <c r="C18" s="114">
        <v>21.408000000000001</v>
      </c>
      <c r="D18" s="114">
        <v>16.035</v>
      </c>
      <c r="E18" s="131">
        <v>0.49582560296846007</v>
      </c>
      <c r="F18" s="121">
        <v>43</v>
      </c>
      <c r="G18" s="114">
        <v>35</v>
      </c>
      <c r="H18" s="114">
        <v>30</v>
      </c>
      <c r="I18" s="133">
        <v>0.69767441860465118</v>
      </c>
      <c r="J18" s="571">
        <f>0.97*0.976</f>
        <v>0.94672000000000001</v>
      </c>
      <c r="K18" s="572"/>
      <c r="L18" s="147">
        <f>D18-B18</f>
        <v>-16.305000000000003</v>
      </c>
      <c r="M18" s="148">
        <f>H18-F18</f>
        <v>-13</v>
      </c>
    </row>
    <row r="19" spans="1:13" ht="14.4" hidden="1" customHeight="1" outlineLevel="1" x14ac:dyDescent="0.3">
      <c r="A19" s="119" t="s">
        <v>170</v>
      </c>
      <c r="B19" s="122">
        <v>6.109</v>
      </c>
      <c r="C19" s="113">
        <v>6.14</v>
      </c>
      <c r="D19" s="113">
        <v>9.4209999999999994</v>
      </c>
      <c r="E19" s="134">
        <v>1.5421509248649532</v>
      </c>
      <c r="F19" s="122">
        <v>7</v>
      </c>
      <c r="G19" s="113">
        <v>11</v>
      </c>
      <c r="H19" s="113">
        <v>10</v>
      </c>
      <c r="I19" s="136">
        <v>1.4285714285714286</v>
      </c>
      <c r="J19" s="571">
        <f>0.97*1.096</f>
        <v>1.0631200000000001</v>
      </c>
      <c r="K19" s="572"/>
      <c r="L19" s="149">
        <f t="shared" ref="L19:L26" si="2">D19-B19</f>
        <v>3.3119999999999994</v>
      </c>
      <c r="M19" s="150">
        <f t="shared" ref="M19:M26" si="3">H19-F19</f>
        <v>3</v>
      </c>
    </row>
    <row r="20" spans="1:13" ht="14.4" hidden="1" customHeight="1" outlineLevel="1" x14ac:dyDescent="0.3">
      <c r="A20" s="119" t="s">
        <v>171</v>
      </c>
      <c r="B20" s="122">
        <v>17.52</v>
      </c>
      <c r="C20" s="113">
        <v>18.213999999999999</v>
      </c>
      <c r="D20" s="113">
        <v>21.434999999999999</v>
      </c>
      <c r="E20" s="134">
        <v>1.2234589041095889</v>
      </c>
      <c r="F20" s="122">
        <v>21</v>
      </c>
      <c r="G20" s="113">
        <v>30</v>
      </c>
      <c r="H20" s="113">
        <v>30</v>
      </c>
      <c r="I20" s="136">
        <v>1.4285714285714286</v>
      </c>
      <c r="J20" s="571">
        <f>0.97*1.047</f>
        <v>1.01559</v>
      </c>
      <c r="K20" s="572"/>
      <c r="L20" s="149">
        <f t="shared" si="2"/>
        <v>3.9149999999999991</v>
      </c>
      <c r="M20" s="150">
        <f t="shared" si="3"/>
        <v>9</v>
      </c>
    </row>
    <row r="21" spans="1:13" ht="14.4" hidden="1" customHeight="1" outlineLevel="1" x14ac:dyDescent="0.3">
      <c r="A21" s="119" t="s">
        <v>172</v>
      </c>
      <c r="B21" s="122">
        <v>2.9950000000000001</v>
      </c>
      <c r="C21" s="113">
        <v>0.29799999999999999</v>
      </c>
      <c r="D21" s="113">
        <v>4.4820000000000002</v>
      </c>
      <c r="E21" s="134">
        <v>1.4964941569282137</v>
      </c>
      <c r="F21" s="122">
        <v>4</v>
      </c>
      <c r="G21" s="113">
        <v>1</v>
      </c>
      <c r="H21" s="113">
        <v>6</v>
      </c>
      <c r="I21" s="136">
        <v>1.5</v>
      </c>
      <c r="J21" s="571">
        <f>0.97*1.091</f>
        <v>1.05827</v>
      </c>
      <c r="K21" s="572"/>
      <c r="L21" s="149">
        <f t="shared" si="2"/>
        <v>1.4870000000000001</v>
      </c>
      <c r="M21" s="150">
        <f t="shared" si="3"/>
        <v>2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531</v>
      </c>
      <c r="F22" s="122">
        <v>0</v>
      </c>
      <c r="G22" s="113">
        <v>0</v>
      </c>
      <c r="H22" s="113">
        <v>0</v>
      </c>
      <c r="I22" s="136" t="s">
        <v>531</v>
      </c>
      <c r="J22" s="571">
        <f>0.97*1</f>
        <v>0.97</v>
      </c>
      <c r="K22" s="572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6.0549999999999997</v>
      </c>
      <c r="C23" s="113">
        <v>4.0170000000000003</v>
      </c>
      <c r="D23" s="113">
        <v>4.3959999999999999</v>
      </c>
      <c r="E23" s="134">
        <v>0.72601156069364159</v>
      </c>
      <c r="F23" s="122">
        <v>12</v>
      </c>
      <c r="G23" s="113">
        <v>9</v>
      </c>
      <c r="H23" s="113">
        <v>9</v>
      </c>
      <c r="I23" s="136">
        <v>0.75</v>
      </c>
      <c r="J23" s="571">
        <f>0.97*1.096</f>
        <v>1.0631200000000001</v>
      </c>
      <c r="K23" s="572"/>
      <c r="L23" s="149">
        <f t="shared" si="2"/>
        <v>-1.6589999999999998</v>
      </c>
      <c r="M23" s="150">
        <f t="shared" si="3"/>
        <v>-3</v>
      </c>
    </row>
    <row r="24" spans="1:13" ht="14.4" hidden="1" customHeight="1" outlineLevel="1" x14ac:dyDescent="0.3">
      <c r="A24" s="119" t="s">
        <v>175</v>
      </c>
      <c r="B24" s="122">
        <v>0.29099999999999998</v>
      </c>
      <c r="C24" s="113">
        <v>0.81799999999999995</v>
      </c>
      <c r="D24" s="113">
        <v>0.29499999999999998</v>
      </c>
      <c r="E24" s="134">
        <v>1.0137457044673539</v>
      </c>
      <c r="F24" s="122">
        <v>1</v>
      </c>
      <c r="G24" s="113">
        <v>2</v>
      </c>
      <c r="H24" s="113">
        <v>1</v>
      </c>
      <c r="I24" s="136">
        <v>1</v>
      </c>
      <c r="J24" s="571">
        <f>0.97*0.989</f>
        <v>0.95933000000000002</v>
      </c>
      <c r="K24" s="572"/>
      <c r="L24" s="149">
        <f t="shared" si="2"/>
        <v>4.0000000000000036E-3</v>
      </c>
      <c r="M24" s="150">
        <f t="shared" si="3"/>
        <v>0</v>
      </c>
    </row>
    <row r="25" spans="1:13" ht="14.4" hidden="1" customHeight="1" outlineLevel="1" thickBot="1" x14ac:dyDescent="0.35">
      <c r="A25" s="244" t="s">
        <v>213</v>
      </c>
      <c r="B25" s="245">
        <v>0</v>
      </c>
      <c r="C25" s="246">
        <v>0.29799999999999999</v>
      </c>
      <c r="D25" s="246">
        <v>0</v>
      </c>
      <c r="E25" s="247"/>
      <c r="F25" s="245">
        <v>0</v>
      </c>
      <c r="G25" s="246">
        <v>1</v>
      </c>
      <c r="H25" s="246">
        <v>0</v>
      </c>
      <c r="I25" s="249"/>
      <c r="J25" s="365"/>
      <c r="K25" s="366"/>
      <c r="L25" s="252">
        <f>D25-B25</f>
        <v>0</v>
      </c>
      <c r="M25" s="253">
        <f>H25-F25</f>
        <v>0</v>
      </c>
    </row>
    <row r="26" spans="1:13" ht="14.4" customHeight="1" collapsed="1" thickBot="1" x14ac:dyDescent="0.35">
      <c r="A26" s="151" t="s">
        <v>3</v>
      </c>
      <c r="B26" s="152">
        <f>SUM(B18:B25)</f>
        <v>65.31</v>
      </c>
      <c r="C26" s="153">
        <f>SUM(C18:C25)</f>
        <v>51.193000000000005</v>
      </c>
      <c r="D26" s="153">
        <f>SUM(D18:D25)</f>
        <v>56.064</v>
      </c>
      <c r="E26" s="154">
        <f>IF(OR(D26=0,B26=0),0,D26/B26)</f>
        <v>0.85842903077629762</v>
      </c>
      <c r="F26" s="152">
        <f>SUM(F18:F25)</f>
        <v>88</v>
      </c>
      <c r="G26" s="153">
        <f>SUM(G18:G25)</f>
        <v>89</v>
      </c>
      <c r="H26" s="153">
        <f>SUM(H18:H25)</f>
        <v>86</v>
      </c>
      <c r="I26" s="155">
        <f>IF(OR(H26=0,F26=0),0,H26/F26)</f>
        <v>0.97727272727272729</v>
      </c>
      <c r="J26" s="123"/>
      <c r="K26" s="123"/>
      <c r="L26" s="145">
        <f t="shared" si="2"/>
        <v>-9.2460000000000022</v>
      </c>
      <c r="M26" s="156">
        <f t="shared" si="3"/>
        <v>-2</v>
      </c>
    </row>
    <row r="27" spans="1:13" ht="14.4" customHeight="1" x14ac:dyDescent="0.3">
      <c r="A27" s="157"/>
      <c r="B27" s="583" t="s">
        <v>211</v>
      </c>
      <c r="C27" s="584"/>
      <c r="D27" s="584"/>
      <c r="E27" s="584"/>
      <c r="F27" s="583" t="s">
        <v>212</v>
      </c>
      <c r="G27" s="584"/>
      <c r="H27" s="584"/>
      <c r="I27" s="584"/>
      <c r="J27" s="158"/>
      <c r="K27" s="158"/>
      <c r="L27" s="158"/>
      <c r="M27" s="159"/>
    </row>
    <row r="28" spans="1:13" ht="14.4" customHeight="1" thickBot="1" x14ac:dyDescent="0.35">
      <c r="A28" s="157"/>
      <c r="B28" s="363"/>
      <c r="C28" s="364"/>
      <c r="D28" s="364"/>
      <c r="E28" s="364"/>
      <c r="F28" s="363"/>
      <c r="G28" s="364"/>
      <c r="H28" s="364"/>
      <c r="I28" s="364"/>
      <c r="J28" s="158"/>
      <c r="K28" s="158"/>
      <c r="L28" s="158"/>
      <c r="M28" s="159"/>
    </row>
    <row r="29" spans="1:13" ht="14.4" customHeight="1" thickBot="1" x14ac:dyDescent="0.35">
      <c r="A29" s="573" t="s">
        <v>210</v>
      </c>
      <c r="B29" s="575" t="s">
        <v>71</v>
      </c>
      <c r="C29" s="576"/>
      <c r="D29" s="576"/>
      <c r="E29" s="577"/>
      <c r="F29" s="576" t="s">
        <v>294</v>
      </c>
      <c r="G29" s="576"/>
      <c r="H29" s="576"/>
      <c r="I29" s="577"/>
      <c r="J29" s="158"/>
      <c r="K29" s="158"/>
      <c r="L29" s="158"/>
      <c r="M29" s="159"/>
    </row>
    <row r="30" spans="1:13" ht="14.4" customHeight="1" thickBot="1" x14ac:dyDescent="0.35">
      <c r="A30" s="574"/>
      <c r="B30" s="160">
        <v>2013</v>
      </c>
      <c r="C30" s="161">
        <v>2014</v>
      </c>
      <c r="D30" s="161">
        <v>2015</v>
      </c>
      <c r="E30" s="162" t="s">
        <v>2</v>
      </c>
      <c r="F30" s="161">
        <v>2013</v>
      </c>
      <c r="G30" s="161">
        <v>2014</v>
      </c>
      <c r="H30" s="161">
        <v>2015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0</v>
      </c>
      <c r="D31" s="114">
        <v>0</v>
      </c>
      <c r="E31" s="131" t="s">
        <v>531</v>
      </c>
      <c r="F31" s="132">
        <v>0</v>
      </c>
      <c r="G31" s="114">
        <v>0</v>
      </c>
      <c r="H31" s="114">
        <v>0</v>
      </c>
      <c r="I31" s="133" t="s">
        <v>531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0</v>
      </c>
      <c r="E32" s="134" t="s">
        <v>531</v>
      </c>
      <c r="F32" s="135">
        <v>0</v>
      </c>
      <c r="G32" s="113">
        <v>0</v>
      </c>
      <c r="H32" s="113">
        <v>0</v>
      </c>
      <c r="I32" s="136" t="s">
        <v>531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531</v>
      </c>
      <c r="F33" s="135">
        <v>0</v>
      </c>
      <c r="G33" s="113">
        <v>0</v>
      </c>
      <c r="H33" s="113">
        <v>0</v>
      </c>
      <c r="I33" s="136" t="s">
        <v>531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531</v>
      </c>
      <c r="F34" s="135">
        <v>0</v>
      </c>
      <c r="G34" s="113">
        <v>0</v>
      </c>
      <c r="H34" s="113">
        <v>0</v>
      </c>
      <c r="I34" s="136" t="s">
        <v>531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531</v>
      </c>
      <c r="F35" s="135">
        <v>0</v>
      </c>
      <c r="G35" s="113">
        <v>0</v>
      </c>
      <c r="H35" s="113">
        <v>0</v>
      </c>
      <c r="I35" s="136" t="s">
        <v>531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0</v>
      </c>
      <c r="E36" s="134" t="s">
        <v>531</v>
      </c>
      <c r="F36" s="135">
        <v>0</v>
      </c>
      <c r="G36" s="113">
        <v>0</v>
      </c>
      <c r="H36" s="113">
        <v>0</v>
      </c>
      <c r="I36" s="136" t="s">
        <v>531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531</v>
      </c>
      <c r="F37" s="135">
        <v>0</v>
      </c>
      <c r="G37" s="113">
        <v>0</v>
      </c>
      <c r="H37" s="113">
        <v>0</v>
      </c>
      <c r="I37" s="136" t="s">
        <v>531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213</v>
      </c>
      <c r="B38" s="245">
        <v>0</v>
      </c>
      <c r="C38" s="246">
        <v>0</v>
      </c>
      <c r="D38" s="246">
        <v>0</v>
      </c>
      <c r="E38" s="247" t="s">
        <v>531</v>
      </c>
      <c r="F38" s="248">
        <v>0</v>
      </c>
      <c r="G38" s="246">
        <v>0</v>
      </c>
      <c r="H38" s="246">
        <v>0</v>
      </c>
      <c r="I38" s="249" t="s">
        <v>531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7"/>
      <c r="B40" s="367"/>
      <c r="C40" s="367"/>
      <c r="D40" s="367"/>
      <c r="E40" s="368"/>
      <c r="F40" s="367"/>
      <c r="G40" s="367"/>
      <c r="H40" s="367"/>
      <c r="I40" s="369"/>
      <c r="J40" s="367"/>
      <c r="K40" s="367"/>
      <c r="L40" s="367"/>
      <c r="M40" s="367"/>
    </row>
    <row r="41" spans="1:13" ht="14.4" customHeight="1" x14ac:dyDescent="0.3">
      <c r="A41" s="262" t="s">
        <v>297</v>
      </c>
      <c r="B41" s="367"/>
      <c r="C41" s="367"/>
      <c r="D41" s="367"/>
      <c r="E41" s="368"/>
      <c r="F41" s="367"/>
      <c r="G41" s="367"/>
      <c r="H41" s="367"/>
      <c r="I41" s="369"/>
      <c r="J41" s="367"/>
      <c r="K41" s="367"/>
      <c r="L41" s="367"/>
      <c r="M41" s="367"/>
    </row>
    <row r="42" spans="1:13" ht="14.4" customHeight="1" x14ac:dyDescent="0.25">
      <c r="A42" s="449" t="s">
        <v>293</v>
      </c>
    </row>
    <row r="43" spans="1:13" ht="14.4" customHeight="1" x14ac:dyDescent="0.25">
      <c r="A43" s="450" t="s">
        <v>299</v>
      </c>
    </row>
    <row r="44" spans="1:13" ht="14.4" customHeight="1" x14ac:dyDescent="0.25">
      <c r="A44" s="449" t="s">
        <v>295</v>
      </c>
    </row>
    <row r="45" spans="1:13" ht="14.4" customHeight="1" x14ac:dyDescent="0.25">
      <c r="A45" s="450" t="s">
        <v>296</v>
      </c>
    </row>
    <row r="46" spans="1:13" ht="14.4" customHeight="1" x14ac:dyDescent="0.3">
      <c r="A46" s="243" t="s">
        <v>298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3" t="s">
        <v>336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2"/>
      <c r="C3" s="37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2"/>
      <c r="C4" s="37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2"/>
      <c r="C5" s="37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2"/>
      <c r="C6" s="37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2"/>
      <c r="C7" s="37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2"/>
      <c r="C8" s="37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2"/>
      <c r="C9" s="37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2"/>
      <c r="C10" s="37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2"/>
      <c r="C11" s="37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2"/>
      <c r="C12" s="37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2"/>
      <c r="C13" s="37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2"/>
      <c r="C14" s="37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2"/>
      <c r="C15" s="37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2"/>
      <c r="C16" s="37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2"/>
      <c r="C17" s="37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2"/>
      <c r="C18" s="37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2"/>
      <c r="C19" s="37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2"/>
      <c r="C20" s="37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2"/>
      <c r="C21" s="37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2"/>
      <c r="C22" s="37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2"/>
      <c r="C23" s="37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2"/>
      <c r="C24" s="37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2"/>
      <c r="C25" s="37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2"/>
      <c r="C26" s="37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2"/>
      <c r="C27" s="37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2"/>
      <c r="C28" s="37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2"/>
      <c r="C29" s="37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2"/>
      <c r="C30" s="37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2" t="s">
        <v>83</v>
      </c>
      <c r="C31" s="593"/>
      <c r="D31" s="593"/>
      <c r="E31" s="59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3"/>
      <c r="H32" s="373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117.13</v>
      </c>
      <c r="C33" s="203">
        <v>146</v>
      </c>
      <c r="D33" s="84">
        <f>IF(C33="","",C33-B33)</f>
        <v>28.870000000000005</v>
      </c>
      <c r="E33" s="85">
        <f>IF(C33="","",C33/B33)</f>
        <v>1.2464782720054641</v>
      </c>
      <c r="F33" s="86">
        <v>49.33</v>
      </c>
      <c r="G33" s="373">
        <v>0</v>
      </c>
      <c r="H33" s="374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317.54000000000002</v>
      </c>
      <c r="C34" s="204">
        <v>371</v>
      </c>
      <c r="D34" s="87">
        <f t="shared" ref="D34:D45" si="0">IF(C34="","",C34-B34)</f>
        <v>53.45999999999998</v>
      </c>
      <c r="E34" s="88">
        <f t="shared" ref="E34:E45" si="1">IF(C34="","",C34/B34)</f>
        <v>1.1683567424576431</v>
      </c>
      <c r="F34" s="89">
        <v>107.77</v>
      </c>
      <c r="G34" s="373">
        <v>1</v>
      </c>
      <c r="H34" s="374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520.71</v>
      </c>
      <c r="C35" s="204">
        <v>576</v>
      </c>
      <c r="D35" s="87">
        <f t="shared" si="0"/>
        <v>55.289999999999964</v>
      </c>
      <c r="E35" s="88">
        <f t="shared" si="1"/>
        <v>1.1061819438843117</v>
      </c>
      <c r="F35" s="89">
        <v>153.80000000000001</v>
      </c>
      <c r="G35" s="375"/>
      <c r="H35" s="375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/>
      <c r="C36" s="204"/>
      <c r="D36" s="87" t="str">
        <f t="shared" si="0"/>
        <v/>
      </c>
      <c r="E36" s="88" t="str">
        <f t="shared" si="1"/>
        <v/>
      </c>
      <c r="F36" s="89"/>
      <c r="G36" s="375"/>
      <c r="H36" s="375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/>
      <c r="C37" s="204"/>
      <c r="D37" s="87" t="str">
        <f t="shared" si="0"/>
        <v/>
      </c>
      <c r="E37" s="88" t="str">
        <f t="shared" si="1"/>
        <v/>
      </c>
      <c r="F37" s="89"/>
      <c r="G37" s="375"/>
      <c r="H37" s="375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/>
      <c r="C38" s="204"/>
      <c r="D38" s="87" t="str">
        <f t="shared" si="0"/>
        <v/>
      </c>
      <c r="E38" s="88" t="str">
        <f t="shared" si="1"/>
        <v/>
      </c>
      <c r="F38" s="89"/>
      <c r="G38" s="375"/>
      <c r="H38" s="375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5"/>
      <c r="H39" s="375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5"/>
      <c r="H40" s="375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5"/>
      <c r="H41" s="375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5"/>
      <c r="H42" s="375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5"/>
      <c r="H43" s="375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5"/>
      <c r="H44" s="375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5"/>
      <c r="H45" s="37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9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1" customFormat="1" ht="18.600000000000001" customHeight="1" thickBot="1" x14ac:dyDescent="0.4">
      <c r="A1" s="547" t="s">
        <v>1504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3" t="s">
        <v>336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6"/>
      <c r="Q2" s="376"/>
      <c r="R2" s="376"/>
      <c r="S2" s="377"/>
      <c r="T2" s="377"/>
      <c r="U2" s="377"/>
      <c r="V2" s="376"/>
      <c r="W2" s="378"/>
    </row>
    <row r="3" spans="1:23" s="94" customFormat="1" ht="14.4" customHeight="1" x14ac:dyDescent="0.3">
      <c r="A3" s="601" t="s">
        <v>75</v>
      </c>
      <c r="B3" s="602">
        <v>2013</v>
      </c>
      <c r="C3" s="603"/>
      <c r="D3" s="604"/>
      <c r="E3" s="602">
        <v>2014</v>
      </c>
      <c r="F3" s="603"/>
      <c r="G3" s="604"/>
      <c r="H3" s="602">
        <v>2015</v>
      </c>
      <c r="I3" s="603"/>
      <c r="J3" s="604"/>
      <c r="K3" s="605" t="s">
        <v>76</v>
      </c>
      <c r="L3" s="597" t="s">
        <v>77</v>
      </c>
      <c r="M3" s="597" t="s">
        <v>78</v>
      </c>
      <c r="N3" s="597" t="s">
        <v>79</v>
      </c>
      <c r="O3" s="270" t="s">
        <v>80</v>
      </c>
      <c r="P3" s="598" t="s">
        <v>81</v>
      </c>
      <c r="Q3" s="599" t="s">
        <v>82</v>
      </c>
      <c r="R3" s="600"/>
      <c r="S3" s="595" t="s">
        <v>83</v>
      </c>
      <c r="T3" s="596"/>
      <c r="U3" s="596"/>
      <c r="V3" s="596"/>
      <c r="W3" s="218" t="s">
        <v>83</v>
      </c>
    </row>
    <row r="4" spans="1:23" s="95" customFormat="1" ht="14.4" customHeight="1" thickBot="1" x14ac:dyDescent="0.35">
      <c r="A4" s="837"/>
      <c r="B4" s="838" t="s">
        <v>84</v>
      </c>
      <c r="C4" s="839" t="s">
        <v>72</v>
      </c>
      <c r="D4" s="840" t="s">
        <v>85</v>
      </c>
      <c r="E4" s="838" t="s">
        <v>84</v>
      </c>
      <c r="F4" s="839" t="s">
        <v>72</v>
      </c>
      <c r="G4" s="840" t="s">
        <v>85</v>
      </c>
      <c r="H4" s="838" t="s">
        <v>84</v>
      </c>
      <c r="I4" s="839" t="s">
        <v>72</v>
      </c>
      <c r="J4" s="840" t="s">
        <v>85</v>
      </c>
      <c r="K4" s="841"/>
      <c r="L4" s="842"/>
      <c r="M4" s="842"/>
      <c r="N4" s="842"/>
      <c r="O4" s="843"/>
      <c r="P4" s="844"/>
      <c r="Q4" s="845" t="s">
        <v>73</v>
      </c>
      <c r="R4" s="846" t="s">
        <v>72</v>
      </c>
      <c r="S4" s="847" t="s">
        <v>86</v>
      </c>
      <c r="T4" s="848" t="s">
        <v>87</v>
      </c>
      <c r="U4" s="848" t="s">
        <v>88</v>
      </c>
      <c r="V4" s="849" t="s">
        <v>2</v>
      </c>
      <c r="W4" s="850" t="s">
        <v>89</v>
      </c>
    </row>
    <row r="5" spans="1:23" ht="14.4" customHeight="1" x14ac:dyDescent="0.3">
      <c r="A5" s="878" t="s">
        <v>1493</v>
      </c>
      <c r="B5" s="851"/>
      <c r="C5" s="852"/>
      <c r="D5" s="853"/>
      <c r="E5" s="854">
        <v>1</v>
      </c>
      <c r="F5" s="855">
        <v>0.5</v>
      </c>
      <c r="G5" s="856">
        <v>2</v>
      </c>
      <c r="H5" s="857"/>
      <c r="I5" s="858"/>
      <c r="J5" s="859"/>
      <c r="K5" s="860">
        <v>0.31</v>
      </c>
      <c r="L5" s="857">
        <v>1</v>
      </c>
      <c r="M5" s="857">
        <v>11</v>
      </c>
      <c r="N5" s="861">
        <v>3.66</v>
      </c>
      <c r="O5" s="857" t="s">
        <v>1494</v>
      </c>
      <c r="P5" s="862" t="s">
        <v>1495</v>
      </c>
      <c r="Q5" s="863">
        <f>H5-B5</f>
        <v>0</v>
      </c>
      <c r="R5" s="863">
        <f>I5-C5</f>
        <v>0</v>
      </c>
      <c r="S5" s="851" t="str">
        <f>IF(H5=0,"",H5*N5)</f>
        <v/>
      </c>
      <c r="T5" s="851" t="str">
        <f>IF(H5=0,"",H5*J5)</f>
        <v/>
      </c>
      <c r="U5" s="851" t="str">
        <f>IF(H5=0,"",T5-S5)</f>
        <v/>
      </c>
      <c r="V5" s="864" t="str">
        <f>IF(H5=0,"",T5/S5)</f>
        <v/>
      </c>
      <c r="W5" s="865"/>
    </row>
    <row r="6" spans="1:23" ht="14.4" customHeight="1" x14ac:dyDescent="0.3">
      <c r="A6" s="879" t="s">
        <v>1496</v>
      </c>
      <c r="B6" s="830">
        <v>6</v>
      </c>
      <c r="C6" s="831">
        <v>1.93</v>
      </c>
      <c r="D6" s="832">
        <v>9.8000000000000007</v>
      </c>
      <c r="E6" s="835">
        <v>11</v>
      </c>
      <c r="F6" s="818">
        <v>4.01</v>
      </c>
      <c r="G6" s="819">
        <v>7.4</v>
      </c>
      <c r="H6" s="814">
        <v>21</v>
      </c>
      <c r="I6" s="815">
        <v>7.95</v>
      </c>
      <c r="J6" s="816">
        <v>6</v>
      </c>
      <c r="K6" s="820">
        <v>0.32</v>
      </c>
      <c r="L6" s="817">
        <v>2</v>
      </c>
      <c r="M6" s="817">
        <v>18</v>
      </c>
      <c r="N6" s="821">
        <v>6.06</v>
      </c>
      <c r="O6" s="817" t="s">
        <v>1494</v>
      </c>
      <c r="P6" s="833" t="s">
        <v>1497</v>
      </c>
      <c r="Q6" s="822">
        <f t="shared" ref="Q6:R9" si="0">H6-B6</f>
        <v>15</v>
      </c>
      <c r="R6" s="822">
        <f t="shared" si="0"/>
        <v>6.0200000000000005</v>
      </c>
      <c r="S6" s="830">
        <f>IF(H6=0,"",H6*N6)</f>
        <v>127.25999999999999</v>
      </c>
      <c r="T6" s="830">
        <f>IF(H6=0,"",H6*J6)</f>
        <v>126</v>
      </c>
      <c r="U6" s="830">
        <f>IF(H6=0,"",T6-S6)</f>
        <v>-1.2599999999999909</v>
      </c>
      <c r="V6" s="834">
        <f>IF(H6=0,"",T6/S6)</f>
        <v>0.9900990099009902</v>
      </c>
      <c r="W6" s="823">
        <v>18</v>
      </c>
    </row>
    <row r="7" spans="1:23" ht="14.4" customHeight="1" x14ac:dyDescent="0.3">
      <c r="A7" s="880" t="s">
        <v>1498</v>
      </c>
      <c r="B7" s="866"/>
      <c r="C7" s="867"/>
      <c r="D7" s="836"/>
      <c r="E7" s="868"/>
      <c r="F7" s="869"/>
      <c r="G7" s="824"/>
      <c r="H7" s="870">
        <v>1</v>
      </c>
      <c r="I7" s="871">
        <v>0.48</v>
      </c>
      <c r="J7" s="825">
        <v>8</v>
      </c>
      <c r="K7" s="872">
        <v>0.48</v>
      </c>
      <c r="L7" s="873">
        <v>2</v>
      </c>
      <c r="M7" s="873">
        <v>21</v>
      </c>
      <c r="N7" s="874">
        <v>6.93</v>
      </c>
      <c r="O7" s="873" t="s">
        <v>1494</v>
      </c>
      <c r="P7" s="875" t="s">
        <v>1499</v>
      </c>
      <c r="Q7" s="876">
        <f t="shared" si="0"/>
        <v>1</v>
      </c>
      <c r="R7" s="876">
        <f t="shared" si="0"/>
        <v>0.48</v>
      </c>
      <c r="S7" s="866">
        <f>IF(H7=0,"",H7*N7)</f>
        <v>6.93</v>
      </c>
      <c r="T7" s="866">
        <f>IF(H7=0,"",H7*J7)</f>
        <v>8</v>
      </c>
      <c r="U7" s="866">
        <f>IF(H7=0,"",T7-S7)</f>
        <v>1.0700000000000003</v>
      </c>
      <c r="V7" s="877">
        <f>IF(H7=0,"",T7/S7)</f>
        <v>1.1544011544011545</v>
      </c>
      <c r="W7" s="826">
        <v>1</v>
      </c>
    </row>
    <row r="8" spans="1:23" ht="14.4" customHeight="1" x14ac:dyDescent="0.3">
      <c r="A8" s="879" t="s">
        <v>1500</v>
      </c>
      <c r="B8" s="827">
        <v>27</v>
      </c>
      <c r="C8" s="828">
        <v>45.18</v>
      </c>
      <c r="D8" s="829">
        <v>9.6999999999999993</v>
      </c>
      <c r="E8" s="835">
        <v>18</v>
      </c>
      <c r="F8" s="818">
        <v>28.66</v>
      </c>
      <c r="G8" s="819">
        <v>9.6999999999999993</v>
      </c>
      <c r="H8" s="817">
        <v>20</v>
      </c>
      <c r="I8" s="818">
        <v>33.229999999999997</v>
      </c>
      <c r="J8" s="819">
        <v>9.1999999999999993</v>
      </c>
      <c r="K8" s="820">
        <v>1.52</v>
      </c>
      <c r="L8" s="817">
        <v>4</v>
      </c>
      <c r="M8" s="817">
        <v>39</v>
      </c>
      <c r="N8" s="821">
        <v>13.1</v>
      </c>
      <c r="O8" s="817" t="s">
        <v>1494</v>
      </c>
      <c r="P8" s="833" t="s">
        <v>1501</v>
      </c>
      <c r="Q8" s="822">
        <f t="shared" si="0"/>
        <v>-7</v>
      </c>
      <c r="R8" s="822">
        <f t="shared" si="0"/>
        <v>-11.950000000000003</v>
      </c>
      <c r="S8" s="830">
        <f>IF(H8=0,"",H8*N8)</f>
        <v>262</v>
      </c>
      <c r="T8" s="830">
        <f>IF(H8=0,"",H8*J8)</f>
        <v>184</v>
      </c>
      <c r="U8" s="830">
        <f>IF(H8=0,"",T8-S8)</f>
        <v>-78</v>
      </c>
      <c r="V8" s="834">
        <f>IF(H8=0,"",T8/S8)</f>
        <v>0.70229007633587781</v>
      </c>
      <c r="W8" s="823">
        <v>1</v>
      </c>
    </row>
    <row r="9" spans="1:23" ht="14.4" customHeight="1" thickBot="1" x14ac:dyDescent="0.35">
      <c r="A9" s="881" t="s">
        <v>1502</v>
      </c>
      <c r="B9" s="882">
        <v>55</v>
      </c>
      <c r="C9" s="883">
        <v>18.2</v>
      </c>
      <c r="D9" s="884">
        <v>5.4</v>
      </c>
      <c r="E9" s="885">
        <v>59</v>
      </c>
      <c r="F9" s="886">
        <v>18.010000000000002</v>
      </c>
      <c r="G9" s="887">
        <v>5.9</v>
      </c>
      <c r="H9" s="888">
        <v>44</v>
      </c>
      <c r="I9" s="889">
        <v>14.39</v>
      </c>
      <c r="J9" s="890">
        <v>5.9</v>
      </c>
      <c r="K9" s="891">
        <v>0.26</v>
      </c>
      <c r="L9" s="888">
        <v>1</v>
      </c>
      <c r="M9" s="888">
        <v>9</v>
      </c>
      <c r="N9" s="892">
        <v>2.83</v>
      </c>
      <c r="O9" s="888" t="s">
        <v>1494</v>
      </c>
      <c r="P9" s="893" t="s">
        <v>1503</v>
      </c>
      <c r="Q9" s="894">
        <f t="shared" si="0"/>
        <v>-11</v>
      </c>
      <c r="R9" s="894">
        <f t="shared" si="0"/>
        <v>-3.8099999999999987</v>
      </c>
      <c r="S9" s="882">
        <f>IF(H9=0,"",H9*N9)</f>
        <v>124.52000000000001</v>
      </c>
      <c r="T9" s="882">
        <f>IF(H9=0,"",H9*J9)</f>
        <v>259.60000000000002</v>
      </c>
      <c r="U9" s="882">
        <f>IF(H9=0,"",T9-S9)</f>
        <v>135.08000000000001</v>
      </c>
      <c r="V9" s="895">
        <f>IF(H9=0,"",T9/S9)</f>
        <v>2.0848056537102475</v>
      </c>
      <c r="W9" s="896">
        <v>134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10:Q1048576">
    <cfRule type="cellIs" dxfId="12" priority="9" stopIfTrue="1" operator="lessThan">
      <formula>0</formula>
    </cfRule>
  </conditionalFormatting>
  <conditionalFormatting sqref="U10:U1048576">
    <cfRule type="cellIs" dxfId="11" priority="8" stopIfTrue="1" operator="greaterThan">
      <formula>0</formula>
    </cfRule>
  </conditionalFormatting>
  <conditionalFormatting sqref="V10:V1048576">
    <cfRule type="cellIs" dxfId="10" priority="7" stopIfTrue="1" operator="greaterThan">
      <formula>1</formula>
    </cfRule>
  </conditionalFormatting>
  <conditionalFormatting sqref="V10:V1048576">
    <cfRule type="cellIs" dxfId="9" priority="4" stopIfTrue="1" operator="greaterThan">
      <formula>1</formula>
    </cfRule>
  </conditionalFormatting>
  <conditionalFormatting sqref="U10:U1048576">
    <cfRule type="cellIs" dxfId="8" priority="5" stopIfTrue="1" operator="greaterThan">
      <formula>0</formula>
    </cfRule>
  </conditionalFormatting>
  <conditionalFormatting sqref="Q10:Q1048576">
    <cfRule type="cellIs" dxfId="7" priority="6" stopIfTrue="1" operator="lessThan">
      <formula>0</formula>
    </cfRule>
  </conditionalFormatting>
  <conditionalFormatting sqref="V5:V9">
    <cfRule type="cellIs" dxfId="6" priority="1" stopIfTrue="1" operator="greaterThan">
      <formula>1</formula>
    </cfRule>
  </conditionalFormatting>
  <conditionalFormatting sqref="U5:U9">
    <cfRule type="cellIs" dxfId="5" priority="2" stopIfTrue="1" operator="greaterThan">
      <formula>0</formula>
    </cfRule>
  </conditionalFormatting>
  <conditionalFormatting sqref="Q5:Q9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1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40" customWidth="1"/>
    <col min="14" max="16384" width="8.88671875" style="254"/>
  </cols>
  <sheetData>
    <row r="1" spans="1:13" ht="18.600000000000001" customHeight="1" thickBot="1" x14ac:dyDescent="0.4">
      <c r="A1" s="487" t="s">
        <v>159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3" t="s">
        <v>336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</row>
    <row r="3" spans="1:13" ht="14.4" customHeight="1" thickBot="1" x14ac:dyDescent="0.35">
      <c r="A3" s="350" t="s">
        <v>160</v>
      </c>
      <c r="B3" s="351">
        <f>SUBTOTAL(9,B6:B1048576)</f>
        <v>506722</v>
      </c>
      <c r="C3" s="352">
        <f t="shared" ref="C3:L3" si="0">SUBTOTAL(9,C6:C1048576)</f>
        <v>4</v>
      </c>
      <c r="D3" s="352">
        <f t="shared" si="0"/>
        <v>433640</v>
      </c>
      <c r="E3" s="352">
        <f t="shared" si="0"/>
        <v>3.0397678224269029</v>
      </c>
      <c r="F3" s="352">
        <f t="shared" si="0"/>
        <v>523276</v>
      </c>
      <c r="G3" s="355">
        <f>IF(B3&lt;&gt;0,F3/B3,"")</f>
        <v>1.0326688006441402</v>
      </c>
      <c r="H3" s="351">
        <f t="shared" si="0"/>
        <v>266965.39000000013</v>
      </c>
      <c r="I3" s="352">
        <f t="shared" si="0"/>
        <v>1</v>
      </c>
      <c r="J3" s="352">
        <f t="shared" si="0"/>
        <v>233724.83000000005</v>
      </c>
      <c r="K3" s="352">
        <f t="shared" si="0"/>
        <v>0.87548738059266762</v>
      </c>
      <c r="L3" s="352">
        <f t="shared" si="0"/>
        <v>294279.02</v>
      </c>
      <c r="M3" s="353">
        <f>IF(H3&lt;&gt;0,L3/H3,"")</f>
        <v>1.1023115018767036</v>
      </c>
    </row>
    <row r="4" spans="1:13" ht="14.4" customHeight="1" x14ac:dyDescent="0.3">
      <c r="A4" s="606" t="s">
        <v>118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</row>
    <row r="5" spans="1:13" s="338" customFormat="1" ht="14.4" customHeight="1" thickBot="1" x14ac:dyDescent="0.35">
      <c r="A5" s="897"/>
      <c r="B5" s="898">
        <v>2013</v>
      </c>
      <c r="C5" s="899"/>
      <c r="D5" s="899">
        <v>2014</v>
      </c>
      <c r="E5" s="899"/>
      <c r="F5" s="899">
        <v>2015</v>
      </c>
      <c r="G5" s="786" t="s">
        <v>2</v>
      </c>
      <c r="H5" s="898">
        <v>2013</v>
      </c>
      <c r="I5" s="899"/>
      <c r="J5" s="899">
        <v>2014</v>
      </c>
      <c r="K5" s="899"/>
      <c r="L5" s="899">
        <v>2015</v>
      </c>
      <c r="M5" s="786" t="s">
        <v>2</v>
      </c>
    </row>
    <row r="6" spans="1:13" ht="14.4" customHeight="1" x14ac:dyDescent="0.3">
      <c r="A6" s="748" t="s">
        <v>780</v>
      </c>
      <c r="B6" s="793">
        <v>412304</v>
      </c>
      <c r="C6" s="734">
        <v>1</v>
      </c>
      <c r="D6" s="793">
        <v>339874</v>
      </c>
      <c r="E6" s="734">
        <v>0.8243286507043347</v>
      </c>
      <c r="F6" s="793">
        <v>444517</v>
      </c>
      <c r="G6" s="739">
        <v>1.0781292444409949</v>
      </c>
      <c r="H6" s="793">
        <v>266965.39000000013</v>
      </c>
      <c r="I6" s="734">
        <v>1</v>
      </c>
      <c r="J6" s="793">
        <v>233724.83000000005</v>
      </c>
      <c r="K6" s="734">
        <v>0.87548738059266762</v>
      </c>
      <c r="L6" s="793">
        <v>294279.02</v>
      </c>
      <c r="M6" s="235">
        <v>1.1023115018767036</v>
      </c>
    </row>
    <row r="7" spans="1:13" ht="14.4" customHeight="1" x14ac:dyDescent="0.3">
      <c r="A7" s="687" t="s">
        <v>1433</v>
      </c>
      <c r="B7" s="795">
        <v>4902</v>
      </c>
      <c r="C7" s="661">
        <v>1</v>
      </c>
      <c r="D7" s="795">
        <v>5690</v>
      </c>
      <c r="E7" s="661">
        <v>1.1607507139942881</v>
      </c>
      <c r="F7" s="795">
        <v>4691</v>
      </c>
      <c r="G7" s="677">
        <v>0.95695634434924526</v>
      </c>
      <c r="H7" s="795"/>
      <c r="I7" s="661"/>
      <c r="J7" s="795"/>
      <c r="K7" s="661"/>
      <c r="L7" s="795"/>
      <c r="M7" s="700"/>
    </row>
    <row r="8" spans="1:13" ht="14.4" customHeight="1" x14ac:dyDescent="0.3">
      <c r="A8" s="687" t="s">
        <v>1505</v>
      </c>
      <c r="B8" s="795">
        <v>87174</v>
      </c>
      <c r="C8" s="661">
        <v>1</v>
      </c>
      <c r="D8" s="795">
        <v>85502</v>
      </c>
      <c r="E8" s="661">
        <v>0.98081996925688852</v>
      </c>
      <c r="F8" s="795">
        <v>73948</v>
      </c>
      <c r="G8" s="677">
        <v>0.84828045059306678</v>
      </c>
      <c r="H8" s="795"/>
      <c r="I8" s="661"/>
      <c r="J8" s="795"/>
      <c r="K8" s="661"/>
      <c r="L8" s="795"/>
      <c r="M8" s="700"/>
    </row>
    <row r="9" spans="1:13" ht="14.4" customHeight="1" x14ac:dyDescent="0.3">
      <c r="A9" s="687" t="s">
        <v>1506</v>
      </c>
      <c r="B9" s="795">
        <v>2342</v>
      </c>
      <c r="C9" s="661">
        <v>1</v>
      </c>
      <c r="D9" s="795">
        <v>173</v>
      </c>
      <c r="E9" s="661">
        <v>7.3868488471391977E-2</v>
      </c>
      <c r="F9" s="795"/>
      <c r="G9" s="677"/>
      <c r="H9" s="795"/>
      <c r="I9" s="661"/>
      <c r="J9" s="795"/>
      <c r="K9" s="661"/>
      <c r="L9" s="795"/>
      <c r="M9" s="700"/>
    </row>
    <row r="10" spans="1:13" ht="14.4" customHeight="1" x14ac:dyDescent="0.3">
      <c r="A10" s="687" t="s">
        <v>1507</v>
      </c>
      <c r="B10" s="795"/>
      <c r="C10" s="661"/>
      <c r="D10" s="795"/>
      <c r="E10" s="661"/>
      <c r="F10" s="795">
        <v>120</v>
      </c>
      <c r="G10" s="677"/>
      <c r="H10" s="795"/>
      <c r="I10" s="661"/>
      <c r="J10" s="795"/>
      <c r="K10" s="661"/>
      <c r="L10" s="795"/>
      <c r="M10" s="700"/>
    </row>
    <row r="11" spans="1:13" ht="14.4" customHeight="1" thickBot="1" x14ac:dyDescent="0.35">
      <c r="A11" s="799" t="s">
        <v>1508</v>
      </c>
      <c r="B11" s="797"/>
      <c r="C11" s="667"/>
      <c r="D11" s="797">
        <v>2401</v>
      </c>
      <c r="E11" s="667"/>
      <c r="F11" s="797"/>
      <c r="G11" s="678"/>
      <c r="H11" s="797"/>
      <c r="I11" s="667"/>
      <c r="J11" s="797"/>
      <c r="K11" s="667"/>
      <c r="L11" s="797"/>
      <c r="M11" s="70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176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3" t="s">
        <v>336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2013</v>
      </c>
      <c r="C3" s="44">
        <v>2014</v>
      </c>
      <c r="D3" s="11"/>
      <c r="E3" s="484">
        <v>2015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10458.75836</v>
      </c>
      <c r="C5" s="33">
        <v>9161.930360000013</v>
      </c>
      <c r="D5" s="12"/>
      <c r="E5" s="230">
        <v>9488.4042800000116</v>
      </c>
      <c r="F5" s="32">
        <v>9165.6469812641699</v>
      </c>
      <c r="G5" s="229">
        <f>E5-F5</f>
        <v>322.75729873584169</v>
      </c>
      <c r="H5" s="235">
        <f>IF(F5&lt;0.00000001,"",E5/F5)</f>
        <v>1.0352138042623289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366.92553999999996</v>
      </c>
      <c r="C6" s="35">
        <v>333.51859999999999</v>
      </c>
      <c r="D6" s="12"/>
      <c r="E6" s="231">
        <v>364.13202999999999</v>
      </c>
      <c r="F6" s="34">
        <v>377.94029559579496</v>
      </c>
      <c r="G6" s="232">
        <f>E6-F6</f>
        <v>-13.808265595794978</v>
      </c>
      <c r="H6" s="236">
        <f>IF(F6&lt;0.00000001,"",E6/F6)</f>
        <v>0.96346442610987726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5468.6550099999995</v>
      </c>
      <c r="C7" s="35">
        <v>5482.7169600000088</v>
      </c>
      <c r="D7" s="12"/>
      <c r="E7" s="231">
        <v>5807.0342000000055</v>
      </c>
      <c r="F7" s="34">
        <v>5851.9998156761831</v>
      </c>
      <c r="G7" s="232">
        <f>E7-F7</f>
        <v>-44.965615676177549</v>
      </c>
      <c r="H7" s="236">
        <f>IF(F7&lt;0.00000001,"",E7/F7)</f>
        <v>0.99231619666908999</v>
      </c>
    </row>
    <row r="8" spans="1:8" ht="14.4" customHeight="1" thickBot="1" x14ac:dyDescent="0.35">
      <c r="A8" s="1" t="s">
        <v>97</v>
      </c>
      <c r="B8" s="15">
        <v>4778.8890400000018</v>
      </c>
      <c r="C8" s="37">
        <v>4907.3622600000117</v>
      </c>
      <c r="D8" s="12"/>
      <c r="E8" s="233">
        <v>3175.0089999999973</v>
      </c>
      <c r="F8" s="36">
        <v>3562.5734303447871</v>
      </c>
      <c r="G8" s="234">
        <f>E8-F8</f>
        <v>-387.5644303447898</v>
      </c>
      <c r="H8" s="237">
        <f>IF(F8&lt;0.00000001,"",E8/F8)</f>
        <v>0.89121222680109613</v>
      </c>
    </row>
    <row r="9" spans="1:8" ht="14.4" customHeight="1" thickBot="1" x14ac:dyDescent="0.35">
      <c r="A9" s="2" t="s">
        <v>98</v>
      </c>
      <c r="B9" s="3">
        <v>21073.22795</v>
      </c>
      <c r="C9" s="39">
        <v>19885.528180000034</v>
      </c>
      <c r="D9" s="12"/>
      <c r="E9" s="3">
        <v>18834.579510000014</v>
      </c>
      <c r="F9" s="38">
        <v>18958.160522880935</v>
      </c>
      <c r="G9" s="38">
        <f>E9-F9</f>
        <v>-123.58101288092075</v>
      </c>
      <c r="H9" s="238">
        <f>IF(F9&lt;0.00000001,"",E9/F9)</f>
        <v>0.99348138165979927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15533.13</v>
      </c>
      <c r="C11" s="33">
        <f>IF(ISERROR(VLOOKUP("Celkem:",'ZV Vykáz.-A'!A:F,4,0)),0,VLOOKUP("Celkem:",'ZV Vykáz.-A'!A:F,4,0)/1000)</f>
        <v>16139.995999999999</v>
      </c>
      <c r="D11" s="12"/>
      <c r="E11" s="230">
        <f>IF(ISERROR(VLOOKUP("Celkem:",'ZV Vykáz.-A'!A:F,6,0)),0,VLOOKUP("Celkem:",'ZV Vykáz.-A'!A:F,6,0)/1000)</f>
        <v>16551.374</v>
      </c>
      <c r="F11" s="32">
        <f>B11</f>
        <v>15533.13</v>
      </c>
      <c r="G11" s="229">
        <f>E11-F11</f>
        <v>1018.2440000000006</v>
      </c>
      <c r="H11" s="235">
        <f>IF(F11&lt;0.00000001,"",E11/F11)</f>
        <v>1.0655530469390264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1959.3000000000002</v>
      </c>
      <c r="C12" s="37">
        <f>IF(ISERROR(VLOOKUP("Celkem",CaseMix!A:D,3,0)),0,VLOOKUP("Celkem",CaseMix!A:D,3,0)*30)</f>
        <v>1535.7900000000002</v>
      </c>
      <c r="D12" s="12"/>
      <c r="E12" s="233">
        <f>IF(ISERROR(VLOOKUP("Celkem",CaseMix!A:D,4,0)),0,VLOOKUP("Celkem",CaseMix!A:D,4,0)*30)</f>
        <v>1681.92</v>
      </c>
      <c r="F12" s="36">
        <f>B12</f>
        <v>1959.3000000000002</v>
      </c>
      <c r="G12" s="234">
        <f>E12-F12</f>
        <v>-277.38000000000011</v>
      </c>
      <c r="H12" s="237">
        <f>IF(F12&lt;0.00000001,"",E12/F12)</f>
        <v>0.85842903077629762</v>
      </c>
    </row>
    <row r="13" spans="1:8" ht="14.4" customHeight="1" thickBot="1" x14ac:dyDescent="0.35">
      <c r="A13" s="4" t="s">
        <v>101</v>
      </c>
      <c r="B13" s="9">
        <f>SUM(B11:B12)</f>
        <v>17492.43</v>
      </c>
      <c r="C13" s="41">
        <f>SUM(C11:C12)</f>
        <v>17675.786</v>
      </c>
      <c r="D13" s="12"/>
      <c r="E13" s="9">
        <f>SUM(E11:E12)</f>
        <v>18233.294000000002</v>
      </c>
      <c r="F13" s="40">
        <f>SUM(F11:F12)</f>
        <v>17492.43</v>
      </c>
      <c r="G13" s="40">
        <f>E13-F13</f>
        <v>740.8640000000014</v>
      </c>
      <c r="H13" s="239">
        <f>IF(F13&lt;0.00000001,"",E13/F13)</f>
        <v>1.0423534065878783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0.83007833643255402</v>
      </c>
      <c r="C15" s="43">
        <f>IF(C9=0,"",C13/C9)</f>
        <v>0.8888768676397294</v>
      </c>
      <c r="D15" s="12"/>
      <c r="E15" s="10">
        <f>IF(E9=0,"",E13/E9)</f>
        <v>0.96807544815742941</v>
      </c>
      <c r="F15" s="42">
        <f>IF(F9=0,"",F13/F9)</f>
        <v>0.92268603691207707</v>
      </c>
      <c r="G15" s="42">
        <f>IF(ISERROR(F15-E15),"",E15-F15)</f>
        <v>4.538941124535234E-2</v>
      </c>
      <c r="H15" s="240">
        <f>IF(ISERROR(F15-E15),"",IF(F15&lt;0.00000001,"",E15/F15))</f>
        <v>1.049192693320965</v>
      </c>
    </row>
    <row r="17" spans="1:8" ht="14.4" customHeight="1" x14ac:dyDescent="0.3">
      <c r="A17" s="226" t="s">
        <v>203</v>
      </c>
    </row>
    <row r="18" spans="1:8" ht="14.4" customHeight="1" x14ac:dyDescent="0.3">
      <c r="A18" s="436" t="s">
        <v>250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249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27" t="s">
        <v>311</v>
      </c>
    </row>
    <row r="21" spans="1:8" ht="14.4" customHeight="1" x14ac:dyDescent="0.3">
      <c r="A21" s="227" t="s">
        <v>204</v>
      </c>
    </row>
    <row r="22" spans="1:8" ht="14.4" customHeight="1" x14ac:dyDescent="0.3">
      <c r="A22" s="228" t="s">
        <v>205</v>
      </c>
    </row>
    <row r="23" spans="1:8" ht="14.4" customHeight="1" x14ac:dyDescent="0.3">
      <c r="A23" s="228" t="s">
        <v>206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6" priority="4" operator="greaterThan">
      <formula>0</formula>
    </cfRule>
  </conditionalFormatting>
  <conditionalFormatting sqref="G11:G13 G15">
    <cfRule type="cellIs" dxfId="75" priority="3" operator="lessThan">
      <formula>0</formula>
    </cfRule>
  </conditionalFormatting>
  <conditionalFormatting sqref="H5:H9">
    <cfRule type="cellIs" dxfId="74" priority="2" operator="greaterThan">
      <formula>1</formula>
    </cfRule>
  </conditionalFormatting>
  <conditionalFormatting sqref="H11:H13 H15">
    <cfRule type="cellIs" dxfId="7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65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87" t="s">
        <v>1597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336</v>
      </c>
      <c r="B2" s="224"/>
      <c r="C2" s="224"/>
      <c r="D2" s="224"/>
      <c r="E2" s="224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57"/>
      <c r="Q2" s="360"/>
    </row>
    <row r="3" spans="1:17" ht="14.4" customHeight="1" thickBot="1" x14ac:dyDescent="0.35">
      <c r="E3" s="112" t="s">
        <v>160</v>
      </c>
      <c r="F3" s="211">
        <f t="shared" ref="F3:O3" si="0">SUBTOTAL(9,F6:F1048576)</f>
        <v>13608.73</v>
      </c>
      <c r="G3" s="215">
        <f t="shared" si="0"/>
        <v>773687.39</v>
      </c>
      <c r="H3" s="216"/>
      <c r="I3" s="216"/>
      <c r="J3" s="211">
        <f t="shared" si="0"/>
        <v>11721.61</v>
      </c>
      <c r="K3" s="215">
        <f t="shared" si="0"/>
        <v>667364.83000000007</v>
      </c>
      <c r="L3" s="216"/>
      <c r="M3" s="216"/>
      <c r="N3" s="211">
        <f t="shared" si="0"/>
        <v>10903.130000000001</v>
      </c>
      <c r="O3" s="215">
        <f t="shared" si="0"/>
        <v>817555.02</v>
      </c>
      <c r="P3" s="181">
        <f>IF(G3=0,"",O3/G3)</f>
        <v>1.0566994248154931</v>
      </c>
      <c r="Q3" s="213">
        <f>IF(N3=0,"",O3/N3)</f>
        <v>74.983515742727079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90</v>
      </c>
      <c r="E4" s="562" t="s">
        <v>11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801"/>
      <c r="B5" s="800"/>
      <c r="C5" s="801"/>
      <c r="D5" s="809"/>
      <c r="E5" s="803"/>
      <c r="F5" s="810" t="s">
        <v>91</v>
      </c>
      <c r="G5" s="811" t="s">
        <v>14</v>
      </c>
      <c r="H5" s="812"/>
      <c r="I5" s="812"/>
      <c r="J5" s="810" t="s">
        <v>91</v>
      </c>
      <c r="K5" s="811" t="s">
        <v>14</v>
      </c>
      <c r="L5" s="812"/>
      <c r="M5" s="812"/>
      <c r="N5" s="810" t="s">
        <v>91</v>
      </c>
      <c r="O5" s="811" t="s">
        <v>14</v>
      </c>
      <c r="P5" s="813"/>
      <c r="Q5" s="808"/>
    </row>
    <row r="6" spans="1:17" ht="14.4" customHeight="1" x14ac:dyDescent="0.3">
      <c r="A6" s="733" t="s">
        <v>529</v>
      </c>
      <c r="B6" s="734" t="s">
        <v>1256</v>
      </c>
      <c r="C6" s="734" t="s">
        <v>1257</v>
      </c>
      <c r="D6" s="734" t="s">
        <v>1258</v>
      </c>
      <c r="E6" s="734" t="s">
        <v>732</v>
      </c>
      <c r="F6" s="229"/>
      <c r="G6" s="229"/>
      <c r="H6" s="229"/>
      <c r="I6" s="229"/>
      <c r="J6" s="229"/>
      <c r="K6" s="229"/>
      <c r="L6" s="229"/>
      <c r="M6" s="229"/>
      <c r="N6" s="229">
        <v>0.75</v>
      </c>
      <c r="O6" s="229">
        <v>1427</v>
      </c>
      <c r="P6" s="739"/>
      <c r="Q6" s="747">
        <v>1902.6666666666667</v>
      </c>
    </row>
    <row r="7" spans="1:17" ht="14.4" customHeight="1" x14ac:dyDescent="0.3">
      <c r="A7" s="660" t="s">
        <v>529</v>
      </c>
      <c r="B7" s="661" t="s">
        <v>1256</v>
      </c>
      <c r="C7" s="661" t="s">
        <v>1257</v>
      </c>
      <c r="D7" s="661" t="s">
        <v>1262</v>
      </c>
      <c r="E7" s="661" t="s">
        <v>1248</v>
      </c>
      <c r="F7" s="664">
        <v>0.2</v>
      </c>
      <c r="G7" s="664">
        <v>218.43</v>
      </c>
      <c r="H7" s="664">
        <v>1</v>
      </c>
      <c r="I7" s="664">
        <v>1092.1499999999999</v>
      </c>
      <c r="J7" s="664"/>
      <c r="K7" s="664"/>
      <c r="L7" s="664"/>
      <c r="M7" s="664"/>
      <c r="N7" s="664"/>
      <c r="O7" s="664"/>
      <c r="P7" s="677"/>
      <c r="Q7" s="665"/>
    </row>
    <row r="8" spans="1:17" ht="14.4" customHeight="1" x14ac:dyDescent="0.3">
      <c r="A8" s="660" t="s">
        <v>529</v>
      </c>
      <c r="B8" s="661" t="s">
        <v>1256</v>
      </c>
      <c r="C8" s="661" t="s">
        <v>1257</v>
      </c>
      <c r="D8" s="661" t="s">
        <v>1263</v>
      </c>
      <c r="E8" s="661" t="s">
        <v>743</v>
      </c>
      <c r="F8" s="664">
        <v>2.0499999999999998</v>
      </c>
      <c r="G8" s="664">
        <v>4477.8500000000004</v>
      </c>
      <c r="H8" s="664">
        <v>1</v>
      </c>
      <c r="I8" s="664">
        <v>2184.3170731707319</v>
      </c>
      <c r="J8" s="664">
        <v>1.45</v>
      </c>
      <c r="K8" s="664">
        <v>3167.26</v>
      </c>
      <c r="L8" s="664">
        <v>0.70731712763938048</v>
      </c>
      <c r="M8" s="664">
        <v>2184.3172413793104</v>
      </c>
      <c r="N8" s="664">
        <v>3.3499999999999996</v>
      </c>
      <c r="O8" s="664">
        <v>5932.18</v>
      </c>
      <c r="P8" s="677">
        <v>1.3247830990319014</v>
      </c>
      <c r="Q8" s="665">
        <v>1770.8000000000002</v>
      </c>
    </row>
    <row r="9" spans="1:17" ht="14.4" customHeight="1" x14ac:dyDescent="0.3">
      <c r="A9" s="660" t="s">
        <v>529</v>
      </c>
      <c r="B9" s="661" t="s">
        <v>1256</v>
      </c>
      <c r="C9" s="661" t="s">
        <v>1257</v>
      </c>
      <c r="D9" s="661" t="s">
        <v>1264</v>
      </c>
      <c r="E9" s="661" t="s">
        <v>736</v>
      </c>
      <c r="F9" s="664">
        <v>0.3</v>
      </c>
      <c r="G9" s="664">
        <v>283.44</v>
      </c>
      <c r="H9" s="664">
        <v>1</v>
      </c>
      <c r="I9" s="664">
        <v>944.80000000000007</v>
      </c>
      <c r="J9" s="664">
        <v>0.15000000000000002</v>
      </c>
      <c r="K9" s="664">
        <v>141.72</v>
      </c>
      <c r="L9" s="664">
        <v>0.5</v>
      </c>
      <c r="M9" s="664">
        <v>944.79999999999984</v>
      </c>
      <c r="N9" s="664">
        <v>0.44999999999999996</v>
      </c>
      <c r="O9" s="664">
        <v>406.71</v>
      </c>
      <c r="P9" s="677">
        <v>1.4349068585944114</v>
      </c>
      <c r="Q9" s="665">
        <v>903.80000000000007</v>
      </c>
    </row>
    <row r="10" spans="1:17" ht="14.4" customHeight="1" x14ac:dyDescent="0.3">
      <c r="A10" s="660" t="s">
        <v>529</v>
      </c>
      <c r="B10" s="661" t="s">
        <v>1256</v>
      </c>
      <c r="C10" s="661" t="s">
        <v>1268</v>
      </c>
      <c r="D10" s="661" t="s">
        <v>1271</v>
      </c>
      <c r="E10" s="661" t="s">
        <v>1272</v>
      </c>
      <c r="F10" s="664">
        <v>5290</v>
      </c>
      <c r="G10" s="664">
        <v>10086.6</v>
      </c>
      <c r="H10" s="664">
        <v>1</v>
      </c>
      <c r="I10" s="664">
        <v>1.9067296786389414</v>
      </c>
      <c r="J10" s="664">
        <v>4460</v>
      </c>
      <c r="K10" s="664">
        <v>8920</v>
      </c>
      <c r="L10" s="664">
        <v>0.88434160172902665</v>
      </c>
      <c r="M10" s="664">
        <v>2</v>
      </c>
      <c r="N10" s="664">
        <v>2170</v>
      </c>
      <c r="O10" s="664">
        <v>4578.7</v>
      </c>
      <c r="P10" s="677">
        <v>0.45393888921936032</v>
      </c>
      <c r="Q10" s="665">
        <v>2.11</v>
      </c>
    </row>
    <row r="11" spans="1:17" ht="14.4" customHeight="1" x14ac:dyDescent="0.3">
      <c r="A11" s="660" t="s">
        <v>529</v>
      </c>
      <c r="B11" s="661" t="s">
        <v>1256</v>
      </c>
      <c r="C11" s="661" t="s">
        <v>1268</v>
      </c>
      <c r="D11" s="661" t="s">
        <v>1289</v>
      </c>
      <c r="E11" s="661" t="s">
        <v>1290</v>
      </c>
      <c r="F11" s="664">
        <v>3775.18</v>
      </c>
      <c r="G11" s="664">
        <v>131313.44</v>
      </c>
      <c r="H11" s="664">
        <v>1</v>
      </c>
      <c r="I11" s="664">
        <v>34.78335867428838</v>
      </c>
      <c r="J11" s="664">
        <v>4367.01</v>
      </c>
      <c r="K11" s="664">
        <v>167169.19000000003</v>
      </c>
      <c r="L11" s="664">
        <v>1.2730546850345252</v>
      </c>
      <c r="M11" s="664">
        <v>38.2800108083105</v>
      </c>
      <c r="N11" s="664">
        <v>4144.58</v>
      </c>
      <c r="O11" s="664">
        <v>150779.94999999998</v>
      </c>
      <c r="P11" s="677">
        <v>1.1482446122803573</v>
      </c>
      <c r="Q11" s="665">
        <v>36.38003126975471</v>
      </c>
    </row>
    <row r="12" spans="1:17" ht="14.4" customHeight="1" x14ac:dyDescent="0.3">
      <c r="A12" s="660" t="s">
        <v>529</v>
      </c>
      <c r="B12" s="661" t="s">
        <v>1256</v>
      </c>
      <c r="C12" s="661" t="s">
        <v>1268</v>
      </c>
      <c r="D12" s="661" t="s">
        <v>1309</v>
      </c>
      <c r="E12" s="661" t="s">
        <v>1310</v>
      </c>
      <c r="F12" s="664">
        <v>3629</v>
      </c>
      <c r="G12" s="664">
        <v>120585.63</v>
      </c>
      <c r="H12" s="664">
        <v>1</v>
      </c>
      <c r="I12" s="664">
        <v>33.22833562965004</v>
      </c>
      <c r="J12" s="664">
        <v>1289</v>
      </c>
      <c r="K12" s="664">
        <v>42923.7</v>
      </c>
      <c r="L12" s="664">
        <v>0.35596032462574517</v>
      </c>
      <c r="M12" s="664">
        <v>33.299999999999997</v>
      </c>
      <c r="N12" s="664">
        <v>3672</v>
      </c>
      <c r="O12" s="664">
        <v>123195.6</v>
      </c>
      <c r="P12" s="677">
        <v>1.0216441212771372</v>
      </c>
      <c r="Q12" s="665">
        <v>33.550000000000004</v>
      </c>
    </row>
    <row r="13" spans="1:17" ht="14.4" customHeight="1" x14ac:dyDescent="0.3">
      <c r="A13" s="660" t="s">
        <v>529</v>
      </c>
      <c r="B13" s="661" t="s">
        <v>1256</v>
      </c>
      <c r="C13" s="661" t="s">
        <v>1268</v>
      </c>
      <c r="D13" s="661" t="s">
        <v>1267</v>
      </c>
      <c r="E13" s="661" t="s">
        <v>1248</v>
      </c>
      <c r="F13" s="664"/>
      <c r="G13" s="664"/>
      <c r="H13" s="664"/>
      <c r="I13" s="664"/>
      <c r="J13" s="664">
        <v>700</v>
      </c>
      <c r="K13" s="664">
        <v>8750</v>
      </c>
      <c r="L13" s="664"/>
      <c r="M13" s="664">
        <v>12.5</v>
      </c>
      <c r="N13" s="664"/>
      <c r="O13" s="664"/>
      <c r="P13" s="677"/>
      <c r="Q13" s="665"/>
    </row>
    <row r="14" spans="1:17" ht="14.4" customHeight="1" x14ac:dyDescent="0.3">
      <c r="A14" s="660" t="s">
        <v>529</v>
      </c>
      <c r="B14" s="661" t="s">
        <v>1256</v>
      </c>
      <c r="C14" s="661" t="s">
        <v>1324</v>
      </c>
      <c r="D14" s="661" t="s">
        <v>1325</v>
      </c>
      <c r="E14" s="661" t="s">
        <v>1326</v>
      </c>
      <c r="F14" s="664"/>
      <c r="G14" s="664"/>
      <c r="H14" s="664"/>
      <c r="I14" s="664"/>
      <c r="J14" s="664">
        <v>3</v>
      </c>
      <c r="K14" s="664">
        <v>2652.96</v>
      </c>
      <c r="L14" s="664"/>
      <c r="M14" s="664">
        <v>884.32</v>
      </c>
      <c r="N14" s="664">
        <v>9</v>
      </c>
      <c r="O14" s="664">
        <v>7958.8799999999992</v>
      </c>
      <c r="P14" s="677"/>
      <c r="Q14" s="665">
        <v>884.31999999999994</v>
      </c>
    </row>
    <row r="15" spans="1:17" ht="14.4" customHeight="1" x14ac:dyDescent="0.3">
      <c r="A15" s="660" t="s">
        <v>529</v>
      </c>
      <c r="B15" s="661" t="s">
        <v>1256</v>
      </c>
      <c r="C15" s="661" t="s">
        <v>1327</v>
      </c>
      <c r="D15" s="661" t="s">
        <v>1361</v>
      </c>
      <c r="E15" s="661" t="s">
        <v>1362</v>
      </c>
      <c r="F15" s="664">
        <v>20</v>
      </c>
      <c r="G15" s="664">
        <v>35080</v>
      </c>
      <c r="H15" s="664">
        <v>1</v>
      </c>
      <c r="I15" s="664">
        <v>1754</v>
      </c>
      <c r="J15" s="664">
        <v>16</v>
      </c>
      <c r="K15" s="664">
        <v>28064</v>
      </c>
      <c r="L15" s="664">
        <v>0.8</v>
      </c>
      <c r="M15" s="664">
        <v>1754</v>
      </c>
      <c r="N15" s="664">
        <v>36</v>
      </c>
      <c r="O15" s="664">
        <v>63432</v>
      </c>
      <c r="P15" s="677">
        <v>1.8082098061573546</v>
      </c>
      <c r="Q15" s="665">
        <v>1762</v>
      </c>
    </row>
    <row r="16" spans="1:17" ht="14.4" customHeight="1" x14ac:dyDescent="0.3">
      <c r="A16" s="660" t="s">
        <v>529</v>
      </c>
      <c r="B16" s="661" t="s">
        <v>1256</v>
      </c>
      <c r="C16" s="661" t="s">
        <v>1327</v>
      </c>
      <c r="D16" s="661" t="s">
        <v>1369</v>
      </c>
      <c r="E16" s="661" t="s">
        <v>1370</v>
      </c>
      <c r="F16" s="664">
        <v>8</v>
      </c>
      <c r="G16" s="664">
        <v>114624</v>
      </c>
      <c r="H16" s="664">
        <v>1</v>
      </c>
      <c r="I16" s="664">
        <v>14328</v>
      </c>
      <c r="J16" s="664">
        <v>3</v>
      </c>
      <c r="K16" s="664">
        <v>42984</v>
      </c>
      <c r="L16" s="664">
        <v>0.375</v>
      </c>
      <c r="M16" s="664">
        <v>14328</v>
      </c>
      <c r="N16" s="664">
        <v>9</v>
      </c>
      <c r="O16" s="664">
        <v>129060</v>
      </c>
      <c r="P16" s="677">
        <v>1.1259422110552764</v>
      </c>
      <c r="Q16" s="665">
        <v>14340</v>
      </c>
    </row>
    <row r="17" spans="1:17" ht="14.4" customHeight="1" x14ac:dyDescent="0.3">
      <c r="A17" s="660" t="s">
        <v>529</v>
      </c>
      <c r="B17" s="661" t="s">
        <v>1256</v>
      </c>
      <c r="C17" s="661" t="s">
        <v>1327</v>
      </c>
      <c r="D17" s="661" t="s">
        <v>1381</v>
      </c>
      <c r="E17" s="661" t="s">
        <v>1382</v>
      </c>
      <c r="F17" s="664">
        <v>69</v>
      </c>
      <c r="G17" s="664">
        <v>134481</v>
      </c>
      <c r="H17" s="664">
        <v>1</v>
      </c>
      <c r="I17" s="664">
        <v>1949</v>
      </c>
      <c r="J17" s="664">
        <v>77</v>
      </c>
      <c r="K17" s="664">
        <v>150073</v>
      </c>
      <c r="L17" s="664">
        <v>1.1159420289855073</v>
      </c>
      <c r="M17" s="664">
        <v>1949</v>
      </c>
      <c r="N17" s="664">
        <v>69</v>
      </c>
      <c r="O17" s="664">
        <v>135585</v>
      </c>
      <c r="P17" s="677">
        <v>1.008209338122114</v>
      </c>
      <c r="Q17" s="665">
        <v>1965</v>
      </c>
    </row>
    <row r="18" spans="1:17" ht="14.4" customHeight="1" x14ac:dyDescent="0.3">
      <c r="A18" s="660" t="s">
        <v>529</v>
      </c>
      <c r="B18" s="661" t="s">
        <v>1256</v>
      </c>
      <c r="C18" s="661" t="s">
        <v>1327</v>
      </c>
      <c r="D18" s="661" t="s">
        <v>1383</v>
      </c>
      <c r="E18" s="661" t="s">
        <v>1384</v>
      </c>
      <c r="F18" s="664">
        <v>54</v>
      </c>
      <c r="G18" s="664">
        <v>22572</v>
      </c>
      <c r="H18" s="664">
        <v>1</v>
      </c>
      <c r="I18" s="664">
        <v>418</v>
      </c>
      <c r="J18" s="664">
        <v>41</v>
      </c>
      <c r="K18" s="664">
        <v>17138</v>
      </c>
      <c r="L18" s="664">
        <v>0.7592592592592593</v>
      </c>
      <c r="M18" s="664">
        <v>418</v>
      </c>
      <c r="N18" s="664">
        <v>32</v>
      </c>
      <c r="O18" s="664">
        <v>13472</v>
      </c>
      <c r="P18" s="677">
        <v>0.5968456494772284</v>
      </c>
      <c r="Q18" s="665">
        <v>421</v>
      </c>
    </row>
    <row r="19" spans="1:17" ht="14.4" customHeight="1" x14ac:dyDescent="0.3">
      <c r="A19" s="660" t="s">
        <v>529</v>
      </c>
      <c r="B19" s="661" t="s">
        <v>1256</v>
      </c>
      <c r="C19" s="661" t="s">
        <v>1327</v>
      </c>
      <c r="D19" s="661" t="s">
        <v>1391</v>
      </c>
      <c r="E19" s="661" t="s">
        <v>1392</v>
      </c>
      <c r="F19" s="664"/>
      <c r="G19" s="664"/>
      <c r="H19" s="664"/>
      <c r="I19" s="664"/>
      <c r="J19" s="664">
        <v>1</v>
      </c>
      <c r="K19" s="664">
        <v>2535</v>
      </c>
      <c r="L19" s="664"/>
      <c r="M19" s="664">
        <v>2535</v>
      </c>
      <c r="N19" s="664"/>
      <c r="O19" s="664"/>
      <c r="P19" s="677"/>
      <c r="Q19" s="665"/>
    </row>
    <row r="20" spans="1:17" ht="14.4" customHeight="1" x14ac:dyDescent="0.3">
      <c r="A20" s="660" t="s">
        <v>529</v>
      </c>
      <c r="B20" s="661" t="s">
        <v>1256</v>
      </c>
      <c r="C20" s="661" t="s">
        <v>1327</v>
      </c>
      <c r="D20" s="661" t="s">
        <v>1397</v>
      </c>
      <c r="E20" s="661" t="s">
        <v>1398</v>
      </c>
      <c r="F20" s="664">
        <v>5</v>
      </c>
      <c r="G20" s="664">
        <v>4910</v>
      </c>
      <c r="H20" s="664">
        <v>1</v>
      </c>
      <c r="I20" s="664">
        <v>982</v>
      </c>
      <c r="J20" s="664">
        <v>5</v>
      </c>
      <c r="K20" s="664">
        <v>4910</v>
      </c>
      <c r="L20" s="664">
        <v>1</v>
      </c>
      <c r="M20" s="664">
        <v>982</v>
      </c>
      <c r="N20" s="664">
        <v>3</v>
      </c>
      <c r="O20" s="664">
        <v>3027</v>
      </c>
      <c r="P20" s="677">
        <v>0.61649694501018326</v>
      </c>
      <c r="Q20" s="665">
        <v>1009</v>
      </c>
    </row>
    <row r="21" spans="1:17" ht="14.4" customHeight="1" x14ac:dyDescent="0.3">
      <c r="A21" s="660" t="s">
        <v>529</v>
      </c>
      <c r="B21" s="661" t="s">
        <v>1458</v>
      </c>
      <c r="C21" s="661" t="s">
        <v>1327</v>
      </c>
      <c r="D21" s="661" t="s">
        <v>1467</v>
      </c>
      <c r="E21" s="661" t="s">
        <v>1468</v>
      </c>
      <c r="F21" s="664">
        <v>17</v>
      </c>
      <c r="G21" s="664">
        <v>10914</v>
      </c>
      <c r="H21" s="664">
        <v>1</v>
      </c>
      <c r="I21" s="664">
        <v>642</v>
      </c>
      <c r="J21" s="664">
        <v>17</v>
      </c>
      <c r="K21" s="664">
        <v>10914</v>
      </c>
      <c r="L21" s="664">
        <v>1</v>
      </c>
      <c r="M21" s="664">
        <v>642</v>
      </c>
      <c r="N21" s="664">
        <v>9</v>
      </c>
      <c r="O21" s="664">
        <v>5850</v>
      </c>
      <c r="P21" s="677">
        <v>0.5360087960417812</v>
      </c>
      <c r="Q21" s="665">
        <v>650</v>
      </c>
    </row>
    <row r="22" spans="1:17" ht="14.4" customHeight="1" x14ac:dyDescent="0.3">
      <c r="A22" s="660" t="s">
        <v>529</v>
      </c>
      <c r="B22" s="661" t="s">
        <v>1458</v>
      </c>
      <c r="C22" s="661" t="s">
        <v>1327</v>
      </c>
      <c r="D22" s="661" t="s">
        <v>1393</v>
      </c>
      <c r="E22" s="661" t="s">
        <v>1394</v>
      </c>
      <c r="F22" s="664">
        <v>92</v>
      </c>
      <c r="G22" s="664">
        <v>30084</v>
      </c>
      <c r="H22" s="664">
        <v>1</v>
      </c>
      <c r="I22" s="664">
        <v>327</v>
      </c>
      <c r="J22" s="664">
        <v>83</v>
      </c>
      <c r="K22" s="664">
        <v>27141</v>
      </c>
      <c r="L22" s="664">
        <v>0.90217391304347827</v>
      </c>
      <c r="M22" s="664">
        <v>327</v>
      </c>
      <c r="N22" s="664">
        <v>92</v>
      </c>
      <c r="O22" s="664">
        <v>30452</v>
      </c>
      <c r="P22" s="677">
        <v>1.0122324159021407</v>
      </c>
      <c r="Q22" s="665">
        <v>331</v>
      </c>
    </row>
    <row r="23" spans="1:17" ht="14.4" customHeight="1" x14ac:dyDescent="0.3">
      <c r="A23" s="660" t="s">
        <v>529</v>
      </c>
      <c r="B23" s="661" t="s">
        <v>1458</v>
      </c>
      <c r="C23" s="661" t="s">
        <v>1327</v>
      </c>
      <c r="D23" s="661" t="s">
        <v>1477</v>
      </c>
      <c r="E23" s="661" t="s">
        <v>1478</v>
      </c>
      <c r="F23" s="664">
        <v>7</v>
      </c>
      <c r="G23" s="664">
        <v>2261</v>
      </c>
      <c r="H23" s="664">
        <v>1</v>
      </c>
      <c r="I23" s="664">
        <v>323</v>
      </c>
      <c r="J23" s="664">
        <v>6</v>
      </c>
      <c r="K23" s="664">
        <v>1938</v>
      </c>
      <c r="L23" s="664">
        <v>0.8571428571428571</v>
      </c>
      <c r="M23" s="664">
        <v>323</v>
      </c>
      <c r="N23" s="664">
        <v>9</v>
      </c>
      <c r="O23" s="664">
        <v>2943</v>
      </c>
      <c r="P23" s="677">
        <v>1.3016364440513046</v>
      </c>
      <c r="Q23" s="665">
        <v>327</v>
      </c>
    </row>
    <row r="24" spans="1:17" ht="14.4" customHeight="1" x14ac:dyDescent="0.3">
      <c r="A24" s="660" t="s">
        <v>529</v>
      </c>
      <c r="B24" s="661" t="s">
        <v>1458</v>
      </c>
      <c r="C24" s="661" t="s">
        <v>1327</v>
      </c>
      <c r="D24" s="661" t="s">
        <v>1479</v>
      </c>
      <c r="E24" s="661" t="s">
        <v>1480</v>
      </c>
      <c r="F24" s="664">
        <v>80</v>
      </c>
      <c r="G24" s="664">
        <v>51600</v>
      </c>
      <c r="H24" s="664">
        <v>1</v>
      </c>
      <c r="I24" s="664">
        <v>645</v>
      </c>
      <c r="J24" s="664">
        <v>83</v>
      </c>
      <c r="K24" s="664">
        <v>53535</v>
      </c>
      <c r="L24" s="664">
        <v>1.0375000000000001</v>
      </c>
      <c r="M24" s="664">
        <v>645</v>
      </c>
      <c r="N24" s="664">
        <v>82</v>
      </c>
      <c r="O24" s="664">
        <v>53546</v>
      </c>
      <c r="P24" s="677">
        <v>1.0377131782945737</v>
      </c>
      <c r="Q24" s="665">
        <v>653</v>
      </c>
    </row>
    <row r="25" spans="1:17" ht="14.4" customHeight="1" x14ac:dyDescent="0.3">
      <c r="A25" s="660" t="s">
        <v>529</v>
      </c>
      <c r="B25" s="661" t="s">
        <v>1458</v>
      </c>
      <c r="C25" s="661" t="s">
        <v>1327</v>
      </c>
      <c r="D25" s="661" t="s">
        <v>1481</v>
      </c>
      <c r="E25" s="661" t="s">
        <v>1482</v>
      </c>
      <c r="F25" s="664">
        <v>9</v>
      </c>
      <c r="G25" s="664">
        <v>5778</v>
      </c>
      <c r="H25" s="664">
        <v>1</v>
      </c>
      <c r="I25" s="664">
        <v>642</v>
      </c>
      <c r="J25" s="664">
        <v>1</v>
      </c>
      <c r="K25" s="664">
        <v>642</v>
      </c>
      <c r="L25" s="664">
        <v>0.1111111111111111</v>
      </c>
      <c r="M25" s="664">
        <v>642</v>
      </c>
      <c r="N25" s="664">
        <v>11</v>
      </c>
      <c r="O25" s="664">
        <v>7150</v>
      </c>
      <c r="P25" s="677">
        <v>1.2374524056767047</v>
      </c>
      <c r="Q25" s="665">
        <v>650</v>
      </c>
    </row>
    <row r="26" spans="1:17" ht="14.4" customHeight="1" x14ac:dyDescent="0.3">
      <c r="A26" s="660" t="s">
        <v>1487</v>
      </c>
      <c r="B26" s="661" t="s">
        <v>1509</v>
      </c>
      <c r="C26" s="661" t="s">
        <v>1327</v>
      </c>
      <c r="D26" s="661" t="s">
        <v>1510</v>
      </c>
      <c r="E26" s="661" t="s">
        <v>1511</v>
      </c>
      <c r="F26" s="664">
        <v>74</v>
      </c>
      <c r="G26" s="664">
        <v>4810</v>
      </c>
      <c r="H26" s="664">
        <v>1</v>
      </c>
      <c r="I26" s="664">
        <v>65</v>
      </c>
      <c r="J26" s="664">
        <v>84</v>
      </c>
      <c r="K26" s="664">
        <v>5460</v>
      </c>
      <c r="L26" s="664">
        <v>1.1351351351351351</v>
      </c>
      <c r="M26" s="664">
        <v>65</v>
      </c>
      <c r="N26" s="664">
        <v>70</v>
      </c>
      <c r="O26" s="664">
        <v>4550</v>
      </c>
      <c r="P26" s="677">
        <v>0.94594594594594594</v>
      </c>
      <c r="Q26" s="665">
        <v>65</v>
      </c>
    </row>
    <row r="27" spans="1:17" ht="14.4" customHeight="1" x14ac:dyDescent="0.3">
      <c r="A27" s="660" t="s">
        <v>1487</v>
      </c>
      <c r="B27" s="661" t="s">
        <v>1509</v>
      </c>
      <c r="C27" s="661" t="s">
        <v>1327</v>
      </c>
      <c r="D27" s="661" t="s">
        <v>1512</v>
      </c>
      <c r="E27" s="661" t="s">
        <v>1513</v>
      </c>
      <c r="F27" s="664">
        <v>2</v>
      </c>
      <c r="G27" s="664">
        <v>44</v>
      </c>
      <c r="H27" s="664">
        <v>1</v>
      </c>
      <c r="I27" s="664">
        <v>22</v>
      </c>
      <c r="J27" s="664">
        <v>5</v>
      </c>
      <c r="K27" s="664">
        <v>110</v>
      </c>
      <c r="L27" s="664">
        <v>2.5</v>
      </c>
      <c r="M27" s="664">
        <v>22</v>
      </c>
      <c r="N27" s="664">
        <v>3</v>
      </c>
      <c r="O27" s="664">
        <v>69</v>
      </c>
      <c r="P27" s="677">
        <v>1.5681818181818181</v>
      </c>
      <c r="Q27" s="665">
        <v>23</v>
      </c>
    </row>
    <row r="28" spans="1:17" ht="14.4" customHeight="1" x14ac:dyDescent="0.3">
      <c r="A28" s="660" t="s">
        <v>1487</v>
      </c>
      <c r="B28" s="661" t="s">
        <v>1509</v>
      </c>
      <c r="C28" s="661" t="s">
        <v>1327</v>
      </c>
      <c r="D28" s="661" t="s">
        <v>1514</v>
      </c>
      <c r="E28" s="661" t="s">
        <v>1515</v>
      </c>
      <c r="F28" s="664">
        <v>2</v>
      </c>
      <c r="G28" s="664">
        <v>48</v>
      </c>
      <c r="H28" s="664">
        <v>1</v>
      </c>
      <c r="I28" s="664">
        <v>24</v>
      </c>
      <c r="J28" s="664">
        <v>5</v>
      </c>
      <c r="K28" s="664">
        <v>120</v>
      </c>
      <c r="L28" s="664">
        <v>2.5</v>
      </c>
      <c r="M28" s="664">
        <v>24</v>
      </c>
      <c r="N28" s="664">
        <v>3</v>
      </c>
      <c r="O28" s="664">
        <v>72</v>
      </c>
      <c r="P28" s="677">
        <v>1.5</v>
      </c>
      <c r="Q28" s="665">
        <v>24</v>
      </c>
    </row>
    <row r="29" spans="1:17" ht="14.4" customHeight="1" x14ac:dyDescent="0.3">
      <c r="A29" s="660" t="s">
        <v>1516</v>
      </c>
      <c r="B29" s="661" t="s">
        <v>1517</v>
      </c>
      <c r="C29" s="661" t="s">
        <v>1327</v>
      </c>
      <c r="D29" s="661" t="s">
        <v>1518</v>
      </c>
      <c r="E29" s="661" t="s">
        <v>1519</v>
      </c>
      <c r="F29" s="664"/>
      <c r="G29" s="664"/>
      <c r="H29" s="664"/>
      <c r="I29" s="664"/>
      <c r="J29" s="664"/>
      <c r="K29" s="664"/>
      <c r="L29" s="664"/>
      <c r="M29" s="664"/>
      <c r="N29" s="664">
        <v>1</v>
      </c>
      <c r="O29" s="664">
        <v>22</v>
      </c>
      <c r="P29" s="677"/>
      <c r="Q29" s="665">
        <v>22</v>
      </c>
    </row>
    <row r="30" spans="1:17" ht="14.4" customHeight="1" x14ac:dyDescent="0.3">
      <c r="A30" s="660" t="s">
        <v>1516</v>
      </c>
      <c r="B30" s="661" t="s">
        <v>1517</v>
      </c>
      <c r="C30" s="661" t="s">
        <v>1327</v>
      </c>
      <c r="D30" s="661" t="s">
        <v>1520</v>
      </c>
      <c r="E30" s="661" t="s">
        <v>1521</v>
      </c>
      <c r="F30" s="664">
        <v>4</v>
      </c>
      <c r="G30" s="664">
        <v>3948</v>
      </c>
      <c r="H30" s="664">
        <v>1</v>
      </c>
      <c r="I30" s="664">
        <v>987</v>
      </c>
      <c r="J30" s="664"/>
      <c r="K30" s="664"/>
      <c r="L30" s="664"/>
      <c r="M30" s="664"/>
      <c r="N30" s="664"/>
      <c r="O30" s="664"/>
      <c r="P30" s="677"/>
      <c r="Q30" s="665"/>
    </row>
    <row r="31" spans="1:17" ht="14.4" customHeight="1" x14ac:dyDescent="0.3">
      <c r="A31" s="660" t="s">
        <v>1516</v>
      </c>
      <c r="B31" s="661" t="s">
        <v>1517</v>
      </c>
      <c r="C31" s="661" t="s">
        <v>1327</v>
      </c>
      <c r="D31" s="661" t="s">
        <v>1522</v>
      </c>
      <c r="E31" s="661" t="s">
        <v>1523</v>
      </c>
      <c r="F31" s="664">
        <v>13</v>
      </c>
      <c r="G31" s="664">
        <v>221</v>
      </c>
      <c r="H31" s="664">
        <v>1</v>
      </c>
      <c r="I31" s="664">
        <v>17</v>
      </c>
      <c r="J31" s="664"/>
      <c r="K31" s="664"/>
      <c r="L31" s="664"/>
      <c r="M31" s="664"/>
      <c r="N31" s="664"/>
      <c r="O31" s="664"/>
      <c r="P31" s="677"/>
      <c r="Q31" s="665"/>
    </row>
    <row r="32" spans="1:17" ht="14.4" customHeight="1" x14ac:dyDescent="0.3">
      <c r="A32" s="660" t="s">
        <v>1516</v>
      </c>
      <c r="B32" s="661" t="s">
        <v>1517</v>
      </c>
      <c r="C32" s="661" t="s">
        <v>1327</v>
      </c>
      <c r="D32" s="661" t="s">
        <v>1524</v>
      </c>
      <c r="E32" s="661" t="s">
        <v>1525</v>
      </c>
      <c r="F32" s="664"/>
      <c r="G32" s="664"/>
      <c r="H32" s="664"/>
      <c r="I32" s="664"/>
      <c r="J32" s="664">
        <v>1</v>
      </c>
      <c r="K32" s="664">
        <v>851</v>
      </c>
      <c r="L32" s="664"/>
      <c r="M32" s="664">
        <v>851</v>
      </c>
      <c r="N32" s="664"/>
      <c r="O32" s="664"/>
      <c r="P32" s="677"/>
      <c r="Q32" s="665"/>
    </row>
    <row r="33" spans="1:17" ht="14.4" customHeight="1" x14ac:dyDescent="0.3">
      <c r="A33" s="660" t="s">
        <v>1516</v>
      </c>
      <c r="B33" s="661" t="s">
        <v>1517</v>
      </c>
      <c r="C33" s="661" t="s">
        <v>1327</v>
      </c>
      <c r="D33" s="661" t="s">
        <v>1526</v>
      </c>
      <c r="E33" s="661" t="s">
        <v>1527</v>
      </c>
      <c r="F33" s="664">
        <v>2</v>
      </c>
      <c r="G33" s="664">
        <v>1120</v>
      </c>
      <c r="H33" s="664">
        <v>1</v>
      </c>
      <c r="I33" s="664">
        <v>560</v>
      </c>
      <c r="J33" s="664">
        <v>1</v>
      </c>
      <c r="K33" s="664">
        <v>560</v>
      </c>
      <c r="L33" s="664">
        <v>0.5</v>
      </c>
      <c r="M33" s="664">
        <v>560</v>
      </c>
      <c r="N33" s="664">
        <v>3</v>
      </c>
      <c r="O33" s="664">
        <v>1683</v>
      </c>
      <c r="P33" s="677">
        <v>1.5026785714285715</v>
      </c>
      <c r="Q33" s="665">
        <v>561</v>
      </c>
    </row>
    <row r="34" spans="1:17" ht="14.4" customHeight="1" x14ac:dyDescent="0.3">
      <c r="A34" s="660" t="s">
        <v>1516</v>
      </c>
      <c r="B34" s="661" t="s">
        <v>1517</v>
      </c>
      <c r="C34" s="661" t="s">
        <v>1327</v>
      </c>
      <c r="D34" s="661" t="s">
        <v>1528</v>
      </c>
      <c r="E34" s="661" t="s">
        <v>1529</v>
      </c>
      <c r="F34" s="664">
        <v>1</v>
      </c>
      <c r="G34" s="664">
        <v>131</v>
      </c>
      <c r="H34" s="664">
        <v>1</v>
      </c>
      <c r="I34" s="664">
        <v>131</v>
      </c>
      <c r="J34" s="664"/>
      <c r="K34" s="664"/>
      <c r="L34" s="664"/>
      <c r="M34" s="664"/>
      <c r="N34" s="664"/>
      <c r="O34" s="664"/>
      <c r="P34" s="677"/>
      <c r="Q34" s="665"/>
    </row>
    <row r="35" spans="1:17" ht="14.4" customHeight="1" x14ac:dyDescent="0.3">
      <c r="A35" s="660" t="s">
        <v>1516</v>
      </c>
      <c r="B35" s="661" t="s">
        <v>1517</v>
      </c>
      <c r="C35" s="661" t="s">
        <v>1327</v>
      </c>
      <c r="D35" s="661" t="s">
        <v>1530</v>
      </c>
      <c r="E35" s="661" t="s">
        <v>1531</v>
      </c>
      <c r="F35" s="664"/>
      <c r="G35" s="664"/>
      <c r="H35" s="664"/>
      <c r="I35" s="664"/>
      <c r="J35" s="664">
        <v>2</v>
      </c>
      <c r="K35" s="664">
        <v>824</v>
      </c>
      <c r="L35" s="664"/>
      <c r="M35" s="664">
        <v>412</v>
      </c>
      <c r="N35" s="664">
        <v>2</v>
      </c>
      <c r="O35" s="664">
        <v>826</v>
      </c>
      <c r="P35" s="677"/>
      <c r="Q35" s="665">
        <v>413</v>
      </c>
    </row>
    <row r="36" spans="1:17" ht="14.4" customHeight="1" x14ac:dyDescent="0.3">
      <c r="A36" s="660" t="s">
        <v>1516</v>
      </c>
      <c r="B36" s="661" t="s">
        <v>1517</v>
      </c>
      <c r="C36" s="661" t="s">
        <v>1327</v>
      </c>
      <c r="D36" s="661" t="s">
        <v>1532</v>
      </c>
      <c r="E36" s="661" t="s">
        <v>1533</v>
      </c>
      <c r="F36" s="664"/>
      <c r="G36" s="664"/>
      <c r="H36" s="664"/>
      <c r="I36" s="664"/>
      <c r="J36" s="664">
        <v>1</v>
      </c>
      <c r="K36" s="664">
        <v>939</v>
      </c>
      <c r="L36" s="664"/>
      <c r="M36" s="664">
        <v>939</v>
      </c>
      <c r="N36" s="664"/>
      <c r="O36" s="664"/>
      <c r="P36" s="677"/>
      <c r="Q36" s="665"/>
    </row>
    <row r="37" spans="1:17" ht="14.4" customHeight="1" x14ac:dyDescent="0.3">
      <c r="A37" s="660" t="s">
        <v>1516</v>
      </c>
      <c r="B37" s="661" t="s">
        <v>1517</v>
      </c>
      <c r="C37" s="661" t="s">
        <v>1327</v>
      </c>
      <c r="D37" s="661" t="s">
        <v>1534</v>
      </c>
      <c r="E37" s="661" t="s">
        <v>1535</v>
      </c>
      <c r="F37" s="664">
        <v>85</v>
      </c>
      <c r="G37" s="664">
        <v>33490</v>
      </c>
      <c r="H37" s="664">
        <v>1</v>
      </c>
      <c r="I37" s="664">
        <v>394</v>
      </c>
      <c r="J37" s="664">
        <v>84</v>
      </c>
      <c r="K37" s="664">
        <v>33096</v>
      </c>
      <c r="L37" s="664">
        <v>0.9882352941176471</v>
      </c>
      <c r="M37" s="664">
        <v>394</v>
      </c>
      <c r="N37" s="664">
        <v>71</v>
      </c>
      <c r="O37" s="664">
        <v>28045</v>
      </c>
      <c r="P37" s="677">
        <v>0.83741415347865034</v>
      </c>
      <c r="Q37" s="665">
        <v>395</v>
      </c>
    </row>
    <row r="38" spans="1:17" ht="14.4" customHeight="1" x14ac:dyDescent="0.3">
      <c r="A38" s="660" t="s">
        <v>1516</v>
      </c>
      <c r="B38" s="661" t="s">
        <v>1517</v>
      </c>
      <c r="C38" s="661" t="s">
        <v>1327</v>
      </c>
      <c r="D38" s="661" t="s">
        <v>1536</v>
      </c>
      <c r="E38" s="661" t="s">
        <v>1537</v>
      </c>
      <c r="F38" s="664"/>
      <c r="G38" s="664"/>
      <c r="H38" s="664"/>
      <c r="I38" s="664"/>
      <c r="J38" s="664"/>
      <c r="K38" s="664"/>
      <c r="L38" s="664"/>
      <c r="M38" s="664"/>
      <c r="N38" s="664">
        <v>1</v>
      </c>
      <c r="O38" s="664">
        <v>30</v>
      </c>
      <c r="P38" s="677"/>
      <c r="Q38" s="665">
        <v>30</v>
      </c>
    </row>
    <row r="39" spans="1:17" ht="14.4" customHeight="1" x14ac:dyDescent="0.3">
      <c r="A39" s="660" t="s">
        <v>1516</v>
      </c>
      <c r="B39" s="661" t="s">
        <v>1517</v>
      </c>
      <c r="C39" s="661" t="s">
        <v>1327</v>
      </c>
      <c r="D39" s="661" t="s">
        <v>1538</v>
      </c>
      <c r="E39" s="661" t="s">
        <v>1539</v>
      </c>
      <c r="F39" s="664">
        <v>24</v>
      </c>
      <c r="G39" s="664">
        <v>4344</v>
      </c>
      <c r="H39" s="664">
        <v>1</v>
      </c>
      <c r="I39" s="664">
        <v>181</v>
      </c>
      <c r="J39" s="664">
        <v>14</v>
      </c>
      <c r="K39" s="664">
        <v>2534</v>
      </c>
      <c r="L39" s="664">
        <v>0.58333333333333337</v>
      </c>
      <c r="M39" s="664">
        <v>181</v>
      </c>
      <c r="N39" s="664">
        <v>4</v>
      </c>
      <c r="O39" s="664">
        <v>728</v>
      </c>
      <c r="P39" s="677">
        <v>0.16758747697974216</v>
      </c>
      <c r="Q39" s="665">
        <v>182</v>
      </c>
    </row>
    <row r="40" spans="1:17" ht="14.4" customHeight="1" x14ac:dyDescent="0.3">
      <c r="A40" s="660" t="s">
        <v>1516</v>
      </c>
      <c r="B40" s="661" t="s">
        <v>1517</v>
      </c>
      <c r="C40" s="661" t="s">
        <v>1327</v>
      </c>
      <c r="D40" s="661" t="s">
        <v>1540</v>
      </c>
      <c r="E40" s="661" t="s">
        <v>1541</v>
      </c>
      <c r="F40" s="664">
        <v>1</v>
      </c>
      <c r="G40" s="664">
        <v>182</v>
      </c>
      <c r="H40" s="664">
        <v>1</v>
      </c>
      <c r="I40" s="664">
        <v>182</v>
      </c>
      <c r="J40" s="664">
        <v>3</v>
      </c>
      <c r="K40" s="664">
        <v>546</v>
      </c>
      <c r="L40" s="664">
        <v>3</v>
      </c>
      <c r="M40" s="664">
        <v>182</v>
      </c>
      <c r="N40" s="664">
        <v>2</v>
      </c>
      <c r="O40" s="664">
        <v>366</v>
      </c>
      <c r="P40" s="677">
        <v>2.0109890109890109</v>
      </c>
      <c r="Q40" s="665">
        <v>183</v>
      </c>
    </row>
    <row r="41" spans="1:17" ht="14.4" customHeight="1" x14ac:dyDescent="0.3">
      <c r="A41" s="660" t="s">
        <v>1516</v>
      </c>
      <c r="B41" s="661" t="s">
        <v>1517</v>
      </c>
      <c r="C41" s="661" t="s">
        <v>1327</v>
      </c>
      <c r="D41" s="661" t="s">
        <v>1542</v>
      </c>
      <c r="E41" s="661" t="s">
        <v>1543</v>
      </c>
      <c r="F41" s="664"/>
      <c r="G41" s="664"/>
      <c r="H41" s="664"/>
      <c r="I41" s="664"/>
      <c r="J41" s="664">
        <v>1</v>
      </c>
      <c r="K41" s="664">
        <v>147</v>
      </c>
      <c r="L41" s="664"/>
      <c r="M41" s="664">
        <v>147</v>
      </c>
      <c r="N41" s="664">
        <v>2</v>
      </c>
      <c r="O41" s="664">
        <v>296</v>
      </c>
      <c r="P41" s="677"/>
      <c r="Q41" s="665">
        <v>148</v>
      </c>
    </row>
    <row r="42" spans="1:17" ht="14.4" customHeight="1" x14ac:dyDescent="0.3">
      <c r="A42" s="660" t="s">
        <v>1516</v>
      </c>
      <c r="B42" s="661" t="s">
        <v>1517</v>
      </c>
      <c r="C42" s="661" t="s">
        <v>1327</v>
      </c>
      <c r="D42" s="661" t="s">
        <v>1544</v>
      </c>
      <c r="E42" s="661" t="s">
        <v>1545</v>
      </c>
      <c r="F42" s="664"/>
      <c r="G42" s="664"/>
      <c r="H42" s="664"/>
      <c r="I42" s="664"/>
      <c r="J42" s="664"/>
      <c r="K42" s="664"/>
      <c r="L42" s="664"/>
      <c r="M42" s="664"/>
      <c r="N42" s="664">
        <v>1</v>
      </c>
      <c r="O42" s="664">
        <v>30</v>
      </c>
      <c r="P42" s="677"/>
      <c r="Q42" s="665">
        <v>30</v>
      </c>
    </row>
    <row r="43" spans="1:17" ht="14.4" customHeight="1" x14ac:dyDescent="0.3">
      <c r="A43" s="660" t="s">
        <v>1516</v>
      </c>
      <c r="B43" s="661" t="s">
        <v>1517</v>
      </c>
      <c r="C43" s="661" t="s">
        <v>1327</v>
      </c>
      <c r="D43" s="661" t="s">
        <v>1546</v>
      </c>
      <c r="E43" s="661" t="s">
        <v>1547</v>
      </c>
      <c r="F43" s="664">
        <v>101</v>
      </c>
      <c r="G43" s="664">
        <v>17574</v>
      </c>
      <c r="H43" s="664">
        <v>1</v>
      </c>
      <c r="I43" s="664">
        <v>174</v>
      </c>
      <c r="J43" s="664">
        <v>94</v>
      </c>
      <c r="K43" s="664">
        <v>16356</v>
      </c>
      <c r="L43" s="664">
        <v>0.93069306930693074</v>
      </c>
      <c r="M43" s="664">
        <v>174</v>
      </c>
      <c r="N43" s="664">
        <v>85</v>
      </c>
      <c r="O43" s="664">
        <v>14875</v>
      </c>
      <c r="P43" s="677">
        <v>0.84642084898144987</v>
      </c>
      <c r="Q43" s="665">
        <v>175</v>
      </c>
    </row>
    <row r="44" spans="1:17" ht="14.4" customHeight="1" x14ac:dyDescent="0.3">
      <c r="A44" s="660" t="s">
        <v>1516</v>
      </c>
      <c r="B44" s="661" t="s">
        <v>1517</v>
      </c>
      <c r="C44" s="661" t="s">
        <v>1327</v>
      </c>
      <c r="D44" s="661" t="s">
        <v>1548</v>
      </c>
      <c r="E44" s="661" t="s">
        <v>1549</v>
      </c>
      <c r="F44" s="664">
        <v>1</v>
      </c>
      <c r="G44" s="664">
        <v>586</v>
      </c>
      <c r="H44" s="664">
        <v>1</v>
      </c>
      <c r="I44" s="664">
        <v>586</v>
      </c>
      <c r="J44" s="664">
        <v>3</v>
      </c>
      <c r="K44" s="664">
        <v>1758</v>
      </c>
      <c r="L44" s="664">
        <v>3</v>
      </c>
      <c r="M44" s="664">
        <v>586</v>
      </c>
      <c r="N44" s="664">
        <v>3</v>
      </c>
      <c r="O44" s="664">
        <v>1761</v>
      </c>
      <c r="P44" s="677">
        <v>3.0051194539249146</v>
      </c>
      <c r="Q44" s="665">
        <v>587</v>
      </c>
    </row>
    <row r="45" spans="1:17" ht="14.4" customHeight="1" x14ac:dyDescent="0.3">
      <c r="A45" s="660" t="s">
        <v>1516</v>
      </c>
      <c r="B45" s="661" t="s">
        <v>1517</v>
      </c>
      <c r="C45" s="661" t="s">
        <v>1327</v>
      </c>
      <c r="D45" s="661" t="s">
        <v>1550</v>
      </c>
      <c r="E45" s="661" t="s">
        <v>1551</v>
      </c>
      <c r="F45" s="664"/>
      <c r="G45" s="664"/>
      <c r="H45" s="664"/>
      <c r="I45" s="664"/>
      <c r="J45" s="664">
        <v>1</v>
      </c>
      <c r="K45" s="664">
        <v>331</v>
      </c>
      <c r="L45" s="664"/>
      <c r="M45" s="664">
        <v>331</v>
      </c>
      <c r="N45" s="664"/>
      <c r="O45" s="664"/>
      <c r="P45" s="677"/>
      <c r="Q45" s="665"/>
    </row>
    <row r="46" spans="1:17" ht="14.4" customHeight="1" x14ac:dyDescent="0.3">
      <c r="A46" s="660" t="s">
        <v>1516</v>
      </c>
      <c r="B46" s="661" t="s">
        <v>1517</v>
      </c>
      <c r="C46" s="661" t="s">
        <v>1327</v>
      </c>
      <c r="D46" s="661" t="s">
        <v>1552</v>
      </c>
      <c r="E46" s="661" t="s">
        <v>1553</v>
      </c>
      <c r="F46" s="664"/>
      <c r="G46" s="664"/>
      <c r="H46" s="664"/>
      <c r="I46" s="664"/>
      <c r="J46" s="664"/>
      <c r="K46" s="664"/>
      <c r="L46" s="664"/>
      <c r="M46" s="664"/>
      <c r="N46" s="664">
        <v>1</v>
      </c>
      <c r="O46" s="664">
        <v>29</v>
      </c>
      <c r="P46" s="677"/>
      <c r="Q46" s="665">
        <v>29</v>
      </c>
    </row>
    <row r="47" spans="1:17" ht="14.4" customHeight="1" x14ac:dyDescent="0.3">
      <c r="A47" s="660" t="s">
        <v>1516</v>
      </c>
      <c r="B47" s="661" t="s">
        <v>1517</v>
      </c>
      <c r="C47" s="661" t="s">
        <v>1327</v>
      </c>
      <c r="D47" s="661" t="s">
        <v>1554</v>
      </c>
      <c r="E47" s="661" t="s">
        <v>1555</v>
      </c>
      <c r="F47" s="664">
        <v>1</v>
      </c>
      <c r="G47" s="664">
        <v>15</v>
      </c>
      <c r="H47" s="664">
        <v>1</v>
      </c>
      <c r="I47" s="664">
        <v>15</v>
      </c>
      <c r="J47" s="664">
        <v>3</v>
      </c>
      <c r="K47" s="664">
        <v>45</v>
      </c>
      <c r="L47" s="664">
        <v>3</v>
      </c>
      <c r="M47" s="664">
        <v>15</v>
      </c>
      <c r="N47" s="664">
        <v>71</v>
      </c>
      <c r="O47" s="664">
        <v>1065</v>
      </c>
      <c r="P47" s="677">
        <v>71</v>
      </c>
      <c r="Q47" s="665">
        <v>15</v>
      </c>
    </row>
    <row r="48" spans="1:17" ht="14.4" customHeight="1" x14ac:dyDescent="0.3">
      <c r="A48" s="660" t="s">
        <v>1516</v>
      </c>
      <c r="B48" s="661" t="s">
        <v>1517</v>
      </c>
      <c r="C48" s="661" t="s">
        <v>1327</v>
      </c>
      <c r="D48" s="661" t="s">
        <v>1556</v>
      </c>
      <c r="E48" s="661" t="s">
        <v>1557</v>
      </c>
      <c r="F48" s="664">
        <v>75</v>
      </c>
      <c r="G48" s="664">
        <v>1425</v>
      </c>
      <c r="H48" s="664">
        <v>1</v>
      </c>
      <c r="I48" s="664">
        <v>19</v>
      </c>
      <c r="J48" s="664">
        <v>83</v>
      </c>
      <c r="K48" s="664">
        <v>1577</v>
      </c>
      <c r="L48" s="664">
        <v>1.1066666666666667</v>
      </c>
      <c r="M48" s="664">
        <v>19</v>
      </c>
      <c r="N48" s="664">
        <v>72</v>
      </c>
      <c r="O48" s="664">
        <v>1368</v>
      </c>
      <c r="P48" s="677">
        <v>0.96</v>
      </c>
      <c r="Q48" s="665">
        <v>19</v>
      </c>
    </row>
    <row r="49" spans="1:17" ht="14.4" customHeight="1" x14ac:dyDescent="0.3">
      <c r="A49" s="660" t="s">
        <v>1516</v>
      </c>
      <c r="B49" s="661" t="s">
        <v>1517</v>
      </c>
      <c r="C49" s="661" t="s">
        <v>1327</v>
      </c>
      <c r="D49" s="661" t="s">
        <v>1558</v>
      </c>
      <c r="E49" s="661" t="s">
        <v>1559</v>
      </c>
      <c r="F49" s="664">
        <v>76</v>
      </c>
      <c r="G49" s="664">
        <v>1520</v>
      </c>
      <c r="H49" s="664">
        <v>1</v>
      </c>
      <c r="I49" s="664">
        <v>20</v>
      </c>
      <c r="J49" s="664">
        <v>83</v>
      </c>
      <c r="K49" s="664">
        <v>1660</v>
      </c>
      <c r="L49" s="664">
        <v>1.0921052631578947</v>
      </c>
      <c r="M49" s="664">
        <v>20</v>
      </c>
      <c r="N49" s="664">
        <v>72</v>
      </c>
      <c r="O49" s="664">
        <v>1440</v>
      </c>
      <c r="P49" s="677">
        <v>0.94736842105263153</v>
      </c>
      <c r="Q49" s="665">
        <v>20</v>
      </c>
    </row>
    <row r="50" spans="1:17" ht="14.4" customHeight="1" x14ac:dyDescent="0.3">
      <c r="A50" s="660" t="s">
        <v>1516</v>
      </c>
      <c r="B50" s="661" t="s">
        <v>1517</v>
      </c>
      <c r="C50" s="661" t="s">
        <v>1327</v>
      </c>
      <c r="D50" s="661" t="s">
        <v>1560</v>
      </c>
      <c r="E50" s="661" t="s">
        <v>1561</v>
      </c>
      <c r="F50" s="664">
        <v>86</v>
      </c>
      <c r="G50" s="664">
        <v>22618</v>
      </c>
      <c r="H50" s="664">
        <v>1</v>
      </c>
      <c r="I50" s="664">
        <v>263</v>
      </c>
      <c r="J50" s="664">
        <v>86</v>
      </c>
      <c r="K50" s="664">
        <v>22618</v>
      </c>
      <c r="L50" s="664">
        <v>1</v>
      </c>
      <c r="M50" s="664">
        <v>263</v>
      </c>
      <c r="N50" s="664">
        <v>81</v>
      </c>
      <c r="O50" s="664">
        <v>21384</v>
      </c>
      <c r="P50" s="677">
        <v>0.94544168361482006</v>
      </c>
      <c r="Q50" s="665">
        <v>264</v>
      </c>
    </row>
    <row r="51" spans="1:17" ht="14.4" customHeight="1" x14ac:dyDescent="0.3">
      <c r="A51" s="660" t="s">
        <v>1516</v>
      </c>
      <c r="B51" s="661" t="s">
        <v>1517</v>
      </c>
      <c r="C51" s="661" t="s">
        <v>1327</v>
      </c>
      <c r="D51" s="661" t="s">
        <v>1562</v>
      </c>
      <c r="E51" s="661" t="s">
        <v>1563</v>
      </c>
      <c r="F51" s="664"/>
      <c r="G51" s="664"/>
      <c r="H51" s="664"/>
      <c r="I51" s="664"/>
      <c r="J51" s="664">
        <v>1</v>
      </c>
      <c r="K51" s="664">
        <v>21</v>
      </c>
      <c r="L51" s="664"/>
      <c r="M51" s="664">
        <v>21</v>
      </c>
      <c r="N51" s="664"/>
      <c r="O51" s="664"/>
      <c r="P51" s="677"/>
      <c r="Q51" s="665"/>
    </row>
    <row r="52" spans="1:17" ht="14.4" customHeight="1" x14ac:dyDescent="0.3">
      <c r="A52" s="660" t="s">
        <v>1516</v>
      </c>
      <c r="B52" s="661" t="s">
        <v>1517</v>
      </c>
      <c r="C52" s="661" t="s">
        <v>1327</v>
      </c>
      <c r="D52" s="661" t="s">
        <v>1564</v>
      </c>
      <c r="E52" s="661" t="s">
        <v>1565</v>
      </c>
      <c r="F52" s="664"/>
      <c r="G52" s="664"/>
      <c r="H52" s="664"/>
      <c r="I52" s="664"/>
      <c r="J52" s="664">
        <v>2</v>
      </c>
      <c r="K52" s="664">
        <v>990</v>
      </c>
      <c r="L52" s="664"/>
      <c r="M52" s="664">
        <v>495</v>
      </c>
      <c r="N52" s="664"/>
      <c r="O52" s="664"/>
      <c r="P52" s="677"/>
      <c r="Q52" s="665"/>
    </row>
    <row r="53" spans="1:17" ht="14.4" customHeight="1" x14ac:dyDescent="0.3">
      <c r="A53" s="660" t="s">
        <v>1516</v>
      </c>
      <c r="B53" s="661" t="s">
        <v>1517</v>
      </c>
      <c r="C53" s="661" t="s">
        <v>1327</v>
      </c>
      <c r="D53" s="661" t="s">
        <v>1566</v>
      </c>
      <c r="E53" s="661" t="s">
        <v>1567</v>
      </c>
      <c r="F53" s="664"/>
      <c r="G53" s="664"/>
      <c r="H53" s="664"/>
      <c r="I53" s="664"/>
      <c r="J53" s="664">
        <v>1</v>
      </c>
      <c r="K53" s="664">
        <v>649</v>
      </c>
      <c r="L53" s="664"/>
      <c r="M53" s="664">
        <v>649</v>
      </c>
      <c r="N53" s="664"/>
      <c r="O53" s="664"/>
      <c r="P53" s="677"/>
      <c r="Q53" s="665"/>
    </row>
    <row r="54" spans="1:17" ht="14.4" customHeight="1" x14ac:dyDescent="0.3">
      <c r="A54" s="660" t="s">
        <v>1568</v>
      </c>
      <c r="B54" s="661" t="s">
        <v>1569</v>
      </c>
      <c r="C54" s="661" t="s">
        <v>1327</v>
      </c>
      <c r="D54" s="661" t="s">
        <v>1570</v>
      </c>
      <c r="E54" s="661" t="s">
        <v>1571</v>
      </c>
      <c r="F54" s="664">
        <v>2</v>
      </c>
      <c r="G54" s="664">
        <v>346</v>
      </c>
      <c r="H54" s="664">
        <v>1</v>
      </c>
      <c r="I54" s="664">
        <v>173</v>
      </c>
      <c r="J54" s="664">
        <v>1</v>
      </c>
      <c r="K54" s="664">
        <v>173</v>
      </c>
      <c r="L54" s="664">
        <v>0.5</v>
      </c>
      <c r="M54" s="664">
        <v>173</v>
      </c>
      <c r="N54" s="664"/>
      <c r="O54" s="664"/>
      <c r="P54" s="677"/>
      <c r="Q54" s="665"/>
    </row>
    <row r="55" spans="1:17" ht="14.4" customHeight="1" x14ac:dyDescent="0.3">
      <c r="A55" s="660" t="s">
        <v>1568</v>
      </c>
      <c r="B55" s="661" t="s">
        <v>1569</v>
      </c>
      <c r="C55" s="661" t="s">
        <v>1327</v>
      </c>
      <c r="D55" s="661" t="s">
        <v>1572</v>
      </c>
      <c r="E55" s="661" t="s">
        <v>1573</v>
      </c>
      <c r="F55" s="664">
        <v>1</v>
      </c>
      <c r="G55" s="664">
        <v>1996</v>
      </c>
      <c r="H55" s="664">
        <v>1</v>
      </c>
      <c r="I55" s="664">
        <v>1996</v>
      </c>
      <c r="J55" s="664"/>
      <c r="K55" s="664"/>
      <c r="L55" s="664"/>
      <c r="M55" s="664"/>
      <c r="N55" s="664"/>
      <c r="O55" s="664"/>
      <c r="P55" s="677"/>
      <c r="Q55" s="665"/>
    </row>
    <row r="56" spans="1:17" ht="14.4" customHeight="1" x14ac:dyDescent="0.3">
      <c r="A56" s="660" t="s">
        <v>1574</v>
      </c>
      <c r="B56" s="661" t="s">
        <v>1575</v>
      </c>
      <c r="C56" s="661" t="s">
        <v>1327</v>
      </c>
      <c r="D56" s="661" t="s">
        <v>1576</v>
      </c>
      <c r="E56" s="661" t="s">
        <v>1577</v>
      </c>
      <c r="F56" s="664"/>
      <c r="G56" s="664"/>
      <c r="H56" s="664"/>
      <c r="I56" s="664"/>
      <c r="J56" s="664"/>
      <c r="K56" s="664"/>
      <c r="L56" s="664"/>
      <c r="M56" s="664"/>
      <c r="N56" s="664">
        <v>3</v>
      </c>
      <c r="O56" s="664">
        <v>120</v>
      </c>
      <c r="P56" s="677"/>
      <c r="Q56" s="665">
        <v>40</v>
      </c>
    </row>
    <row r="57" spans="1:17" ht="14.4" customHeight="1" x14ac:dyDescent="0.3">
      <c r="A57" s="660" t="s">
        <v>1578</v>
      </c>
      <c r="B57" s="661" t="s">
        <v>1579</v>
      </c>
      <c r="C57" s="661" t="s">
        <v>1327</v>
      </c>
      <c r="D57" s="661" t="s">
        <v>1580</v>
      </c>
      <c r="E57" s="661" t="s">
        <v>1581</v>
      </c>
      <c r="F57" s="664"/>
      <c r="G57" s="664"/>
      <c r="H57" s="664"/>
      <c r="I57" s="664"/>
      <c r="J57" s="664">
        <v>1</v>
      </c>
      <c r="K57" s="664">
        <v>172</v>
      </c>
      <c r="L57" s="664"/>
      <c r="M57" s="664">
        <v>172</v>
      </c>
      <c r="N57" s="664"/>
      <c r="O57" s="664"/>
      <c r="P57" s="677"/>
      <c r="Q57" s="665"/>
    </row>
    <row r="58" spans="1:17" ht="14.4" customHeight="1" x14ac:dyDescent="0.3">
      <c r="A58" s="660" t="s">
        <v>1578</v>
      </c>
      <c r="B58" s="661" t="s">
        <v>1579</v>
      </c>
      <c r="C58" s="661" t="s">
        <v>1327</v>
      </c>
      <c r="D58" s="661" t="s">
        <v>1582</v>
      </c>
      <c r="E58" s="661" t="s">
        <v>1583</v>
      </c>
      <c r="F58" s="664"/>
      <c r="G58" s="664"/>
      <c r="H58" s="664"/>
      <c r="I58" s="664"/>
      <c r="J58" s="664">
        <v>1</v>
      </c>
      <c r="K58" s="664">
        <v>349</v>
      </c>
      <c r="L58" s="664"/>
      <c r="M58" s="664">
        <v>349</v>
      </c>
      <c r="N58" s="664"/>
      <c r="O58" s="664"/>
      <c r="P58" s="677"/>
      <c r="Q58" s="665"/>
    </row>
    <row r="59" spans="1:17" ht="14.4" customHeight="1" x14ac:dyDescent="0.3">
      <c r="A59" s="660" t="s">
        <v>1578</v>
      </c>
      <c r="B59" s="661" t="s">
        <v>1579</v>
      </c>
      <c r="C59" s="661" t="s">
        <v>1327</v>
      </c>
      <c r="D59" s="661" t="s">
        <v>932</v>
      </c>
      <c r="E59" s="661" t="s">
        <v>1584</v>
      </c>
      <c r="F59" s="664"/>
      <c r="G59" s="664"/>
      <c r="H59" s="664"/>
      <c r="I59" s="664"/>
      <c r="J59" s="664">
        <v>1</v>
      </c>
      <c r="K59" s="664">
        <v>545</v>
      </c>
      <c r="L59" s="664"/>
      <c r="M59" s="664">
        <v>545</v>
      </c>
      <c r="N59" s="664"/>
      <c r="O59" s="664"/>
      <c r="P59" s="677"/>
      <c r="Q59" s="665"/>
    </row>
    <row r="60" spans="1:17" ht="14.4" customHeight="1" x14ac:dyDescent="0.3">
      <c r="A60" s="660" t="s">
        <v>1578</v>
      </c>
      <c r="B60" s="661" t="s">
        <v>1579</v>
      </c>
      <c r="C60" s="661" t="s">
        <v>1327</v>
      </c>
      <c r="D60" s="661" t="s">
        <v>1585</v>
      </c>
      <c r="E60" s="661" t="s">
        <v>1586</v>
      </c>
      <c r="F60" s="664"/>
      <c r="G60" s="664"/>
      <c r="H60" s="664"/>
      <c r="I60" s="664"/>
      <c r="J60" s="664">
        <v>1</v>
      </c>
      <c r="K60" s="664">
        <v>344</v>
      </c>
      <c r="L60" s="664"/>
      <c r="M60" s="664">
        <v>344</v>
      </c>
      <c r="N60" s="664"/>
      <c r="O60" s="664"/>
      <c r="P60" s="677"/>
      <c r="Q60" s="665"/>
    </row>
    <row r="61" spans="1:17" ht="14.4" customHeight="1" x14ac:dyDescent="0.3">
      <c r="A61" s="660" t="s">
        <v>1578</v>
      </c>
      <c r="B61" s="661" t="s">
        <v>1579</v>
      </c>
      <c r="C61" s="661" t="s">
        <v>1327</v>
      </c>
      <c r="D61" s="661" t="s">
        <v>1587</v>
      </c>
      <c r="E61" s="661" t="s">
        <v>1588</v>
      </c>
      <c r="F61" s="664"/>
      <c r="G61" s="664"/>
      <c r="H61" s="664"/>
      <c r="I61" s="664"/>
      <c r="J61" s="664">
        <v>1</v>
      </c>
      <c r="K61" s="664">
        <v>110</v>
      </c>
      <c r="L61" s="664"/>
      <c r="M61" s="664">
        <v>110</v>
      </c>
      <c r="N61" s="664"/>
      <c r="O61" s="664"/>
      <c r="P61" s="677"/>
      <c r="Q61" s="665"/>
    </row>
    <row r="62" spans="1:17" ht="14.4" customHeight="1" x14ac:dyDescent="0.3">
      <c r="A62" s="660" t="s">
        <v>1578</v>
      </c>
      <c r="B62" s="661" t="s">
        <v>1579</v>
      </c>
      <c r="C62" s="661" t="s">
        <v>1327</v>
      </c>
      <c r="D62" s="661" t="s">
        <v>1589</v>
      </c>
      <c r="E62" s="661" t="s">
        <v>1590</v>
      </c>
      <c r="F62" s="664"/>
      <c r="G62" s="664"/>
      <c r="H62" s="664"/>
      <c r="I62" s="664"/>
      <c r="J62" s="664">
        <v>1</v>
      </c>
      <c r="K62" s="664">
        <v>204</v>
      </c>
      <c r="L62" s="664"/>
      <c r="M62" s="664">
        <v>204</v>
      </c>
      <c r="N62" s="664"/>
      <c r="O62" s="664"/>
      <c r="P62" s="677"/>
      <c r="Q62" s="665"/>
    </row>
    <row r="63" spans="1:17" ht="14.4" customHeight="1" x14ac:dyDescent="0.3">
      <c r="A63" s="660" t="s">
        <v>1578</v>
      </c>
      <c r="B63" s="661" t="s">
        <v>1579</v>
      </c>
      <c r="C63" s="661" t="s">
        <v>1327</v>
      </c>
      <c r="D63" s="661" t="s">
        <v>1591</v>
      </c>
      <c r="E63" s="661" t="s">
        <v>1592</v>
      </c>
      <c r="F63" s="664"/>
      <c r="G63" s="664"/>
      <c r="H63" s="664"/>
      <c r="I63" s="664"/>
      <c r="J63" s="664">
        <v>1</v>
      </c>
      <c r="K63" s="664">
        <v>38</v>
      </c>
      <c r="L63" s="664"/>
      <c r="M63" s="664">
        <v>38</v>
      </c>
      <c r="N63" s="664"/>
      <c r="O63" s="664"/>
      <c r="P63" s="677"/>
      <c r="Q63" s="665"/>
    </row>
    <row r="64" spans="1:17" ht="14.4" customHeight="1" x14ac:dyDescent="0.3">
      <c r="A64" s="660" t="s">
        <v>1578</v>
      </c>
      <c r="B64" s="661" t="s">
        <v>1579</v>
      </c>
      <c r="C64" s="661" t="s">
        <v>1327</v>
      </c>
      <c r="D64" s="661" t="s">
        <v>1593</v>
      </c>
      <c r="E64" s="661" t="s">
        <v>1594</v>
      </c>
      <c r="F64" s="664"/>
      <c r="G64" s="664"/>
      <c r="H64" s="664"/>
      <c r="I64" s="664"/>
      <c r="J64" s="664">
        <v>1</v>
      </c>
      <c r="K64" s="664">
        <v>473</v>
      </c>
      <c r="L64" s="664"/>
      <c r="M64" s="664">
        <v>473</v>
      </c>
      <c r="N64" s="664"/>
      <c r="O64" s="664"/>
      <c r="P64" s="677"/>
      <c r="Q64" s="665"/>
    </row>
    <row r="65" spans="1:17" ht="14.4" customHeight="1" thickBot="1" x14ac:dyDescent="0.35">
      <c r="A65" s="666" t="s">
        <v>1578</v>
      </c>
      <c r="B65" s="667" t="s">
        <v>1579</v>
      </c>
      <c r="C65" s="667" t="s">
        <v>1327</v>
      </c>
      <c r="D65" s="667" t="s">
        <v>1595</v>
      </c>
      <c r="E65" s="667" t="s">
        <v>1596</v>
      </c>
      <c r="F65" s="670"/>
      <c r="G65" s="670"/>
      <c r="H65" s="670"/>
      <c r="I65" s="670"/>
      <c r="J65" s="670">
        <v>1</v>
      </c>
      <c r="K65" s="670">
        <v>166</v>
      </c>
      <c r="L65" s="670"/>
      <c r="M65" s="670">
        <v>166</v>
      </c>
      <c r="N65" s="670"/>
      <c r="O65" s="670"/>
      <c r="P65" s="678"/>
      <c r="Q65" s="671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7" t="s">
        <v>182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</row>
    <row r="2" spans="1:14" ht="14.4" customHeight="1" thickBot="1" x14ac:dyDescent="0.35">
      <c r="A2" s="383" t="s">
        <v>336</v>
      </c>
      <c r="B2" s="193"/>
      <c r="C2" s="193"/>
      <c r="D2" s="193"/>
      <c r="E2" s="193"/>
      <c r="F2" s="193"/>
      <c r="G2" s="451"/>
      <c r="H2" s="451"/>
      <c r="I2" s="451"/>
      <c r="J2" s="193"/>
      <c r="K2" s="451"/>
      <c r="L2" s="451"/>
      <c r="M2" s="451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517</v>
      </c>
      <c r="D3" s="197">
        <f>SUBTOTAL(9,D6:D1048576)</f>
        <v>478</v>
      </c>
      <c r="E3" s="197">
        <f>SUBTOTAL(9,E6:E1048576)</f>
        <v>499</v>
      </c>
      <c r="F3" s="198">
        <f>IF(OR(E3=0,C3=0),"",E3/C3)</f>
        <v>0.96518375241779497</v>
      </c>
      <c r="G3" s="452">
        <f>SUBTOTAL(9,G6:G1048576)</f>
        <v>464.55750000000006</v>
      </c>
      <c r="H3" s="453">
        <f>SUBTOTAL(9,H6:H1048576)</f>
        <v>433.22580000000005</v>
      </c>
      <c r="I3" s="453">
        <f>SUBTOTAL(9,I6:I1048576)</f>
        <v>454.89149999999995</v>
      </c>
      <c r="J3" s="198">
        <f>IF(OR(I3=0,G3=0),"",I3/G3)</f>
        <v>0.97919310311425367</v>
      </c>
      <c r="K3" s="452">
        <f>SUBTOTAL(9,K6:K1048576)</f>
        <v>20.68</v>
      </c>
      <c r="L3" s="453">
        <f>SUBTOTAL(9,L6:L1048576)</f>
        <v>19.12</v>
      </c>
      <c r="M3" s="453">
        <f>SUBTOTAL(9,M6:M1048576)</f>
        <v>19.96</v>
      </c>
      <c r="N3" s="199">
        <f>IF(OR(M3=0,E3=0),"",M3/E3)</f>
        <v>0.04</v>
      </c>
    </row>
    <row r="4" spans="1:14" ht="14.4" customHeight="1" x14ac:dyDescent="0.3">
      <c r="A4" s="609" t="s">
        <v>90</v>
      </c>
      <c r="B4" s="610" t="s">
        <v>11</v>
      </c>
      <c r="C4" s="611" t="s">
        <v>91</v>
      </c>
      <c r="D4" s="611"/>
      <c r="E4" s="611"/>
      <c r="F4" s="612"/>
      <c r="G4" s="613" t="s">
        <v>14</v>
      </c>
      <c r="H4" s="611"/>
      <c r="I4" s="611"/>
      <c r="J4" s="612"/>
      <c r="K4" s="613" t="s">
        <v>92</v>
      </c>
      <c r="L4" s="611"/>
      <c r="M4" s="611"/>
      <c r="N4" s="614"/>
    </row>
    <row r="5" spans="1:14" ht="14.4" customHeight="1" thickBot="1" x14ac:dyDescent="0.35">
      <c r="A5" s="900"/>
      <c r="B5" s="901"/>
      <c r="C5" s="904">
        <v>2013</v>
      </c>
      <c r="D5" s="904">
        <v>2014</v>
      </c>
      <c r="E5" s="904">
        <v>2015</v>
      </c>
      <c r="F5" s="905" t="s">
        <v>2</v>
      </c>
      <c r="G5" s="909">
        <v>2013</v>
      </c>
      <c r="H5" s="904">
        <v>2014</v>
      </c>
      <c r="I5" s="904">
        <v>2015</v>
      </c>
      <c r="J5" s="905" t="s">
        <v>2</v>
      </c>
      <c r="K5" s="909">
        <v>2013</v>
      </c>
      <c r="L5" s="904">
        <v>2014</v>
      </c>
      <c r="M5" s="904">
        <v>2015</v>
      </c>
      <c r="N5" s="910" t="s">
        <v>93</v>
      </c>
    </row>
    <row r="6" spans="1:14" ht="14.4" customHeight="1" thickBot="1" x14ac:dyDescent="0.35">
      <c r="A6" s="902" t="s">
        <v>1465</v>
      </c>
      <c r="B6" s="903" t="s">
        <v>1598</v>
      </c>
      <c r="C6" s="906">
        <v>517</v>
      </c>
      <c r="D6" s="907">
        <v>478</v>
      </c>
      <c r="E6" s="907">
        <v>499</v>
      </c>
      <c r="F6" s="908">
        <v>0.96518375241779497</v>
      </c>
      <c r="G6" s="906">
        <v>464.55750000000006</v>
      </c>
      <c r="H6" s="907">
        <v>433.22580000000005</v>
      </c>
      <c r="I6" s="907">
        <v>454.89149999999995</v>
      </c>
      <c r="J6" s="908">
        <v>0.97919310311425367</v>
      </c>
      <c r="K6" s="906">
        <v>20.68</v>
      </c>
      <c r="L6" s="907">
        <v>19.12</v>
      </c>
      <c r="M6" s="907">
        <v>19.96</v>
      </c>
      <c r="N6" s="911">
        <v>40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3" t="s">
        <v>336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8"/>
      <c r="B3" s="329" t="s">
        <v>103</v>
      </c>
      <c r="C3" s="330" t="s">
        <v>104</v>
      </c>
      <c r="D3" s="330" t="s">
        <v>105</v>
      </c>
      <c r="E3" s="329" t="s">
        <v>106</v>
      </c>
      <c r="F3" s="330" t="s">
        <v>107</v>
      </c>
      <c r="G3" s="330" t="s">
        <v>108</v>
      </c>
      <c r="H3" s="330" t="s">
        <v>109</v>
      </c>
      <c r="I3" s="330" t="s">
        <v>110</v>
      </c>
      <c r="J3" s="330" t="s">
        <v>111</v>
      </c>
      <c r="K3" s="330" t="s">
        <v>112</v>
      </c>
      <c r="L3" s="330" t="s">
        <v>113</v>
      </c>
      <c r="M3" s="330" t="s">
        <v>114</v>
      </c>
    </row>
    <row r="4" spans="1:13" ht="14.4" customHeight="1" x14ac:dyDescent="0.3">
      <c r="A4" s="328" t="s">
        <v>102</v>
      </c>
      <c r="B4" s="331">
        <f>(B10+B8)/B6</f>
        <v>0.98411756528444605</v>
      </c>
      <c r="C4" s="331">
        <f t="shared" ref="C4:M4" si="0">(C10+C8)/C6</f>
        <v>0.99785290066252563</v>
      </c>
      <c r="D4" s="331">
        <f t="shared" si="0"/>
        <v>0.96807544815742963</v>
      </c>
      <c r="E4" s="331">
        <f t="shared" si="0"/>
        <v>0.87877587026629567</v>
      </c>
      <c r="F4" s="331">
        <f t="shared" si="0"/>
        <v>0.87877587026629567</v>
      </c>
      <c r="G4" s="331">
        <f t="shared" si="0"/>
        <v>0.87877587026629567</v>
      </c>
      <c r="H4" s="331">
        <f t="shared" si="0"/>
        <v>0.87877587026629567</v>
      </c>
      <c r="I4" s="331">
        <f t="shared" si="0"/>
        <v>0.87877587026629567</v>
      </c>
      <c r="J4" s="331">
        <f t="shared" si="0"/>
        <v>0.87877587026629567</v>
      </c>
      <c r="K4" s="331">
        <f t="shared" si="0"/>
        <v>0.87877587026629567</v>
      </c>
      <c r="L4" s="331">
        <f t="shared" si="0"/>
        <v>0.87877587026629567</v>
      </c>
      <c r="M4" s="331">
        <f t="shared" si="0"/>
        <v>0.87877587026629567</v>
      </c>
    </row>
    <row r="5" spans="1:13" ht="14.4" customHeight="1" x14ac:dyDescent="0.3">
      <c r="A5" s="332" t="s">
        <v>53</v>
      </c>
      <c r="B5" s="331">
        <f>IF(ISERROR(VLOOKUP($A5,'Man Tab'!$A:$Q,COLUMN()+2,0)),0,VLOOKUP($A5,'Man Tab'!$A:$Q,COLUMN()+2,0))</f>
        <v>6425.2831399999995</v>
      </c>
      <c r="C5" s="331">
        <f>IF(ISERROR(VLOOKUP($A5,'Man Tab'!$A:$Q,COLUMN()+2,0)),0,VLOOKUP($A5,'Man Tab'!$A:$Q,COLUMN()+2,0))</f>
        <v>6075.55440000001</v>
      </c>
      <c r="D5" s="331">
        <f>IF(ISERROR(VLOOKUP($A5,'Man Tab'!$A:$Q,COLUMN()+2,0)),0,VLOOKUP($A5,'Man Tab'!$A:$Q,COLUMN()+2,0))</f>
        <v>6333.74197</v>
      </c>
      <c r="E5" s="331">
        <f>IF(ISERROR(VLOOKUP($A5,'Man Tab'!$A:$Q,COLUMN()+2,0)),0,VLOOKUP($A5,'Man Tab'!$A:$Q,COLUMN()+2,0))</f>
        <v>0</v>
      </c>
      <c r="F5" s="331">
        <f>IF(ISERROR(VLOOKUP($A5,'Man Tab'!$A:$Q,COLUMN()+2,0)),0,VLOOKUP($A5,'Man Tab'!$A:$Q,COLUMN()+2,0))</f>
        <v>0</v>
      </c>
      <c r="G5" s="331">
        <f>IF(ISERROR(VLOOKUP($A5,'Man Tab'!$A:$Q,COLUMN()+2,0)),0,VLOOKUP($A5,'Man Tab'!$A:$Q,COLUMN()+2,0))</f>
        <v>0</v>
      </c>
      <c r="H5" s="331">
        <f>IF(ISERROR(VLOOKUP($A5,'Man Tab'!$A:$Q,COLUMN()+2,0)),0,VLOOKUP($A5,'Man Tab'!$A:$Q,COLUMN()+2,0))</f>
        <v>0</v>
      </c>
      <c r="I5" s="331">
        <f>IF(ISERROR(VLOOKUP($A5,'Man Tab'!$A:$Q,COLUMN()+2,0)),0,VLOOKUP($A5,'Man Tab'!$A:$Q,COLUMN()+2,0))</f>
        <v>0</v>
      </c>
      <c r="J5" s="331">
        <f>IF(ISERROR(VLOOKUP($A5,'Man Tab'!$A:$Q,COLUMN()+2,0)),0,VLOOKUP($A5,'Man Tab'!$A:$Q,COLUMN()+2,0))</f>
        <v>0</v>
      </c>
      <c r="K5" s="331">
        <f>IF(ISERROR(VLOOKUP($A5,'Man Tab'!$A:$Q,COLUMN()+2,0)),0,VLOOKUP($A5,'Man Tab'!$A:$Q,COLUMN()+2,0))</f>
        <v>0</v>
      </c>
      <c r="L5" s="331">
        <f>IF(ISERROR(VLOOKUP($A5,'Man Tab'!$A:$Q,COLUMN()+2,0)),0,VLOOKUP($A5,'Man Tab'!$A:$Q,COLUMN()+2,0))</f>
        <v>0</v>
      </c>
      <c r="M5" s="331">
        <f>IF(ISERROR(VLOOKUP($A5,'Man Tab'!$A:$Q,COLUMN()+2,0)),0,VLOOKUP($A5,'Man Tab'!$A:$Q,COLUMN()+2,0))</f>
        <v>0</v>
      </c>
    </row>
    <row r="6" spans="1:13" ht="14.4" customHeight="1" x14ac:dyDescent="0.3">
      <c r="A6" s="332" t="s">
        <v>98</v>
      </c>
      <c r="B6" s="333">
        <f>B5</f>
        <v>6425.2831399999995</v>
      </c>
      <c r="C6" s="333">
        <f t="shared" ref="C6:M6" si="1">C5+B6</f>
        <v>12500.83754000001</v>
      </c>
      <c r="D6" s="333">
        <f t="shared" si="1"/>
        <v>18834.57951000001</v>
      </c>
      <c r="E6" s="333">
        <f t="shared" si="1"/>
        <v>18834.57951000001</v>
      </c>
      <c r="F6" s="333">
        <f t="shared" si="1"/>
        <v>18834.57951000001</v>
      </c>
      <c r="G6" s="333">
        <f t="shared" si="1"/>
        <v>18834.57951000001</v>
      </c>
      <c r="H6" s="333">
        <f t="shared" si="1"/>
        <v>18834.57951000001</v>
      </c>
      <c r="I6" s="333">
        <f t="shared" si="1"/>
        <v>18834.57951000001</v>
      </c>
      <c r="J6" s="333">
        <f t="shared" si="1"/>
        <v>18834.57951000001</v>
      </c>
      <c r="K6" s="333">
        <f t="shared" si="1"/>
        <v>18834.57951000001</v>
      </c>
      <c r="L6" s="333">
        <f t="shared" si="1"/>
        <v>18834.57951000001</v>
      </c>
      <c r="M6" s="333">
        <f t="shared" si="1"/>
        <v>18834.57951000001</v>
      </c>
    </row>
    <row r="7" spans="1:13" ht="14.4" customHeight="1" x14ac:dyDescent="0.3">
      <c r="A7" s="332" t="s">
        <v>127</v>
      </c>
      <c r="B7" s="332">
        <v>12.878</v>
      </c>
      <c r="C7" s="332">
        <v>33.914999999999999</v>
      </c>
      <c r="D7" s="332">
        <v>56.064</v>
      </c>
      <c r="E7" s="332"/>
      <c r="F7" s="332"/>
      <c r="G7" s="332"/>
      <c r="H7" s="332"/>
      <c r="I7" s="332"/>
      <c r="J7" s="332"/>
      <c r="K7" s="332"/>
      <c r="L7" s="332"/>
      <c r="M7" s="332"/>
    </row>
    <row r="8" spans="1:13" ht="14.4" customHeight="1" x14ac:dyDescent="0.3">
      <c r="A8" s="332" t="s">
        <v>99</v>
      </c>
      <c r="B8" s="333">
        <f>B7*30</f>
        <v>386.34000000000003</v>
      </c>
      <c r="C8" s="333">
        <f t="shared" ref="C8:M8" si="2">C7*30</f>
        <v>1017.4499999999999</v>
      </c>
      <c r="D8" s="333">
        <f t="shared" si="2"/>
        <v>1681.92</v>
      </c>
      <c r="E8" s="333">
        <f t="shared" si="2"/>
        <v>0</v>
      </c>
      <c r="F8" s="333">
        <f t="shared" si="2"/>
        <v>0</v>
      </c>
      <c r="G8" s="333">
        <f t="shared" si="2"/>
        <v>0</v>
      </c>
      <c r="H8" s="333">
        <f t="shared" si="2"/>
        <v>0</v>
      </c>
      <c r="I8" s="333">
        <f t="shared" si="2"/>
        <v>0</v>
      </c>
      <c r="J8" s="333">
        <f t="shared" si="2"/>
        <v>0</v>
      </c>
      <c r="K8" s="333">
        <f t="shared" si="2"/>
        <v>0</v>
      </c>
      <c r="L8" s="333">
        <f t="shared" si="2"/>
        <v>0</v>
      </c>
      <c r="M8" s="333">
        <f t="shared" si="2"/>
        <v>0</v>
      </c>
    </row>
    <row r="9" spans="1:13" ht="14.4" customHeight="1" x14ac:dyDescent="0.3">
      <c r="A9" s="332" t="s">
        <v>128</v>
      </c>
      <c r="B9" s="332">
        <v>5936894</v>
      </c>
      <c r="C9" s="332">
        <v>5519653</v>
      </c>
      <c r="D9" s="332">
        <v>5094827</v>
      </c>
      <c r="E9" s="332">
        <v>0</v>
      </c>
      <c r="F9" s="332">
        <v>0</v>
      </c>
      <c r="G9" s="332">
        <v>0</v>
      </c>
      <c r="H9" s="332">
        <v>0</v>
      </c>
      <c r="I9" s="332">
        <v>0</v>
      </c>
      <c r="J9" s="332">
        <v>0</v>
      </c>
      <c r="K9" s="332">
        <v>0</v>
      </c>
      <c r="L9" s="332">
        <v>0</v>
      </c>
      <c r="M9" s="332">
        <v>0</v>
      </c>
    </row>
    <row r="10" spans="1:13" ht="14.4" customHeight="1" x14ac:dyDescent="0.3">
      <c r="A10" s="332" t="s">
        <v>100</v>
      </c>
      <c r="B10" s="333">
        <f>B9/1000</f>
        <v>5936.8940000000002</v>
      </c>
      <c r="C10" s="333">
        <f t="shared" ref="C10:M10" si="3">C9/1000+B10</f>
        <v>11456.547</v>
      </c>
      <c r="D10" s="333">
        <f t="shared" si="3"/>
        <v>16551.374</v>
      </c>
      <c r="E10" s="333">
        <f t="shared" si="3"/>
        <v>16551.374</v>
      </c>
      <c r="F10" s="333">
        <f t="shared" si="3"/>
        <v>16551.374</v>
      </c>
      <c r="G10" s="333">
        <f t="shared" si="3"/>
        <v>16551.374</v>
      </c>
      <c r="H10" s="333">
        <f t="shared" si="3"/>
        <v>16551.374</v>
      </c>
      <c r="I10" s="333">
        <f t="shared" si="3"/>
        <v>16551.374</v>
      </c>
      <c r="J10" s="333">
        <f t="shared" si="3"/>
        <v>16551.374</v>
      </c>
      <c r="K10" s="333">
        <f t="shared" si="3"/>
        <v>16551.374</v>
      </c>
      <c r="L10" s="333">
        <f t="shared" si="3"/>
        <v>16551.374</v>
      </c>
      <c r="M10" s="333">
        <f t="shared" si="3"/>
        <v>16551.374</v>
      </c>
    </row>
    <row r="11" spans="1:13" ht="14.4" customHeight="1" x14ac:dyDescent="0.3">
      <c r="A11" s="328"/>
      <c r="B11" s="328" t="s">
        <v>116</v>
      </c>
      <c r="C11" s="328">
        <f ca="1">IF(MONTH(TODAY())=1,12,MONTH(TODAY())-1)</f>
        <v>3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4.4" customHeight="1" x14ac:dyDescent="0.3">
      <c r="A12" s="328">
        <v>0</v>
      </c>
      <c r="B12" s="331">
        <f>IF(ISERROR(HI!F15),#REF!,HI!F15)</f>
        <v>0.92268603691207707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4.4" customHeight="1" x14ac:dyDescent="0.3">
      <c r="A13" s="328">
        <v>1</v>
      </c>
      <c r="B13" s="331">
        <f>IF(ISERROR(HI!F15),#REF!,HI!F15)</f>
        <v>0.92268603691207707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4" customFormat="1" ht="18.600000000000001" customHeight="1" thickBot="1" x14ac:dyDescent="0.4">
      <c r="A1" s="487" t="s">
        <v>338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4" customFormat="1" ht="14.4" customHeight="1" thickBot="1" x14ac:dyDescent="0.3">
      <c r="A2" s="383" t="s">
        <v>336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2015</v>
      </c>
      <c r="C4" s="264" t="s">
        <v>30</v>
      </c>
      <c r="D4" s="242" t="s">
        <v>314</v>
      </c>
      <c r="E4" s="242" t="s">
        <v>315</v>
      </c>
      <c r="F4" s="242" t="s">
        <v>316</v>
      </c>
      <c r="G4" s="242" t="s">
        <v>317</v>
      </c>
      <c r="H4" s="242" t="s">
        <v>318</v>
      </c>
      <c r="I4" s="242" t="s">
        <v>319</v>
      </c>
      <c r="J4" s="242" t="s">
        <v>320</v>
      </c>
      <c r="K4" s="242" t="s">
        <v>321</v>
      </c>
      <c r="L4" s="242" t="s">
        <v>322</v>
      </c>
      <c r="M4" s="242" t="s">
        <v>323</v>
      </c>
      <c r="N4" s="242" t="s">
        <v>324</v>
      </c>
      <c r="O4" s="242" t="s">
        <v>325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337</v>
      </c>
    </row>
    <row r="7" spans="1:17" ht="14.4" customHeight="1" x14ac:dyDescent="0.3">
      <c r="A7" s="19" t="s">
        <v>35</v>
      </c>
      <c r="B7" s="55">
        <v>36662.587925056701</v>
      </c>
      <c r="C7" s="56">
        <v>3055.2156604213901</v>
      </c>
      <c r="D7" s="56">
        <v>3235.43273</v>
      </c>
      <c r="E7" s="56">
        <v>2960.2712900000101</v>
      </c>
      <c r="F7" s="56">
        <v>3292.7002600000001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9488.4042800000097</v>
      </c>
      <c r="Q7" s="189">
        <v>1.035213804262</v>
      </c>
    </row>
    <row r="8" spans="1:17" ht="14.4" customHeight="1" x14ac:dyDescent="0.3">
      <c r="A8" s="19" t="s">
        <v>36</v>
      </c>
      <c r="B8" s="55">
        <v>10.563987247426001</v>
      </c>
      <c r="C8" s="56">
        <v>0.88033227061800001</v>
      </c>
      <c r="D8" s="56">
        <v>0</v>
      </c>
      <c r="E8" s="56">
        <v>2.1589999999999998</v>
      </c>
      <c r="F8" s="56">
        <v>2.1589999999999998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4.3179999999999996</v>
      </c>
      <c r="Q8" s="189">
        <v>1.6349887211580001</v>
      </c>
    </row>
    <row r="9" spans="1:17" ht="14.4" customHeight="1" x14ac:dyDescent="0.3">
      <c r="A9" s="19" t="s">
        <v>37</v>
      </c>
      <c r="B9" s="55">
        <v>1511.7611823831901</v>
      </c>
      <c r="C9" s="56">
        <v>125.980098531932</v>
      </c>
      <c r="D9" s="56">
        <v>129.41896</v>
      </c>
      <c r="E9" s="56">
        <v>121.04392</v>
      </c>
      <c r="F9" s="56">
        <v>113.66915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364.13202999999999</v>
      </c>
      <c r="Q9" s="189">
        <v>0.96346442610899996</v>
      </c>
    </row>
    <row r="10" spans="1:17" ht="14.4" customHeight="1" x14ac:dyDescent="0.3">
      <c r="A10" s="19" t="s">
        <v>38</v>
      </c>
      <c r="B10" s="55">
        <v>138.18272703585799</v>
      </c>
      <c r="C10" s="56">
        <v>11.515227252988</v>
      </c>
      <c r="D10" s="56">
        <v>9.4992099999989996</v>
      </c>
      <c r="E10" s="56">
        <v>11.284660000000001</v>
      </c>
      <c r="F10" s="56">
        <v>11.847020000000001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32.630890000000001</v>
      </c>
      <c r="Q10" s="189">
        <v>0.94457218206500004</v>
      </c>
    </row>
    <row r="11" spans="1:17" ht="14.4" customHeight="1" x14ac:dyDescent="0.3">
      <c r="A11" s="19" t="s">
        <v>39</v>
      </c>
      <c r="B11" s="55">
        <v>339.66218831636399</v>
      </c>
      <c r="C11" s="56">
        <v>28.305182359697</v>
      </c>
      <c r="D11" s="56">
        <v>33.497500000000002</v>
      </c>
      <c r="E11" s="56">
        <v>18.62792</v>
      </c>
      <c r="F11" s="56">
        <v>13.58217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65.707589999999996</v>
      </c>
      <c r="Q11" s="189">
        <v>0.77379928953099997</v>
      </c>
    </row>
    <row r="12" spans="1:17" ht="14.4" customHeight="1" x14ac:dyDescent="0.3">
      <c r="A12" s="19" t="s">
        <v>40</v>
      </c>
      <c r="B12" s="55">
        <v>75.689831929053</v>
      </c>
      <c r="C12" s="56">
        <v>6.3074859940870001</v>
      </c>
      <c r="D12" s="56">
        <v>0.44845000000000002</v>
      </c>
      <c r="E12" s="56">
        <v>2.1499999999999998E-2</v>
      </c>
      <c r="F12" s="56">
        <v>8.0274999999999999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8.4974500000000006</v>
      </c>
      <c r="Q12" s="189">
        <v>0.44906692396699999</v>
      </c>
    </row>
    <row r="13" spans="1:17" ht="14.4" customHeight="1" x14ac:dyDescent="0.3">
      <c r="A13" s="19" t="s">
        <v>41</v>
      </c>
      <c r="B13" s="55">
        <v>55.999998236134999</v>
      </c>
      <c r="C13" s="56">
        <v>4.6666665196770003</v>
      </c>
      <c r="D13" s="56">
        <v>6.14811</v>
      </c>
      <c r="E13" s="56">
        <v>4.7782799999999996</v>
      </c>
      <c r="F13" s="56">
        <v>3.1740400000000002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14.100429999999999</v>
      </c>
      <c r="Q13" s="189">
        <v>1.007173603152</v>
      </c>
    </row>
    <row r="14" spans="1:17" ht="14.4" customHeight="1" x14ac:dyDescent="0.3">
      <c r="A14" s="19" t="s">
        <v>42</v>
      </c>
      <c r="B14" s="55">
        <v>2152.7733565615999</v>
      </c>
      <c r="C14" s="56">
        <v>179.39777971346601</v>
      </c>
      <c r="D14" s="56">
        <v>280.86599999999999</v>
      </c>
      <c r="E14" s="56">
        <v>239.55200000000099</v>
      </c>
      <c r="F14" s="56">
        <v>226.73500000000001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747.15300000000002</v>
      </c>
      <c r="Q14" s="189">
        <v>1.3882613285280001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337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337</v>
      </c>
    </row>
    <row r="17" spans="1:17" ht="14.4" customHeight="1" x14ac:dyDescent="0.3">
      <c r="A17" s="19" t="s">
        <v>45</v>
      </c>
      <c r="B17" s="55">
        <v>1554.10852588749</v>
      </c>
      <c r="C17" s="56">
        <v>129.509043823957</v>
      </c>
      <c r="D17" s="56">
        <v>21.062899999999999</v>
      </c>
      <c r="E17" s="56">
        <v>19.010649999999998</v>
      </c>
      <c r="F17" s="56">
        <v>21.455629999999999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61.529179999999997</v>
      </c>
      <c r="Q17" s="189">
        <v>0.15836520802699999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0</v>
      </c>
      <c r="F18" s="56">
        <v>1.9710000000000001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1.9710000000000001</v>
      </c>
      <c r="Q18" s="189" t="s">
        <v>337</v>
      </c>
    </row>
    <row r="19" spans="1:17" ht="14.4" customHeight="1" x14ac:dyDescent="0.3">
      <c r="A19" s="19" t="s">
        <v>47</v>
      </c>
      <c r="B19" s="55">
        <v>4409.3209784990204</v>
      </c>
      <c r="C19" s="56">
        <v>367.44341487491801</v>
      </c>
      <c r="D19" s="56">
        <v>290.76281999999998</v>
      </c>
      <c r="E19" s="56">
        <v>284.14225000000101</v>
      </c>
      <c r="F19" s="56">
        <v>239.00138999999999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813.90646000000004</v>
      </c>
      <c r="Q19" s="189">
        <v>0.738350838116</v>
      </c>
    </row>
    <row r="20" spans="1:17" ht="14.4" customHeight="1" x14ac:dyDescent="0.3">
      <c r="A20" s="19" t="s">
        <v>48</v>
      </c>
      <c r="B20" s="55">
        <v>23407.9992627047</v>
      </c>
      <c r="C20" s="56">
        <v>1950.66660522539</v>
      </c>
      <c r="D20" s="56">
        <v>1931.2854600000001</v>
      </c>
      <c r="E20" s="56">
        <v>1936.20893</v>
      </c>
      <c r="F20" s="56">
        <v>1939.53981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5807.0342000000001</v>
      </c>
      <c r="Q20" s="189">
        <v>0.99231619666899995</v>
      </c>
    </row>
    <row r="21" spans="1:17" ht="14.4" customHeight="1" x14ac:dyDescent="0.3">
      <c r="A21" s="20" t="s">
        <v>49</v>
      </c>
      <c r="B21" s="55">
        <v>5513.9921276662899</v>
      </c>
      <c r="C21" s="56">
        <v>459.49934397219101</v>
      </c>
      <c r="D21" s="56">
        <v>459.48099999999999</v>
      </c>
      <c r="E21" s="56">
        <v>459.48100000000102</v>
      </c>
      <c r="F21" s="56">
        <v>459.48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1378.442</v>
      </c>
      <c r="Q21" s="189">
        <v>0.999959352922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0</v>
      </c>
      <c r="Q22" s="189" t="s">
        <v>337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337</v>
      </c>
    </row>
    <row r="24" spans="1:17" ht="14.4" customHeight="1" x14ac:dyDescent="0.3">
      <c r="A24" s="20" t="s">
        <v>52</v>
      </c>
      <c r="B24" s="55">
        <v>1.45519152283669E-11</v>
      </c>
      <c r="C24" s="56">
        <v>0</v>
      </c>
      <c r="D24" s="56">
        <v>27.379999999999001</v>
      </c>
      <c r="E24" s="56">
        <v>18.972999999997999</v>
      </c>
      <c r="F24" s="56">
        <v>0.39999999999899999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46.752999999997002</v>
      </c>
      <c r="Q24" s="189"/>
    </row>
    <row r="25" spans="1:17" ht="14.4" customHeight="1" x14ac:dyDescent="0.3">
      <c r="A25" s="21" t="s">
        <v>53</v>
      </c>
      <c r="B25" s="58">
        <v>75832.642091523798</v>
      </c>
      <c r="C25" s="59">
        <v>6319.3868409603201</v>
      </c>
      <c r="D25" s="59">
        <v>6425.2831399999995</v>
      </c>
      <c r="E25" s="59">
        <v>6075.55440000001</v>
      </c>
      <c r="F25" s="59">
        <v>6333.74197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18834.57951</v>
      </c>
      <c r="Q25" s="190">
        <v>0.99348138165900002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296.52616</v>
      </c>
      <c r="E26" s="56">
        <v>308.41840000000002</v>
      </c>
      <c r="F26" s="56">
        <v>334.45677000000001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939.40133000000003</v>
      </c>
      <c r="Q26" s="189" t="s">
        <v>337</v>
      </c>
    </row>
    <row r="27" spans="1:17" ht="14.4" customHeight="1" x14ac:dyDescent="0.3">
      <c r="A27" s="22" t="s">
        <v>55</v>
      </c>
      <c r="B27" s="58">
        <v>75832.642091523798</v>
      </c>
      <c r="C27" s="59">
        <v>6319.3868409603201</v>
      </c>
      <c r="D27" s="59">
        <v>6721.8092999999999</v>
      </c>
      <c r="E27" s="59">
        <v>6383.9728000000096</v>
      </c>
      <c r="F27" s="59">
        <v>6668.1987399999998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19773.98084</v>
      </c>
      <c r="Q27" s="190">
        <v>1.0430326727179999</v>
      </c>
    </row>
    <row r="28" spans="1:17" ht="14.4" customHeight="1" x14ac:dyDescent="0.3">
      <c r="A28" s="20" t="s">
        <v>56</v>
      </c>
      <c r="B28" s="55">
        <v>46.230230517834002</v>
      </c>
      <c r="C28" s="56">
        <v>3.852519209819</v>
      </c>
      <c r="D28" s="56">
        <v>7.82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7.82</v>
      </c>
      <c r="Q28" s="189">
        <v>0.67661354160700005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337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337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203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334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3" t="s">
        <v>336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330</v>
      </c>
      <c r="G4" s="499" t="s">
        <v>64</v>
      </c>
      <c r="H4" s="266" t="s">
        <v>184</v>
      </c>
      <c r="I4" s="497" t="s">
        <v>65</v>
      </c>
      <c r="J4" s="499" t="s">
        <v>332</v>
      </c>
      <c r="K4" s="500" t="s">
        <v>333</v>
      </c>
    </row>
    <row r="5" spans="1:11" ht="42" thickBot="1" x14ac:dyDescent="0.35">
      <c r="A5" s="103"/>
      <c r="B5" s="28" t="s">
        <v>326</v>
      </c>
      <c r="C5" s="29" t="s">
        <v>327</v>
      </c>
      <c r="D5" s="30" t="s">
        <v>328</v>
      </c>
      <c r="E5" s="30" t="s">
        <v>329</v>
      </c>
      <c r="F5" s="498"/>
      <c r="G5" s="498"/>
      <c r="H5" s="29" t="s">
        <v>331</v>
      </c>
      <c r="I5" s="498"/>
      <c r="J5" s="498"/>
      <c r="K5" s="501"/>
    </row>
    <row r="6" spans="1:11" ht="14.4" customHeight="1" thickBot="1" x14ac:dyDescent="0.35">
      <c r="A6" s="633" t="s">
        <v>339</v>
      </c>
      <c r="B6" s="615">
        <v>83497.005161821304</v>
      </c>
      <c r="C6" s="615">
        <v>75566.422609999994</v>
      </c>
      <c r="D6" s="616">
        <v>-7930.5825518212196</v>
      </c>
      <c r="E6" s="617">
        <v>0.905019556851</v>
      </c>
      <c r="F6" s="615">
        <v>75832.642091523798</v>
      </c>
      <c r="G6" s="616">
        <v>18958.160522881</v>
      </c>
      <c r="H6" s="618">
        <v>6333.74197</v>
      </c>
      <c r="I6" s="615">
        <v>18834.57951</v>
      </c>
      <c r="J6" s="616">
        <v>-123.58101288095</v>
      </c>
      <c r="K6" s="619">
        <v>0.24837034541399999</v>
      </c>
    </row>
    <row r="7" spans="1:11" ht="14.4" customHeight="1" thickBot="1" x14ac:dyDescent="0.35">
      <c r="A7" s="634" t="s">
        <v>340</v>
      </c>
      <c r="B7" s="615">
        <v>48595.156184343301</v>
      </c>
      <c r="C7" s="615">
        <v>40747.048000000003</v>
      </c>
      <c r="D7" s="616">
        <v>-7848.1081843432803</v>
      </c>
      <c r="E7" s="617">
        <v>0.83850019630399997</v>
      </c>
      <c r="F7" s="615">
        <v>40947.221196766302</v>
      </c>
      <c r="G7" s="616">
        <v>10236.805299191599</v>
      </c>
      <c r="H7" s="618">
        <v>3671.8941399999999</v>
      </c>
      <c r="I7" s="615">
        <v>10724.943670000001</v>
      </c>
      <c r="J7" s="616">
        <v>488.138370808427</v>
      </c>
      <c r="K7" s="619">
        <v>0.26192115988600001</v>
      </c>
    </row>
    <row r="8" spans="1:11" ht="14.4" customHeight="1" thickBot="1" x14ac:dyDescent="0.35">
      <c r="A8" s="635" t="s">
        <v>341</v>
      </c>
      <c r="B8" s="615">
        <v>46290.129977074699</v>
      </c>
      <c r="C8" s="615">
        <v>38675.589</v>
      </c>
      <c r="D8" s="616">
        <v>-7614.5409770746901</v>
      </c>
      <c r="E8" s="617">
        <v>0.83550400526299995</v>
      </c>
      <c r="F8" s="615">
        <v>38794.447840204703</v>
      </c>
      <c r="G8" s="616">
        <v>9698.6119600511793</v>
      </c>
      <c r="H8" s="618">
        <v>3445.1591400000002</v>
      </c>
      <c r="I8" s="615">
        <v>9977.7906700000094</v>
      </c>
      <c r="J8" s="616">
        <v>279.17870994882799</v>
      </c>
      <c r="K8" s="619">
        <v>0.25719635735200003</v>
      </c>
    </row>
    <row r="9" spans="1:11" ht="14.4" customHeight="1" thickBot="1" x14ac:dyDescent="0.35">
      <c r="A9" s="636" t="s">
        <v>342</v>
      </c>
      <c r="B9" s="620">
        <v>0</v>
      </c>
      <c r="C9" s="620">
        <v>-2.0000000000000001E-4</v>
      </c>
      <c r="D9" s="621">
        <v>-2.0000000000000001E-4</v>
      </c>
      <c r="E9" s="622" t="s">
        <v>337</v>
      </c>
      <c r="F9" s="620">
        <v>0</v>
      </c>
      <c r="G9" s="621">
        <v>0</v>
      </c>
      <c r="H9" s="623">
        <v>0</v>
      </c>
      <c r="I9" s="620">
        <v>0</v>
      </c>
      <c r="J9" s="621">
        <v>0</v>
      </c>
      <c r="K9" s="624" t="s">
        <v>337</v>
      </c>
    </row>
    <row r="10" spans="1:11" ht="14.4" customHeight="1" thickBot="1" x14ac:dyDescent="0.35">
      <c r="A10" s="637" t="s">
        <v>343</v>
      </c>
      <c r="B10" s="615">
        <v>0</v>
      </c>
      <c r="C10" s="615">
        <v>-2.0000000000000001E-4</v>
      </c>
      <c r="D10" s="616">
        <v>-2.0000000000000001E-4</v>
      </c>
      <c r="E10" s="625" t="s">
        <v>337</v>
      </c>
      <c r="F10" s="615">
        <v>0</v>
      </c>
      <c r="G10" s="616">
        <v>0</v>
      </c>
      <c r="H10" s="618">
        <v>0</v>
      </c>
      <c r="I10" s="615">
        <v>0</v>
      </c>
      <c r="J10" s="616">
        <v>0</v>
      </c>
      <c r="K10" s="626" t="s">
        <v>337</v>
      </c>
    </row>
    <row r="11" spans="1:11" ht="14.4" customHeight="1" thickBot="1" x14ac:dyDescent="0.35">
      <c r="A11" s="636" t="s">
        <v>344</v>
      </c>
      <c r="B11" s="620">
        <v>41812.382230652198</v>
      </c>
      <c r="C11" s="620">
        <v>36707.765070000001</v>
      </c>
      <c r="D11" s="621">
        <v>-5104.6171606521602</v>
      </c>
      <c r="E11" s="627">
        <v>0.87791613660000001</v>
      </c>
      <c r="F11" s="620">
        <v>36662.587925056701</v>
      </c>
      <c r="G11" s="621">
        <v>9165.6469812641699</v>
      </c>
      <c r="H11" s="623">
        <v>3292.7002600000001</v>
      </c>
      <c r="I11" s="620">
        <v>9488.4042800000097</v>
      </c>
      <c r="J11" s="621">
        <v>322.75729873583401</v>
      </c>
      <c r="K11" s="628">
        <v>0.25880345106500002</v>
      </c>
    </row>
    <row r="12" spans="1:11" ht="14.4" customHeight="1" thickBot="1" x14ac:dyDescent="0.35">
      <c r="A12" s="637" t="s">
        <v>345</v>
      </c>
      <c r="B12" s="615">
        <v>196.03508234523201</v>
      </c>
      <c r="C12" s="615">
        <v>123.82053999999999</v>
      </c>
      <c r="D12" s="616">
        <v>-72.214542345232005</v>
      </c>
      <c r="E12" s="617">
        <v>0.631624393545</v>
      </c>
      <c r="F12" s="615">
        <v>187.47868053791899</v>
      </c>
      <c r="G12" s="616">
        <v>46.869670134479001</v>
      </c>
      <c r="H12" s="618">
        <v>8.3859899999999996</v>
      </c>
      <c r="I12" s="615">
        <v>27.329239999999999</v>
      </c>
      <c r="J12" s="616">
        <v>-19.540430134478999</v>
      </c>
      <c r="K12" s="619">
        <v>0.14577252155500001</v>
      </c>
    </row>
    <row r="13" spans="1:11" ht="14.4" customHeight="1" thickBot="1" x14ac:dyDescent="0.35">
      <c r="A13" s="637" t="s">
        <v>346</v>
      </c>
      <c r="B13" s="615">
        <v>35999.906493505798</v>
      </c>
      <c r="C13" s="615">
        <v>31030.72205</v>
      </c>
      <c r="D13" s="616">
        <v>-4969.1844435058301</v>
      </c>
      <c r="E13" s="617">
        <v>0.86196674026300002</v>
      </c>
      <c r="F13" s="615">
        <v>30130.433833572999</v>
      </c>
      <c r="G13" s="616">
        <v>7532.6084583932598</v>
      </c>
      <c r="H13" s="618">
        <v>2911.7811000000002</v>
      </c>
      <c r="I13" s="615">
        <v>7649.8663999999999</v>
      </c>
      <c r="J13" s="616">
        <v>117.257941606747</v>
      </c>
      <c r="K13" s="619">
        <v>0.25389167783799999</v>
      </c>
    </row>
    <row r="14" spans="1:11" ht="14.4" customHeight="1" thickBot="1" x14ac:dyDescent="0.35">
      <c r="A14" s="637" t="s">
        <v>347</v>
      </c>
      <c r="B14" s="615">
        <v>13.999999999999</v>
      </c>
      <c r="C14" s="615">
        <v>0</v>
      </c>
      <c r="D14" s="616">
        <v>-13.999999999999</v>
      </c>
      <c r="E14" s="617">
        <v>0</v>
      </c>
      <c r="F14" s="615">
        <v>0</v>
      </c>
      <c r="G14" s="616">
        <v>0</v>
      </c>
      <c r="H14" s="618">
        <v>0</v>
      </c>
      <c r="I14" s="615">
        <v>0</v>
      </c>
      <c r="J14" s="616">
        <v>0</v>
      </c>
      <c r="K14" s="619">
        <v>3</v>
      </c>
    </row>
    <row r="15" spans="1:11" ht="14.4" customHeight="1" thickBot="1" x14ac:dyDescent="0.35">
      <c r="A15" s="637" t="s">
        <v>348</v>
      </c>
      <c r="B15" s="615">
        <v>3601.91372510983</v>
      </c>
      <c r="C15" s="615">
        <v>3608.3956600000001</v>
      </c>
      <c r="D15" s="616">
        <v>6.4819348901750002</v>
      </c>
      <c r="E15" s="617">
        <v>1.0017995808289999</v>
      </c>
      <c r="F15" s="615">
        <v>3474.15486962062</v>
      </c>
      <c r="G15" s="616">
        <v>868.53871740515399</v>
      </c>
      <c r="H15" s="618">
        <v>315.46447999999998</v>
      </c>
      <c r="I15" s="615">
        <v>1121.82988</v>
      </c>
      <c r="J15" s="616">
        <v>253.29116259484701</v>
      </c>
      <c r="K15" s="619">
        <v>0.32290727445900003</v>
      </c>
    </row>
    <row r="16" spans="1:11" ht="14.4" customHeight="1" thickBot="1" x14ac:dyDescent="0.35">
      <c r="A16" s="637" t="s">
        <v>349</v>
      </c>
      <c r="B16" s="615">
        <v>0.52692969128300005</v>
      </c>
      <c r="C16" s="615">
        <v>0.77958000000000005</v>
      </c>
      <c r="D16" s="616">
        <v>0.25265030871600003</v>
      </c>
      <c r="E16" s="617">
        <v>1.47947631894</v>
      </c>
      <c r="F16" s="615">
        <v>0.95649377841299998</v>
      </c>
      <c r="G16" s="616">
        <v>0.239123444603</v>
      </c>
      <c r="H16" s="618">
        <v>0</v>
      </c>
      <c r="I16" s="615">
        <v>0</v>
      </c>
      <c r="J16" s="616">
        <v>-0.239123444603</v>
      </c>
      <c r="K16" s="619">
        <v>0</v>
      </c>
    </row>
    <row r="17" spans="1:11" ht="14.4" customHeight="1" thickBot="1" x14ac:dyDescent="0.35">
      <c r="A17" s="637" t="s">
        <v>350</v>
      </c>
      <c r="B17" s="615">
        <v>0</v>
      </c>
      <c r="C17" s="615">
        <v>0.20302000000000001</v>
      </c>
      <c r="D17" s="616">
        <v>0.20302000000000001</v>
      </c>
      <c r="E17" s="625" t="s">
        <v>351</v>
      </c>
      <c r="F17" s="615">
        <v>0</v>
      </c>
      <c r="G17" s="616">
        <v>0</v>
      </c>
      <c r="H17" s="618">
        <v>0</v>
      </c>
      <c r="I17" s="615">
        <v>0</v>
      </c>
      <c r="J17" s="616">
        <v>0</v>
      </c>
      <c r="K17" s="619">
        <v>3</v>
      </c>
    </row>
    <row r="18" spans="1:11" ht="14.4" customHeight="1" thickBot="1" x14ac:dyDescent="0.35">
      <c r="A18" s="637" t="s">
        <v>352</v>
      </c>
      <c r="B18" s="615">
        <v>2000</v>
      </c>
      <c r="C18" s="615">
        <v>1943.84422</v>
      </c>
      <c r="D18" s="616">
        <v>-56.155779999997002</v>
      </c>
      <c r="E18" s="617">
        <v>0.97192210999999995</v>
      </c>
      <c r="F18" s="615">
        <v>2869.5640475467198</v>
      </c>
      <c r="G18" s="616">
        <v>717.39101188667905</v>
      </c>
      <c r="H18" s="618">
        <v>57.068689999999997</v>
      </c>
      <c r="I18" s="615">
        <v>689.37876000000006</v>
      </c>
      <c r="J18" s="616">
        <v>-28.012251886679</v>
      </c>
      <c r="K18" s="619">
        <v>0.24023815066500001</v>
      </c>
    </row>
    <row r="19" spans="1:11" ht="14.4" customHeight="1" thickBot="1" x14ac:dyDescent="0.35">
      <c r="A19" s="636" t="s">
        <v>353</v>
      </c>
      <c r="B19" s="620">
        <v>10.999934823765001</v>
      </c>
      <c r="C19" s="620">
        <v>6.4770000000000003</v>
      </c>
      <c r="D19" s="621">
        <v>-4.5229348237649996</v>
      </c>
      <c r="E19" s="627">
        <v>0.58882167065199997</v>
      </c>
      <c r="F19" s="620">
        <v>10.563987247426001</v>
      </c>
      <c r="G19" s="621">
        <v>2.6409968118560001</v>
      </c>
      <c r="H19" s="623">
        <v>2.1589999999999998</v>
      </c>
      <c r="I19" s="620">
        <v>4.3179999999999996</v>
      </c>
      <c r="J19" s="621">
        <v>1.6770031881430001</v>
      </c>
      <c r="K19" s="628">
        <v>0.40874718028899998</v>
      </c>
    </row>
    <row r="20" spans="1:11" ht="14.4" customHeight="1" thickBot="1" x14ac:dyDescent="0.35">
      <c r="A20" s="637" t="s">
        <v>354</v>
      </c>
      <c r="B20" s="615">
        <v>10.999934823765001</v>
      </c>
      <c r="C20" s="615">
        <v>6.4770000000000003</v>
      </c>
      <c r="D20" s="616">
        <v>-4.5229348237649996</v>
      </c>
      <c r="E20" s="617">
        <v>0.58882167065199997</v>
      </c>
      <c r="F20" s="615">
        <v>10.563987247426001</v>
      </c>
      <c r="G20" s="616">
        <v>2.6409968118560001</v>
      </c>
      <c r="H20" s="618">
        <v>2.1589999999999998</v>
      </c>
      <c r="I20" s="615">
        <v>4.3179999999999996</v>
      </c>
      <c r="J20" s="616">
        <v>1.6770031881430001</v>
      </c>
      <c r="K20" s="619">
        <v>0.40874718028899998</v>
      </c>
    </row>
    <row r="21" spans="1:11" ht="14.4" customHeight="1" thickBot="1" x14ac:dyDescent="0.35">
      <c r="A21" s="636" t="s">
        <v>355</v>
      </c>
      <c r="B21" s="620">
        <v>1514.46521609612</v>
      </c>
      <c r="C21" s="620">
        <v>1490.0433499999999</v>
      </c>
      <c r="D21" s="621">
        <v>-24.421866096121001</v>
      </c>
      <c r="E21" s="627">
        <v>0.98387426410500001</v>
      </c>
      <c r="F21" s="620">
        <v>1511.7611823831901</v>
      </c>
      <c r="G21" s="621">
        <v>377.94029559579599</v>
      </c>
      <c r="H21" s="623">
        <v>113.66915</v>
      </c>
      <c r="I21" s="620">
        <v>364.13202999999999</v>
      </c>
      <c r="J21" s="621">
        <v>-13.808265595796</v>
      </c>
      <c r="K21" s="628">
        <v>0.240866106527</v>
      </c>
    </row>
    <row r="22" spans="1:11" ht="14.4" customHeight="1" thickBot="1" x14ac:dyDescent="0.35">
      <c r="A22" s="637" t="s">
        <v>356</v>
      </c>
      <c r="B22" s="615">
        <v>0.29160969114000002</v>
      </c>
      <c r="C22" s="615">
        <v>0.99487000000000003</v>
      </c>
      <c r="D22" s="616">
        <v>0.70326030885900004</v>
      </c>
      <c r="E22" s="617">
        <v>3.4116493046169998</v>
      </c>
      <c r="F22" s="615">
        <v>0.99999996850200001</v>
      </c>
      <c r="G22" s="616">
        <v>0.24999999212499999</v>
      </c>
      <c r="H22" s="618">
        <v>0</v>
      </c>
      <c r="I22" s="615">
        <v>0</v>
      </c>
      <c r="J22" s="616">
        <v>-0.24999999212499999</v>
      </c>
      <c r="K22" s="619">
        <v>0</v>
      </c>
    </row>
    <row r="23" spans="1:11" ht="14.4" customHeight="1" thickBot="1" x14ac:dyDescent="0.35">
      <c r="A23" s="637" t="s">
        <v>357</v>
      </c>
      <c r="B23" s="615">
        <v>1</v>
      </c>
      <c r="C23" s="615">
        <v>0.76122999999999996</v>
      </c>
      <c r="D23" s="616">
        <v>-0.23877000000000001</v>
      </c>
      <c r="E23" s="617">
        <v>0.76122999999999996</v>
      </c>
      <c r="F23" s="615">
        <v>0.76122997602300002</v>
      </c>
      <c r="G23" s="616">
        <v>0.19030749400499999</v>
      </c>
      <c r="H23" s="618">
        <v>0</v>
      </c>
      <c r="I23" s="615">
        <v>0</v>
      </c>
      <c r="J23" s="616">
        <v>-0.19030749400499999</v>
      </c>
      <c r="K23" s="619">
        <v>0</v>
      </c>
    </row>
    <row r="24" spans="1:11" ht="14.4" customHeight="1" thickBot="1" x14ac:dyDescent="0.35">
      <c r="A24" s="637" t="s">
        <v>358</v>
      </c>
      <c r="B24" s="615">
        <v>26.379532306819002</v>
      </c>
      <c r="C24" s="615">
        <v>20.084610000000001</v>
      </c>
      <c r="D24" s="616">
        <v>-6.2949223068190001</v>
      </c>
      <c r="E24" s="617">
        <v>0.76137096618599998</v>
      </c>
      <c r="F24" s="615">
        <v>25.999999181063</v>
      </c>
      <c r="G24" s="616">
        <v>6.4999997952650004</v>
      </c>
      <c r="H24" s="618">
        <v>1.3858699999999999</v>
      </c>
      <c r="I24" s="615">
        <v>7.9733499999999999</v>
      </c>
      <c r="J24" s="616">
        <v>1.4733502047339999</v>
      </c>
      <c r="K24" s="619">
        <v>0.306667317351</v>
      </c>
    </row>
    <row r="25" spans="1:11" ht="14.4" customHeight="1" thickBot="1" x14ac:dyDescent="0.35">
      <c r="A25" s="637" t="s">
        <v>359</v>
      </c>
      <c r="B25" s="615">
        <v>1398.5346674217301</v>
      </c>
      <c r="C25" s="615">
        <v>1397.96729</v>
      </c>
      <c r="D25" s="616">
        <v>-0.56737742172700001</v>
      </c>
      <c r="E25" s="617">
        <v>0.99959430578599995</v>
      </c>
      <c r="F25" s="615">
        <v>1414.99995543093</v>
      </c>
      <c r="G25" s="616">
        <v>353.74998885773198</v>
      </c>
      <c r="H25" s="618">
        <v>107.94728000000001</v>
      </c>
      <c r="I25" s="615">
        <v>340.55027999999999</v>
      </c>
      <c r="J25" s="616">
        <v>-13.199708857732</v>
      </c>
      <c r="K25" s="619">
        <v>0.240671583552</v>
      </c>
    </row>
    <row r="26" spans="1:11" ht="14.4" customHeight="1" thickBot="1" x14ac:dyDescent="0.35">
      <c r="A26" s="637" t="s">
        <v>360</v>
      </c>
      <c r="B26" s="615">
        <v>24.379913989051001</v>
      </c>
      <c r="C26" s="615">
        <v>0</v>
      </c>
      <c r="D26" s="616">
        <v>-24.379913989051001</v>
      </c>
      <c r="E26" s="617">
        <v>0</v>
      </c>
      <c r="F26" s="615">
        <v>0</v>
      </c>
      <c r="G26" s="616">
        <v>0</v>
      </c>
      <c r="H26" s="618">
        <v>0</v>
      </c>
      <c r="I26" s="615">
        <v>0</v>
      </c>
      <c r="J26" s="616">
        <v>0</v>
      </c>
      <c r="K26" s="619">
        <v>3</v>
      </c>
    </row>
    <row r="27" spans="1:11" ht="14.4" customHeight="1" thickBot="1" x14ac:dyDescent="0.35">
      <c r="A27" s="637" t="s">
        <v>361</v>
      </c>
      <c r="B27" s="615">
        <v>7.4145450614820003</v>
      </c>
      <c r="C27" s="615">
        <v>9.7634899999999991</v>
      </c>
      <c r="D27" s="616">
        <v>2.348944938517</v>
      </c>
      <c r="E27" s="617">
        <v>1.316802301292</v>
      </c>
      <c r="F27" s="615">
        <v>6.9999997795160001</v>
      </c>
      <c r="G27" s="616">
        <v>1.749999944879</v>
      </c>
      <c r="H27" s="618">
        <v>0.36</v>
      </c>
      <c r="I27" s="615">
        <v>1.6679999999999999</v>
      </c>
      <c r="J27" s="616">
        <v>-8.1999944879000003E-2</v>
      </c>
      <c r="K27" s="619">
        <v>0.23828572179099999</v>
      </c>
    </row>
    <row r="28" spans="1:11" ht="14.4" customHeight="1" thickBot="1" x14ac:dyDescent="0.35">
      <c r="A28" s="637" t="s">
        <v>362</v>
      </c>
      <c r="B28" s="615">
        <v>56.464947625899001</v>
      </c>
      <c r="C28" s="615">
        <v>60.47186</v>
      </c>
      <c r="D28" s="616">
        <v>4.0069123740999997</v>
      </c>
      <c r="E28" s="617">
        <v>1.070962828136</v>
      </c>
      <c r="F28" s="615">
        <v>61.999998047150001</v>
      </c>
      <c r="G28" s="616">
        <v>15.499999511786999</v>
      </c>
      <c r="H28" s="618">
        <v>3.976</v>
      </c>
      <c r="I28" s="615">
        <v>13.9404</v>
      </c>
      <c r="J28" s="616">
        <v>-1.5595995117870001</v>
      </c>
      <c r="K28" s="619">
        <v>0.224845168372</v>
      </c>
    </row>
    <row r="29" spans="1:11" ht="14.4" customHeight="1" thickBot="1" x14ac:dyDescent="0.35">
      <c r="A29" s="636" t="s">
        <v>363</v>
      </c>
      <c r="B29" s="620">
        <v>150.499469217914</v>
      </c>
      <c r="C29" s="620">
        <v>151.70636999999999</v>
      </c>
      <c r="D29" s="621">
        <v>1.206900782086</v>
      </c>
      <c r="E29" s="627">
        <v>1.008019302581</v>
      </c>
      <c r="F29" s="620">
        <v>138.18272703585799</v>
      </c>
      <c r="G29" s="621">
        <v>34.545681758964001</v>
      </c>
      <c r="H29" s="623">
        <v>11.847020000000001</v>
      </c>
      <c r="I29" s="620">
        <v>32.630890000000001</v>
      </c>
      <c r="J29" s="621">
        <v>-1.914791758964</v>
      </c>
      <c r="K29" s="628">
        <v>0.23614304551599999</v>
      </c>
    </row>
    <row r="30" spans="1:11" ht="14.4" customHeight="1" thickBot="1" x14ac:dyDescent="0.35">
      <c r="A30" s="637" t="s">
        <v>364</v>
      </c>
      <c r="B30" s="615">
        <v>136.99951682959599</v>
      </c>
      <c r="C30" s="615">
        <v>135.48305999999999</v>
      </c>
      <c r="D30" s="616">
        <v>-1.5164568295950001</v>
      </c>
      <c r="E30" s="617">
        <v>0.98893093300799995</v>
      </c>
      <c r="F30" s="615">
        <v>117.99999628328599</v>
      </c>
      <c r="G30" s="616">
        <v>29.499999070821001</v>
      </c>
      <c r="H30" s="618">
        <v>9.91892</v>
      </c>
      <c r="I30" s="615">
        <v>27.390699999999999</v>
      </c>
      <c r="J30" s="616">
        <v>-2.1092990708210002</v>
      </c>
      <c r="K30" s="619">
        <v>0.232124583582</v>
      </c>
    </row>
    <row r="31" spans="1:11" ht="14.4" customHeight="1" thickBot="1" x14ac:dyDescent="0.35">
      <c r="A31" s="637" t="s">
        <v>365</v>
      </c>
      <c r="B31" s="615">
        <v>13.499952388317</v>
      </c>
      <c r="C31" s="615">
        <v>15.400690000000001</v>
      </c>
      <c r="D31" s="616">
        <v>1.9007376116820001</v>
      </c>
      <c r="E31" s="617">
        <v>1.1407958752</v>
      </c>
      <c r="F31" s="615">
        <v>20.182730752571</v>
      </c>
      <c r="G31" s="616">
        <v>5.0456826881419996</v>
      </c>
      <c r="H31" s="618">
        <v>1.9280999999999999</v>
      </c>
      <c r="I31" s="615">
        <v>5.2401900000000001</v>
      </c>
      <c r="J31" s="616">
        <v>0.19450731185699999</v>
      </c>
      <c r="K31" s="619">
        <v>0.25963731391099998</v>
      </c>
    </row>
    <row r="32" spans="1:11" ht="14.4" customHeight="1" thickBot="1" x14ac:dyDescent="0.35">
      <c r="A32" s="637" t="s">
        <v>366</v>
      </c>
      <c r="B32" s="615">
        <v>0</v>
      </c>
      <c r="C32" s="615">
        <v>0.82262000000000002</v>
      </c>
      <c r="D32" s="616">
        <v>0.82262000000000002</v>
      </c>
      <c r="E32" s="625" t="s">
        <v>337</v>
      </c>
      <c r="F32" s="615">
        <v>0</v>
      </c>
      <c r="G32" s="616">
        <v>0</v>
      </c>
      <c r="H32" s="618">
        <v>0</v>
      </c>
      <c r="I32" s="615">
        <v>0</v>
      </c>
      <c r="J32" s="616">
        <v>0</v>
      </c>
      <c r="K32" s="626" t="s">
        <v>337</v>
      </c>
    </row>
    <row r="33" spans="1:11" ht="14.4" customHeight="1" thickBot="1" x14ac:dyDescent="0.35">
      <c r="A33" s="636" t="s">
        <v>367</v>
      </c>
      <c r="B33" s="620">
        <v>349.698358712664</v>
      </c>
      <c r="C33" s="620">
        <v>247.51781</v>
      </c>
      <c r="D33" s="621">
        <v>-102.18054871266401</v>
      </c>
      <c r="E33" s="627">
        <v>0.70780375095600001</v>
      </c>
      <c r="F33" s="620">
        <v>339.66218831636399</v>
      </c>
      <c r="G33" s="621">
        <v>84.915547079090999</v>
      </c>
      <c r="H33" s="623">
        <v>13.58217</v>
      </c>
      <c r="I33" s="620">
        <v>65.707589999999996</v>
      </c>
      <c r="J33" s="621">
        <v>-19.207957079090001</v>
      </c>
      <c r="K33" s="628">
        <v>0.19344982238200001</v>
      </c>
    </row>
    <row r="34" spans="1:11" ht="14.4" customHeight="1" thickBot="1" x14ac:dyDescent="0.35">
      <c r="A34" s="637" t="s">
        <v>368</v>
      </c>
      <c r="B34" s="615">
        <v>3.808547110074</v>
      </c>
      <c r="C34" s="615">
        <v>3.4952399999999999</v>
      </c>
      <c r="D34" s="616">
        <v>-0.31330711007399997</v>
      </c>
      <c r="E34" s="617">
        <v>0.91773579241100001</v>
      </c>
      <c r="F34" s="615">
        <v>8.8248279314080005</v>
      </c>
      <c r="G34" s="616">
        <v>2.2062069828520001</v>
      </c>
      <c r="H34" s="618">
        <v>0.71389999999999998</v>
      </c>
      <c r="I34" s="615">
        <v>0.82589999999999997</v>
      </c>
      <c r="J34" s="616">
        <v>-1.380306982852</v>
      </c>
      <c r="K34" s="619">
        <v>9.3588227036000005E-2</v>
      </c>
    </row>
    <row r="35" spans="1:11" ht="14.4" customHeight="1" thickBot="1" x14ac:dyDescent="0.35">
      <c r="A35" s="637" t="s">
        <v>369</v>
      </c>
      <c r="B35" s="615">
        <v>7.4314478666769999</v>
      </c>
      <c r="C35" s="615">
        <v>8.1397700000000004</v>
      </c>
      <c r="D35" s="616">
        <v>0.708322133322</v>
      </c>
      <c r="E35" s="617">
        <v>1.0953141495480001</v>
      </c>
      <c r="F35" s="615">
        <v>3.9999998740090001</v>
      </c>
      <c r="G35" s="616">
        <v>0.99999996850200001</v>
      </c>
      <c r="H35" s="618">
        <v>0.19156000000000001</v>
      </c>
      <c r="I35" s="615">
        <v>1.61215</v>
      </c>
      <c r="J35" s="616">
        <v>0.61215003149699998</v>
      </c>
      <c r="K35" s="619">
        <v>0.40303751269400001</v>
      </c>
    </row>
    <row r="36" spans="1:11" ht="14.4" customHeight="1" thickBot="1" x14ac:dyDescent="0.35">
      <c r="A36" s="637" t="s">
        <v>370</v>
      </c>
      <c r="B36" s="615">
        <v>49.766295842533999</v>
      </c>
      <c r="C36" s="615">
        <v>33.711660000000002</v>
      </c>
      <c r="D36" s="616">
        <v>-16.054635842534001</v>
      </c>
      <c r="E36" s="617">
        <v>0.67739942121999996</v>
      </c>
      <c r="F36" s="615">
        <v>47.999998488115999</v>
      </c>
      <c r="G36" s="616">
        <v>11.999999622029</v>
      </c>
      <c r="H36" s="618">
        <v>0</v>
      </c>
      <c r="I36" s="615">
        <v>6.3844900000000004</v>
      </c>
      <c r="J36" s="616">
        <v>-5.6155096220290002</v>
      </c>
      <c r="K36" s="619">
        <v>0.13301021252199999</v>
      </c>
    </row>
    <row r="37" spans="1:11" ht="14.4" customHeight="1" thickBot="1" x14ac:dyDescent="0.35">
      <c r="A37" s="637" t="s">
        <v>371</v>
      </c>
      <c r="B37" s="615">
        <v>45.043326802655002</v>
      </c>
      <c r="C37" s="615">
        <v>36.962919999999997</v>
      </c>
      <c r="D37" s="616">
        <v>-8.0804068026550002</v>
      </c>
      <c r="E37" s="617">
        <v>0.82060812608099998</v>
      </c>
      <c r="F37" s="615">
        <v>40.999998708599001</v>
      </c>
      <c r="G37" s="616">
        <v>10.249999677149001</v>
      </c>
      <c r="H37" s="618">
        <v>1.89784</v>
      </c>
      <c r="I37" s="615">
        <v>8.5198599999999995</v>
      </c>
      <c r="J37" s="616">
        <v>-1.7301396771490001</v>
      </c>
      <c r="K37" s="619">
        <v>0.20780146995900001</v>
      </c>
    </row>
    <row r="38" spans="1:11" ht="14.4" customHeight="1" thickBot="1" x14ac:dyDescent="0.35">
      <c r="A38" s="637" t="s">
        <v>372</v>
      </c>
      <c r="B38" s="615">
        <v>17.066866518238999</v>
      </c>
      <c r="C38" s="615">
        <v>11.68478</v>
      </c>
      <c r="D38" s="616">
        <v>-5.3820865182390003</v>
      </c>
      <c r="E38" s="617">
        <v>0.68464706087100002</v>
      </c>
      <c r="F38" s="615">
        <v>17.999999433043001</v>
      </c>
      <c r="G38" s="616">
        <v>4.4999998582599998</v>
      </c>
      <c r="H38" s="618">
        <v>8.6300000000000002E-2</v>
      </c>
      <c r="I38" s="615">
        <v>1.5803199999999999</v>
      </c>
      <c r="J38" s="616">
        <v>-2.9196798582599999</v>
      </c>
      <c r="K38" s="619">
        <v>8.7795558319999994E-2</v>
      </c>
    </row>
    <row r="39" spans="1:11" ht="14.4" customHeight="1" thickBot="1" x14ac:dyDescent="0.35">
      <c r="A39" s="637" t="s">
        <v>373</v>
      </c>
      <c r="B39" s="615">
        <v>0.173653692443</v>
      </c>
      <c r="C39" s="615">
        <v>0</v>
      </c>
      <c r="D39" s="616">
        <v>-0.173653692443</v>
      </c>
      <c r="E39" s="617">
        <v>0</v>
      </c>
      <c r="F39" s="615">
        <v>0</v>
      </c>
      <c r="G39" s="616">
        <v>0</v>
      </c>
      <c r="H39" s="618">
        <v>0</v>
      </c>
      <c r="I39" s="615">
        <v>0</v>
      </c>
      <c r="J39" s="616">
        <v>0</v>
      </c>
      <c r="K39" s="619">
        <v>3</v>
      </c>
    </row>
    <row r="40" spans="1:11" ht="14.4" customHeight="1" thickBot="1" x14ac:dyDescent="0.35">
      <c r="A40" s="637" t="s">
        <v>374</v>
      </c>
      <c r="B40" s="615">
        <v>2.1046990414770002</v>
      </c>
      <c r="C40" s="615">
        <v>2.9718800000000001</v>
      </c>
      <c r="D40" s="616">
        <v>0.86718095852199994</v>
      </c>
      <c r="E40" s="617">
        <v>1.412021358604</v>
      </c>
      <c r="F40" s="615">
        <v>2.8373707161590001</v>
      </c>
      <c r="G40" s="616">
        <v>0.70934267903899995</v>
      </c>
      <c r="H40" s="618">
        <v>0</v>
      </c>
      <c r="I40" s="615">
        <v>0.14523</v>
      </c>
      <c r="J40" s="616">
        <v>-0.56411267903899998</v>
      </c>
      <c r="K40" s="619">
        <v>5.1184710962000002E-2</v>
      </c>
    </row>
    <row r="41" spans="1:11" ht="14.4" customHeight="1" thickBot="1" x14ac:dyDescent="0.35">
      <c r="A41" s="637" t="s">
        <v>375</v>
      </c>
      <c r="B41" s="615">
        <v>179.82369473596501</v>
      </c>
      <c r="C41" s="615">
        <v>89.161640000000006</v>
      </c>
      <c r="D41" s="616">
        <v>-90.662054735965</v>
      </c>
      <c r="E41" s="617">
        <v>0.49582809501699998</v>
      </c>
      <c r="F41" s="615">
        <v>159.99999496038799</v>
      </c>
      <c r="G41" s="616">
        <v>39.999998740095997</v>
      </c>
      <c r="H41" s="618">
        <v>6.54948</v>
      </c>
      <c r="I41" s="615">
        <v>33.909559999999999</v>
      </c>
      <c r="J41" s="616">
        <v>-6.0904387400960003</v>
      </c>
      <c r="K41" s="619">
        <v>0.211934756675</v>
      </c>
    </row>
    <row r="42" spans="1:11" ht="14.4" customHeight="1" thickBot="1" x14ac:dyDescent="0.35">
      <c r="A42" s="637" t="s">
        <v>376</v>
      </c>
      <c r="B42" s="615">
        <v>0</v>
      </c>
      <c r="C42" s="615">
        <v>6.9850000000000003</v>
      </c>
      <c r="D42" s="616">
        <v>6.9850000000000003</v>
      </c>
      <c r="E42" s="625" t="s">
        <v>351</v>
      </c>
      <c r="F42" s="615">
        <v>0</v>
      </c>
      <c r="G42" s="616">
        <v>0</v>
      </c>
      <c r="H42" s="618">
        <v>0</v>
      </c>
      <c r="I42" s="615">
        <v>0</v>
      </c>
      <c r="J42" s="616">
        <v>0</v>
      </c>
      <c r="K42" s="626" t="s">
        <v>337</v>
      </c>
    </row>
    <row r="43" spans="1:11" ht="14.4" customHeight="1" thickBot="1" x14ac:dyDescent="0.35">
      <c r="A43" s="637" t="s">
        <v>377</v>
      </c>
      <c r="B43" s="615">
        <v>0.483562493388</v>
      </c>
      <c r="C43" s="615">
        <v>0</v>
      </c>
      <c r="D43" s="616">
        <v>-0.483562493388</v>
      </c>
      <c r="E43" s="617">
        <v>0</v>
      </c>
      <c r="F43" s="615">
        <v>0</v>
      </c>
      <c r="G43" s="616">
        <v>0</v>
      </c>
      <c r="H43" s="618">
        <v>0</v>
      </c>
      <c r="I43" s="615">
        <v>0</v>
      </c>
      <c r="J43" s="616">
        <v>0</v>
      </c>
      <c r="K43" s="619">
        <v>3</v>
      </c>
    </row>
    <row r="44" spans="1:11" ht="14.4" customHeight="1" thickBot="1" x14ac:dyDescent="0.35">
      <c r="A44" s="637" t="s">
        <v>378</v>
      </c>
      <c r="B44" s="615">
        <v>43.996264609207998</v>
      </c>
      <c r="C44" s="615">
        <v>54.404919999999997</v>
      </c>
      <c r="D44" s="616">
        <v>10.408655390791001</v>
      </c>
      <c r="E44" s="617">
        <v>1.2365804343439999</v>
      </c>
      <c r="F44" s="615">
        <v>56.999998204637997</v>
      </c>
      <c r="G44" s="616">
        <v>14.249999551159</v>
      </c>
      <c r="H44" s="618">
        <v>4.1430899999999999</v>
      </c>
      <c r="I44" s="615">
        <v>12.730079999999999</v>
      </c>
      <c r="J44" s="616">
        <v>-1.519919551159</v>
      </c>
      <c r="K44" s="619">
        <v>0.223334743876</v>
      </c>
    </row>
    <row r="45" spans="1:11" ht="14.4" customHeight="1" thickBot="1" x14ac:dyDescent="0.35">
      <c r="A45" s="636" t="s">
        <v>379</v>
      </c>
      <c r="B45" s="620">
        <v>2395.6063713508202</v>
      </c>
      <c r="C45" s="620">
        <v>19.469169999999998</v>
      </c>
      <c r="D45" s="621">
        <v>-2376.1372013508199</v>
      </c>
      <c r="E45" s="627">
        <v>8.1270321499999996E-3</v>
      </c>
      <c r="F45" s="620">
        <v>75.689831929053</v>
      </c>
      <c r="G45" s="621">
        <v>18.922457982263001</v>
      </c>
      <c r="H45" s="623">
        <v>8.0274999999999999</v>
      </c>
      <c r="I45" s="620">
        <v>8.4974500000000006</v>
      </c>
      <c r="J45" s="621">
        <v>-10.425007982263001</v>
      </c>
      <c r="K45" s="628">
        <v>0.112266730991</v>
      </c>
    </row>
    <row r="46" spans="1:11" ht="14.4" customHeight="1" thickBot="1" x14ac:dyDescent="0.35">
      <c r="A46" s="637" t="s">
        <v>380</v>
      </c>
      <c r="B46" s="615">
        <v>8.2455193087430008</v>
      </c>
      <c r="C46" s="615">
        <v>8.4819999999999993</v>
      </c>
      <c r="D46" s="616">
        <v>0.23648069125599999</v>
      </c>
      <c r="E46" s="617">
        <v>1.0286799026719999</v>
      </c>
      <c r="F46" s="615">
        <v>45.905259555702997</v>
      </c>
      <c r="G46" s="616">
        <v>11.476314888925</v>
      </c>
      <c r="H46" s="618">
        <v>7.9279999999999999</v>
      </c>
      <c r="I46" s="615">
        <v>7.9279999999999999</v>
      </c>
      <c r="J46" s="616">
        <v>-3.5483148889249998</v>
      </c>
      <c r="K46" s="619">
        <v>0.172703521921</v>
      </c>
    </row>
    <row r="47" spans="1:11" ht="14.4" customHeight="1" thickBot="1" x14ac:dyDescent="0.35">
      <c r="A47" s="637" t="s">
        <v>381</v>
      </c>
      <c r="B47" s="615">
        <v>2383.3122148601301</v>
      </c>
      <c r="C47" s="615">
        <v>7.806</v>
      </c>
      <c r="D47" s="616">
        <v>-2375.5062148601301</v>
      </c>
      <c r="E47" s="617">
        <v>3.2752737769999999E-3</v>
      </c>
      <c r="F47" s="615">
        <v>21.78457262533</v>
      </c>
      <c r="G47" s="616">
        <v>5.446143156332</v>
      </c>
      <c r="H47" s="618">
        <v>0</v>
      </c>
      <c r="I47" s="615">
        <v>0</v>
      </c>
      <c r="J47" s="616">
        <v>-5.446143156332</v>
      </c>
      <c r="K47" s="619">
        <v>0</v>
      </c>
    </row>
    <row r="48" spans="1:11" ht="14.4" customHeight="1" thickBot="1" x14ac:dyDescent="0.35">
      <c r="A48" s="637" t="s">
        <v>382</v>
      </c>
      <c r="B48" s="615">
        <v>0</v>
      </c>
      <c r="C48" s="615">
        <v>0.79</v>
      </c>
      <c r="D48" s="616">
        <v>0.79</v>
      </c>
      <c r="E48" s="625" t="s">
        <v>337</v>
      </c>
      <c r="F48" s="615">
        <v>0</v>
      </c>
      <c r="G48" s="616">
        <v>0</v>
      </c>
      <c r="H48" s="618">
        <v>0</v>
      </c>
      <c r="I48" s="615">
        <v>0</v>
      </c>
      <c r="J48" s="616">
        <v>0</v>
      </c>
      <c r="K48" s="626" t="s">
        <v>337</v>
      </c>
    </row>
    <row r="49" spans="1:11" ht="14.4" customHeight="1" thickBot="1" x14ac:dyDescent="0.35">
      <c r="A49" s="637" t="s">
        <v>383</v>
      </c>
      <c r="B49" s="615">
        <v>4.0486371819429996</v>
      </c>
      <c r="C49" s="615">
        <v>2.3911699999999998</v>
      </c>
      <c r="D49" s="616">
        <v>-1.657467181943</v>
      </c>
      <c r="E49" s="617">
        <v>0.59061108529600004</v>
      </c>
      <c r="F49" s="615">
        <v>7.9999997480190004</v>
      </c>
      <c r="G49" s="616">
        <v>1.999999937004</v>
      </c>
      <c r="H49" s="618">
        <v>9.9500000000000005E-2</v>
      </c>
      <c r="I49" s="615">
        <v>0.56945000000000001</v>
      </c>
      <c r="J49" s="616">
        <v>-1.430549937004</v>
      </c>
      <c r="K49" s="619">
        <v>7.1181252242000004E-2</v>
      </c>
    </row>
    <row r="50" spans="1:11" ht="14.4" customHeight="1" thickBot="1" x14ac:dyDescent="0.35">
      <c r="A50" s="636" t="s">
        <v>384</v>
      </c>
      <c r="B50" s="620">
        <v>56.478396221232998</v>
      </c>
      <c r="C50" s="620">
        <v>52.610430000000001</v>
      </c>
      <c r="D50" s="621">
        <v>-3.8679662212329999</v>
      </c>
      <c r="E50" s="627">
        <v>0.93151423411300005</v>
      </c>
      <c r="F50" s="620">
        <v>55.999998236134999</v>
      </c>
      <c r="G50" s="621">
        <v>13.999999559033</v>
      </c>
      <c r="H50" s="623">
        <v>3.1740400000000002</v>
      </c>
      <c r="I50" s="620">
        <v>14.100429999999999</v>
      </c>
      <c r="J50" s="621">
        <v>0.100430440966</v>
      </c>
      <c r="K50" s="628">
        <v>0.251793400788</v>
      </c>
    </row>
    <row r="51" spans="1:11" ht="14.4" customHeight="1" thickBot="1" x14ac:dyDescent="0.35">
      <c r="A51" s="637" t="s">
        <v>385</v>
      </c>
      <c r="B51" s="615">
        <v>12.479155205494999</v>
      </c>
      <c r="C51" s="615">
        <v>12.853199999999999</v>
      </c>
      <c r="D51" s="616">
        <v>0.37404479450400002</v>
      </c>
      <c r="E51" s="617">
        <v>1.029973566987</v>
      </c>
      <c r="F51" s="615">
        <v>14.999999527536</v>
      </c>
      <c r="G51" s="616">
        <v>3.7499998818839999</v>
      </c>
      <c r="H51" s="618">
        <v>1.78593</v>
      </c>
      <c r="I51" s="615">
        <v>4.9161799999999998</v>
      </c>
      <c r="J51" s="616">
        <v>1.166180118115</v>
      </c>
      <c r="K51" s="619">
        <v>0.327745343656</v>
      </c>
    </row>
    <row r="52" spans="1:11" ht="14.4" customHeight="1" thickBot="1" x14ac:dyDescent="0.35">
      <c r="A52" s="637" t="s">
        <v>386</v>
      </c>
      <c r="B52" s="615">
        <v>2.0001923881139998</v>
      </c>
      <c r="C52" s="615">
        <v>1.28972</v>
      </c>
      <c r="D52" s="616">
        <v>-0.71047238811400004</v>
      </c>
      <c r="E52" s="617">
        <v>0.64479797426600005</v>
      </c>
      <c r="F52" s="615">
        <v>3.9999998740090001</v>
      </c>
      <c r="G52" s="616">
        <v>0.99999996850200001</v>
      </c>
      <c r="H52" s="618">
        <v>0</v>
      </c>
      <c r="I52" s="615">
        <v>0.11275</v>
      </c>
      <c r="J52" s="616">
        <v>-0.887249968502</v>
      </c>
      <c r="K52" s="619">
        <v>2.8187500886999999E-2</v>
      </c>
    </row>
    <row r="53" spans="1:11" ht="14.4" customHeight="1" thickBot="1" x14ac:dyDescent="0.35">
      <c r="A53" s="637" t="s">
        <v>387</v>
      </c>
      <c r="B53" s="615">
        <v>41.999048627622997</v>
      </c>
      <c r="C53" s="615">
        <v>38.467509999999997</v>
      </c>
      <c r="D53" s="616">
        <v>-3.5315386276230001</v>
      </c>
      <c r="E53" s="617">
        <v>0.91591384226399997</v>
      </c>
      <c r="F53" s="615">
        <v>36.999998834589</v>
      </c>
      <c r="G53" s="616">
        <v>9.2499997086469996</v>
      </c>
      <c r="H53" s="618">
        <v>1.38811</v>
      </c>
      <c r="I53" s="615">
        <v>9.0715000000000003</v>
      </c>
      <c r="J53" s="616">
        <v>-0.17849970864699999</v>
      </c>
      <c r="K53" s="619">
        <v>0.245175683398</v>
      </c>
    </row>
    <row r="54" spans="1:11" ht="14.4" customHeight="1" thickBot="1" x14ac:dyDescent="0.35">
      <c r="A54" s="635" t="s">
        <v>42</v>
      </c>
      <c r="B54" s="615">
        <v>2305.02620726859</v>
      </c>
      <c r="C54" s="615">
        <v>2071.4589999999998</v>
      </c>
      <c r="D54" s="616">
        <v>-233.56720726858899</v>
      </c>
      <c r="E54" s="617">
        <v>0.89867047648599996</v>
      </c>
      <c r="F54" s="615">
        <v>2152.7733565615999</v>
      </c>
      <c r="G54" s="616">
        <v>538.19333914039896</v>
      </c>
      <c r="H54" s="618">
        <v>226.73500000000001</v>
      </c>
      <c r="I54" s="615">
        <v>747.15300000000002</v>
      </c>
      <c r="J54" s="616">
        <v>208.959660859601</v>
      </c>
      <c r="K54" s="619">
        <v>0.34706533213200003</v>
      </c>
    </row>
    <row r="55" spans="1:11" ht="14.4" customHeight="1" thickBot="1" x14ac:dyDescent="0.35">
      <c r="A55" s="636" t="s">
        <v>388</v>
      </c>
      <c r="B55" s="620">
        <v>2305.02620726859</v>
      </c>
      <c r="C55" s="620">
        <v>2071.4589999999998</v>
      </c>
      <c r="D55" s="621">
        <v>-233.56720726858899</v>
      </c>
      <c r="E55" s="627">
        <v>0.89867047648599996</v>
      </c>
      <c r="F55" s="620">
        <v>2152.7733565615999</v>
      </c>
      <c r="G55" s="621">
        <v>538.19333914039896</v>
      </c>
      <c r="H55" s="623">
        <v>226.73500000000001</v>
      </c>
      <c r="I55" s="620">
        <v>747.15300000000002</v>
      </c>
      <c r="J55" s="621">
        <v>208.959660859601</v>
      </c>
      <c r="K55" s="628">
        <v>0.34706533213200003</v>
      </c>
    </row>
    <row r="56" spans="1:11" ht="14.4" customHeight="1" thickBot="1" x14ac:dyDescent="0.35">
      <c r="A56" s="637" t="s">
        <v>389</v>
      </c>
      <c r="B56" s="615">
        <v>727.34504333401401</v>
      </c>
      <c r="C56" s="615">
        <v>611.18499999999995</v>
      </c>
      <c r="D56" s="616">
        <v>-116.160043334013</v>
      </c>
      <c r="E56" s="617">
        <v>0.84029582053399998</v>
      </c>
      <c r="F56" s="615">
        <v>627.77340459539403</v>
      </c>
      <c r="G56" s="616">
        <v>156.94335114884899</v>
      </c>
      <c r="H56" s="618">
        <v>52.76</v>
      </c>
      <c r="I56" s="615">
        <v>155.333</v>
      </c>
      <c r="J56" s="616">
        <v>-1.610351148848</v>
      </c>
      <c r="K56" s="619">
        <v>0.24743482100799999</v>
      </c>
    </row>
    <row r="57" spans="1:11" ht="14.4" customHeight="1" thickBot="1" x14ac:dyDescent="0.35">
      <c r="A57" s="637" t="s">
        <v>390</v>
      </c>
      <c r="B57" s="615">
        <v>260.05275848643498</v>
      </c>
      <c r="C57" s="615">
        <v>237.94</v>
      </c>
      <c r="D57" s="616">
        <v>-22.112758486434998</v>
      </c>
      <c r="E57" s="617">
        <v>0.91496818332100005</v>
      </c>
      <c r="F57" s="615">
        <v>259.99999181062998</v>
      </c>
      <c r="G57" s="616">
        <v>64.999997952656997</v>
      </c>
      <c r="H57" s="618">
        <v>20.972000000000001</v>
      </c>
      <c r="I57" s="615">
        <v>62.463999999999999</v>
      </c>
      <c r="J57" s="616">
        <v>-2.535997952657</v>
      </c>
      <c r="K57" s="619">
        <v>0.24024616141300001</v>
      </c>
    </row>
    <row r="58" spans="1:11" ht="14.4" customHeight="1" thickBot="1" x14ac:dyDescent="0.35">
      <c r="A58" s="637" t="s">
        <v>391</v>
      </c>
      <c r="B58" s="615">
        <v>1317.62840544814</v>
      </c>
      <c r="C58" s="615">
        <v>1222.3340000000001</v>
      </c>
      <c r="D58" s="616">
        <v>-95.294405448139997</v>
      </c>
      <c r="E58" s="617">
        <v>0.92767732916599999</v>
      </c>
      <c r="F58" s="615">
        <v>1264.9999601555701</v>
      </c>
      <c r="G58" s="616">
        <v>316.24999003889297</v>
      </c>
      <c r="H58" s="618">
        <v>153.00299999999999</v>
      </c>
      <c r="I58" s="615">
        <v>529.35599999999999</v>
      </c>
      <c r="J58" s="616">
        <v>213.10600996110699</v>
      </c>
      <c r="K58" s="619">
        <v>0.41846325428699999</v>
      </c>
    </row>
    <row r="59" spans="1:11" ht="14.4" customHeight="1" thickBot="1" x14ac:dyDescent="0.35">
      <c r="A59" s="638" t="s">
        <v>392</v>
      </c>
      <c r="B59" s="620">
        <v>4961.7526389131099</v>
      </c>
      <c r="C59" s="620">
        <v>5005.7426999999998</v>
      </c>
      <c r="D59" s="621">
        <v>43.990061086886001</v>
      </c>
      <c r="E59" s="627">
        <v>1.0088658311459999</v>
      </c>
      <c r="F59" s="620">
        <v>5963.4295043865104</v>
      </c>
      <c r="G59" s="621">
        <v>1490.8573760966301</v>
      </c>
      <c r="H59" s="623">
        <v>262.42802</v>
      </c>
      <c r="I59" s="620">
        <v>877.40664000000095</v>
      </c>
      <c r="J59" s="621">
        <v>-613.45073609662597</v>
      </c>
      <c r="K59" s="628">
        <v>0.14713121692</v>
      </c>
    </row>
    <row r="60" spans="1:11" ht="14.4" customHeight="1" thickBot="1" x14ac:dyDescent="0.35">
      <c r="A60" s="635" t="s">
        <v>45</v>
      </c>
      <c r="B60" s="615">
        <v>991.74947901422695</v>
      </c>
      <c r="C60" s="615">
        <v>1214.01972</v>
      </c>
      <c r="D60" s="616">
        <v>222.270240985773</v>
      </c>
      <c r="E60" s="617">
        <v>1.224119342322</v>
      </c>
      <c r="F60" s="615">
        <v>1554.10852588749</v>
      </c>
      <c r="G60" s="616">
        <v>388.527131471872</v>
      </c>
      <c r="H60" s="618">
        <v>21.455629999999999</v>
      </c>
      <c r="I60" s="615">
        <v>61.529179999999997</v>
      </c>
      <c r="J60" s="616">
        <v>-326.997951471872</v>
      </c>
      <c r="K60" s="619">
        <v>3.9591302006000001E-2</v>
      </c>
    </row>
    <row r="61" spans="1:11" ht="14.4" customHeight="1" thickBot="1" x14ac:dyDescent="0.35">
      <c r="A61" s="639" t="s">
        <v>393</v>
      </c>
      <c r="B61" s="615">
        <v>991.74947901422695</v>
      </c>
      <c r="C61" s="615">
        <v>1214.01972</v>
      </c>
      <c r="D61" s="616">
        <v>222.270240985773</v>
      </c>
      <c r="E61" s="617">
        <v>1.224119342322</v>
      </c>
      <c r="F61" s="615">
        <v>1554.10852588749</v>
      </c>
      <c r="G61" s="616">
        <v>388.527131471872</v>
      </c>
      <c r="H61" s="618">
        <v>21.455629999999999</v>
      </c>
      <c r="I61" s="615">
        <v>61.529179999999997</v>
      </c>
      <c r="J61" s="616">
        <v>-326.997951471872</v>
      </c>
      <c r="K61" s="619">
        <v>3.9591302006000001E-2</v>
      </c>
    </row>
    <row r="62" spans="1:11" ht="14.4" customHeight="1" thickBot="1" x14ac:dyDescent="0.35">
      <c r="A62" s="637" t="s">
        <v>394</v>
      </c>
      <c r="B62" s="615">
        <v>525.38160624994498</v>
      </c>
      <c r="C62" s="615">
        <v>1023.5170900000001</v>
      </c>
      <c r="D62" s="616">
        <v>498.13548375005502</v>
      </c>
      <c r="E62" s="617">
        <v>1.948140319006</v>
      </c>
      <c r="F62" s="615">
        <v>1218.8686863783601</v>
      </c>
      <c r="G62" s="616">
        <v>304.71717159458899</v>
      </c>
      <c r="H62" s="618">
        <v>0.64</v>
      </c>
      <c r="I62" s="615">
        <v>6.2423000000000002</v>
      </c>
      <c r="J62" s="616">
        <v>-298.47487159458899</v>
      </c>
      <c r="K62" s="619">
        <v>5.1213884389999997E-3</v>
      </c>
    </row>
    <row r="63" spans="1:11" ht="14.4" customHeight="1" thickBot="1" x14ac:dyDescent="0.35">
      <c r="A63" s="637" t="s">
        <v>395</v>
      </c>
      <c r="B63" s="615">
        <v>254.63981107705601</v>
      </c>
      <c r="C63" s="615">
        <v>40.759369999999997</v>
      </c>
      <c r="D63" s="616">
        <v>-213.88044107705599</v>
      </c>
      <c r="E63" s="617">
        <v>0.16006676185999999</v>
      </c>
      <c r="F63" s="615">
        <v>47.465735518312997</v>
      </c>
      <c r="G63" s="616">
        <v>11.866433879578</v>
      </c>
      <c r="H63" s="618">
        <v>0</v>
      </c>
      <c r="I63" s="615">
        <v>18.363700000000001</v>
      </c>
      <c r="J63" s="616">
        <v>6.497266120421</v>
      </c>
      <c r="K63" s="619">
        <v>0.38688329169300001</v>
      </c>
    </row>
    <row r="64" spans="1:11" ht="14.4" customHeight="1" thickBot="1" x14ac:dyDescent="0.35">
      <c r="A64" s="637" t="s">
        <v>396</v>
      </c>
      <c r="B64" s="615">
        <v>167.999716365024</v>
      </c>
      <c r="C64" s="615">
        <v>80.508570000000006</v>
      </c>
      <c r="D64" s="616">
        <v>-87.491146365023994</v>
      </c>
      <c r="E64" s="617">
        <v>0.47921848763699998</v>
      </c>
      <c r="F64" s="615">
        <v>246.99999222009899</v>
      </c>
      <c r="G64" s="616">
        <v>61.749998055024001</v>
      </c>
      <c r="H64" s="618">
        <v>16.4923</v>
      </c>
      <c r="I64" s="615">
        <v>21.021979999999999</v>
      </c>
      <c r="J64" s="616">
        <v>-40.728018055024002</v>
      </c>
      <c r="K64" s="619">
        <v>8.5109233448999996E-2</v>
      </c>
    </row>
    <row r="65" spans="1:11" ht="14.4" customHeight="1" thickBot="1" x14ac:dyDescent="0.35">
      <c r="A65" s="637" t="s">
        <v>397</v>
      </c>
      <c r="B65" s="615">
        <v>43.728345322201001</v>
      </c>
      <c r="C65" s="615">
        <v>69.234690000000001</v>
      </c>
      <c r="D65" s="616">
        <v>25.506344677798001</v>
      </c>
      <c r="E65" s="617">
        <v>1.583290872084</v>
      </c>
      <c r="F65" s="615">
        <v>40.774111770715997</v>
      </c>
      <c r="G65" s="616">
        <v>10.193527942678999</v>
      </c>
      <c r="H65" s="618">
        <v>4.3233300000000003</v>
      </c>
      <c r="I65" s="615">
        <v>15.901199999999999</v>
      </c>
      <c r="J65" s="616">
        <v>5.7076720573199999</v>
      </c>
      <c r="K65" s="619">
        <v>0.389982744183</v>
      </c>
    </row>
    <row r="66" spans="1:11" ht="14.4" customHeight="1" thickBot="1" x14ac:dyDescent="0.35">
      <c r="A66" s="640" t="s">
        <v>46</v>
      </c>
      <c r="B66" s="620">
        <v>0</v>
      </c>
      <c r="C66" s="620">
        <v>17.896000000000001</v>
      </c>
      <c r="D66" s="621">
        <v>17.896000000000001</v>
      </c>
      <c r="E66" s="622" t="s">
        <v>337</v>
      </c>
      <c r="F66" s="620">
        <v>0</v>
      </c>
      <c r="G66" s="621">
        <v>0</v>
      </c>
      <c r="H66" s="623">
        <v>1.9710000000000001</v>
      </c>
      <c r="I66" s="620">
        <v>1.9710000000000001</v>
      </c>
      <c r="J66" s="621">
        <v>1.9710000000000001</v>
      </c>
      <c r="K66" s="624" t="s">
        <v>337</v>
      </c>
    </row>
    <row r="67" spans="1:11" ht="14.4" customHeight="1" thickBot="1" x14ac:dyDescent="0.35">
      <c r="A67" s="636" t="s">
        <v>398</v>
      </c>
      <c r="B67" s="620">
        <v>0</v>
      </c>
      <c r="C67" s="620">
        <v>13.305999999999999</v>
      </c>
      <c r="D67" s="621">
        <v>13.305999999999999</v>
      </c>
      <c r="E67" s="622" t="s">
        <v>337</v>
      </c>
      <c r="F67" s="620">
        <v>0</v>
      </c>
      <c r="G67" s="621">
        <v>0</v>
      </c>
      <c r="H67" s="623">
        <v>1.9710000000000001</v>
      </c>
      <c r="I67" s="620">
        <v>1.9710000000000001</v>
      </c>
      <c r="J67" s="621">
        <v>1.9710000000000001</v>
      </c>
      <c r="K67" s="624" t="s">
        <v>337</v>
      </c>
    </row>
    <row r="68" spans="1:11" ht="14.4" customHeight="1" thickBot="1" x14ac:dyDescent="0.35">
      <c r="A68" s="637" t="s">
        <v>399</v>
      </c>
      <c r="B68" s="615">
        <v>0</v>
      </c>
      <c r="C68" s="615">
        <v>12.906000000000001</v>
      </c>
      <c r="D68" s="616">
        <v>12.906000000000001</v>
      </c>
      <c r="E68" s="625" t="s">
        <v>337</v>
      </c>
      <c r="F68" s="615">
        <v>0</v>
      </c>
      <c r="G68" s="616">
        <v>0</v>
      </c>
      <c r="H68" s="618">
        <v>1.9710000000000001</v>
      </c>
      <c r="I68" s="615">
        <v>1.9710000000000001</v>
      </c>
      <c r="J68" s="616">
        <v>1.9710000000000001</v>
      </c>
      <c r="K68" s="626" t="s">
        <v>337</v>
      </c>
    </row>
    <row r="69" spans="1:11" ht="14.4" customHeight="1" thickBot="1" x14ac:dyDescent="0.35">
      <c r="A69" s="637" t="s">
        <v>400</v>
      </c>
      <c r="B69" s="615">
        <v>0</v>
      </c>
      <c r="C69" s="615">
        <v>0.4</v>
      </c>
      <c r="D69" s="616">
        <v>0.4</v>
      </c>
      <c r="E69" s="625" t="s">
        <v>351</v>
      </c>
      <c r="F69" s="615">
        <v>0</v>
      </c>
      <c r="G69" s="616">
        <v>0</v>
      </c>
      <c r="H69" s="618">
        <v>0</v>
      </c>
      <c r="I69" s="615">
        <v>0</v>
      </c>
      <c r="J69" s="616">
        <v>0</v>
      </c>
      <c r="K69" s="626" t="s">
        <v>337</v>
      </c>
    </row>
    <row r="70" spans="1:11" ht="14.4" customHeight="1" thickBot="1" x14ac:dyDescent="0.35">
      <c r="A70" s="636" t="s">
        <v>401</v>
      </c>
      <c r="B70" s="620">
        <v>0</v>
      </c>
      <c r="C70" s="620">
        <v>4.59</v>
      </c>
      <c r="D70" s="621">
        <v>4.59</v>
      </c>
      <c r="E70" s="622" t="s">
        <v>337</v>
      </c>
      <c r="F70" s="620">
        <v>0</v>
      </c>
      <c r="G70" s="621">
        <v>0</v>
      </c>
      <c r="H70" s="623">
        <v>0</v>
      </c>
      <c r="I70" s="620">
        <v>0</v>
      </c>
      <c r="J70" s="621">
        <v>0</v>
      </c>
      <c r="K70" s="624" t="s">
        <v>337</v>
      </c>
    </row>
    <row r="71" spans="1:11" ht="14.4" customHeight="1" thickBot="1" x14ac:dyDescent="0.35">
      <c r="A71" s="637" t="s">
        <v>402</v>
      </c>
      <c r="B71" s="615">
        <v>0</v>
      </c>
      <c r="C71" s="615">
        <v>4.59</v>
      </c>
      <c r="D71" s="616">
        <v>4.59</v>
      </c>
      <c r="E71" s="625" t="s">
        <v>337</v>
      </c>
      <c r="F71" s="615">
        <v>0</v>
      </c>
      <c r="G71" s="616">
        <v>0</v>
      </c>
      <c r="H71" s="618">
        <v>0</v>
      </c>
      <c r="I71" s="615">
        <v>0</v>
      </c>
      <c r="J71" s="616">
        <v>0</v>
      </c>
      <c r="K71" s="626" t="s">
        <v>337</v>
      </c>
    </row>
    <row r="72" spans="1:11" ht="14.4" customHeight="1" thickBot="1" x14ac:dyDescent="0.35">
      <c r="A72" s="635" t="s">
        <v>47</v>
      </c>
      <c r="B72" s="615">
        <v>3970.0031598988899</v>
      </c>
      <c r="C72" s="615">
        <v>3773.8269799999998</v>
      </c>
      <c r="D72" s="616">
        <v>-196.17617989888601</v>
      </c>
      <c r="E72" s="617">
        <v>0.95058538444399998</v>
      </c>
      <c r="F72" s="615">
        <v>4409.3209784990204</v>
      </c>
      <c r="G72" s="616">
        <v>1102.3302446247501</v>
      </c>
      <c r="H72" s="618">
        <v>239.00138999999999</v>
      </c>
      <c r="I72" s="615">
        <v>813.90646000000004</v>
      </c>
      <c r="J72" s="616">
        <v>-288.42378462475398</v>
      </c>
      <c r="K72" s="619">
        <v>0.184587709529</v>
      </c>
    </row>
    <row r="73" spans="1:11" ht="14.4" customHeight="1" thickBot="1" x14ac:dyDescent="0.35">
      <c r="A73" s="636" t="s">
        <v>403</v>
      </c>
      <c r="B73" s="620">
        <v>4.1168974895000002E-2</v>
      </c>
      <c r="C73" s="620">
        <v>0</v>
      </c>
      <c r="D73" s="621">
        <v>-4.1168974895000002E-2</v>
      </c>
      <c r="E73" s="627">
        <v>0</v>
      </c>
      <c r="F73" s="620">
        <v>0</v>
      </c>
      <c r="G73" s="621">
        <v>0</v>
      </c>
      <c r="H73" s="623">
        <v>0.13700000000000001</v>
      </c>
      <c r="I73" s="620">
        <v>0.13700000000000001</v>
      </c>
      <c r="J73" s="621">
        <v>0.13700000000000001</v>
      </c>
      <c r="K73" s="624" t="s">
        <v>351</v>
      </c>
    </row>
    <row r="74" spans="1:11" ht="14.4" customHeight="1" thickBot="1" x14ac:dyDescent="0.35">
      <c r="A74" s="637" t="s">
        <v>404</v>
      </c>
      <c r="B74" s="615">
        <v>4.1168974895000002E-2</v>
      </c>
      <c r="C74" s="615">
        <v>0</v>
      </c>
      <c r="D74" s="616">
        <v>-4.1168974895000002E-2</v>
      </c>
      <c r="E74" s="617">
        <v>0</v>
      </c>
      <c r="F74" s="615">
        <v>0</v>
      </c>
      <c r="G74" s="616">
        <v>0</v>
      </c>
      <c r="H74" s="618">
        <v>0.13700000000000001</v>
      </c>
      <c r="I74" s="615">
        <v>0.13700000000000001</v>
      </c>
      <c r="J74" s="616">
        <v>0.13700000000000001</v>
      </c>
      <c r="K74" s="626" t="s">
        <v>351</v>
      </c>
    </row>
    <row r="75" spans="1:11" ht="14.4" customHeight="1" thickBot="1" x14ac:dyDescent="0.35">
      <c r="A75" s="636" t="s">
        <v>405</v>
      </c>
      <c r="B75" s="620">
        <v>90.033892667165006</v>
      </c>
      <c r="C75" s="620">
        <v>89.182199999999995</v>
      </c>
      <c r="D75" s="621">
        <v>-0.85169266716500003</v>
      </c>
      <c r="E75" s="627">
        <v>0.990540310521</v>
      </c>
      <c r="F75" s="620">
        <v>90.896009362666007</v>
      </c>
      <c r="G75" s="621">
        <v>22.724002340666001</v>
      </c>
      <c r="H75" s="623">
        <v>8.2328499999999991</v>
      </c>
      <c r="I75" s="620">
        <v>19.41966</v>
      </c>
      <c r="J75" s="621">
        <v>-3.304342340666</v>
      </c>
      <c r="K75" s="628">
        <v>0.21364700316499999</v>
      </c>
    </row>
    <row r="76" spans="1:11" ht="14.4" customHeight="1" thickBot="1" x14ac:dyDescent="0.35">
      <c r="A76" s="637" t="s">
        <v>406</v>
      </c>
      <c r="B76" s="615">
        <v>57.541850025580999</v>
      </c>
      <c r="C76" s="615">
        <v>56.369399999999999</v>
      </c>
      <c r="D76" s="616">
        <v>-1.172450025581</v>
      </c>
      <c r="E76" s="617">
        <v>0.979624394678</v>
      </c>
      <c r="F76" s="615">
        <v>54.823297187401003</v>
      </c>
      <c r="G76" s="616">
        <v>13.70582429685</v>
      </c>
      <c r="H76" s="618">
        <v>5.8311000000000002</v>
      </c>
      <c r="I76" s="615">
        <v>14.946099999999999</v>
      </c>
      <c r="J76" s="616">
        <v>1.2402757031489999</v>
      </c>
      <c r="K76" s="619">
        <v>0.27262315049899999</v>
      </c>
    </row>
    <row r="77" spans="1:11" ht="14.4" customHeight="1" thickBot="1" x14ac:dyDescent="0.35">
      <c r="A77" s="637" t="s">
        <v>407</v>
      </c>
      <c r="B77" s="615">
        <v>0</v>
      </c>
      <c r="C77" s="615">
        <v>3</v>
      </c>
      <c r="D77" s="616">
        <v>3</v>
      </c>
      <c r="E77" s="625" t="s">
        <v>337</v>
      </c>
      <c r="F77" s="615">
        <v>2.2888139217160002</v>
      </c>
      <c r="G77" s="616">
        <v>0.57220348042900004</v>
      </c>
      <c r="H77" s="618">
        <v>0</v>
      </c>
      <c r="I77" s="615">
        <v>0</v>
      </c>
      <c r="J77" s="616">
        <v>-0.57220348042900004</v>
      </c>
      <c r="K77" s="619">
        <v>0</v>
      </c>
    </row>
    <row r="78" spans="1:11" ht="14.4" customHeight="1" thickBot="1" x14ac:dyDescent="0.35">
      <c r="A78" s="637" t="s">
        <v>408</v>
      </c>
      <c r="B78" s="615">
        <v>32.492042641582998</v>
      </c>
      <c r="C78" s="615">
        <v>29.812799999999999</v>
      </c>
      <c r="D78" s="616">
        <v>-2.679242641583</v>
      </c>
      <c r="E78" s="617">
        <v>0.91754157560500005</v>
      </c>
      <c r="F78" s="615">
        <v>33.783898253548003</v>
      </c>
      <c r="G78" s="616">
        <v>8.4459745633860006</v>
      </c>
      <c r="H78" s="618">
        <v>2.4017499999999998</v>
      </c>
      <c r="I78" s="615">
        <v>4.47356</v>
      </c>
      <c r="J78" s="616">
        <v>-3.9724145633860002</v>
      </c>
      <c r="K78" s="619">
        <v>0.132416927331</v>
      </c>
    </row>
    <row r="79" spans="1:11" ht="14.4" customHeight="1" thickBot="1" x14ac:dyDescent="0.35">
      <c r="A79" s="636" t="s">
        <v>409</v>
      </c>
      <c r="B79" s="620">
        <v>28.102451800571998</v>
      </c>
      <c r="C79" s="620">
        <v>34.021129999999999</v>
      </c>
      <c r="D79" s="621">
        <v>5.9186781994270001</v>
      </c>
      <c r="E79" s="627">
        <v>1.210610741063</v>
      </c>
      <c r="F79" s="620">
        <v>22.999999275554998</v>
      </c>
      <c r="G79" s="621">
        <v>5.7499998188879999</v>
      </c>
      <c r="H79" s="623">
        <v>0</v>
      </c>
      <c r="I79" s="620">
        <v>7.8446499999999997</v>
      </c>
      <c r="J79" s="621">
        <v>2.0946501811110001</v>
      </c>
      <c r="K79" s="628">
        <v>0.34107174987299999</v>
      </c>
    </row>
    <row r="80" spans="1:11" ht="14.4" customHeight="1" thickBot="1" x14ac:dyDescent="0.35">
      <c r="A80" s="637" t="s">
        <v>410</v>
      </c>
      <c r="B80" s="615">
        <v>24.070002569530999</v>
      </c>
      <c r="C80" s="615">
        <v>30.375</v>
      </c>
      <c r="D80" s="616">
        <v>6.3049974304680001</v>
      </c>
      <c r="E80" s="617">
        <v>1.261944194324</v>
      </c>
      <c r="F80" s="615">
        <v>19.999999370047998</v>
      </c>
      <c r="G80" s="616">
        <v>4.9999998425119996</v>
      </c>
      <c r="H80" s="618">
        <v>0</v>
      </c>
      <c r="I80" s="615">
        <v>4.8600000000000003</v>
      </c>
      <c r="J80" s="616">
        <v>-0.13999984251200001</v>
      </c>
      <c r="K80" s="619">
        <v>0.24300000765300001</v>
      </c>
    </row>
    <row r="81" spans="1:11" ht="14.4" customHeight="1" thickBot="1" x14ac:dyDescent="0.35">
      <c r="A81" s="637" t="s">
        <v>411</v>
      </c>
      <c r="B81" s="615">
        <v>4.0324492310400002</v>
      </c>
      <c r="C81" s="615">
        <v>3.6461299999999999</v>
      </c>
      <c r="D81" s="616">
        <v>-0.38631923103999999</v>
      </c>
      <c r="E81" s="617">
        <v>0.90419737263699995</v>
      </c>
      <c r="F81" s="615">
        <v>2.9999999055069999</v>
      </c>
      <c r="G81" s="616">
        <v>0.74999997637600002</v>
      </c>
      <c r="H81" s="618">
        <v>0</v>
      </c>
      <c r="I81" s="615">
        <v>2.9846499999999998</v>
      </c>
      <c r="J81" s="616">
        <v>2.2346500236229998</v>
      </c>
      <c r="K81" s="619">
        <v>0.99488336466899996</v>
      </c>
    </row>
    <row r="82" spans="1:11" ht="14.4" customHeight="1" thickBot="1" x14ac:dyDescent="0.35">
      <c r="A82" s="636" t="s">
        <v>412</v>
      </c>
      <c r="B82" s="620">
        <v>0</v>
      </c>
      <c r="C82" s="620">
        <v>1.8149999999999999</v>
      </c>
      <c r="D82" s="621">
        <v>1.8149999999999999</v>
      </c>
      <c r="E82" s="622" t="s">
        <v>351</v>
      </c>
      <c r="F82" s="620">
        <v>0</v>
      </c>
      <c r="G82" s="621">
        <v>0</v>
      </c>
      <c r="H82" s="623">
        <v>0</v>
      </c>
      <c r="I82" s="620">
        <v>0</v>
      </c>
      <c r="J82" s="621">
        <v>0</v>
      </c>
      <c r="K82" s="628">
        <v>3</v>
      </c>
    </row>
    <row r="83" spans="1:11" ht="14.4" customHeight="1" thickBot="1" x14ac:dyDescent="0.35">
      <c r="A83" s="637" t="s">
        <v>413</v>
      </c>
      <c r="B83" s="615">
        <v>0</v>
      </c>
      <c r="C83" s="615">
        <v>1.8149999999999999</v>
      </c>
      <c r="D83" s="616">
        <v>1.8149999999999999</v>
      </c>
      <c r="E83" s="625" t="s">
        <v>351</v>
      </c>
      <c r="F83" s="615">
        <v>0</v>
      </c>
      <c r="G83" s="616">
        <v>0</v>
      </c>
      <c r="H83" s="618">
        <v>0</v>
      </c>
      <c r="I83" s="615">
        <v>0</v>
      </c>
      <c r="J83" s="616">
        <v>0</v>
      </c>
      <c r="K83" s="619">
        <v>3</v>
      </c>
    </row>
    <row r="84" spans="1:11" ht="14.4" customHeight="1" thickBot="1" x14ac:dyDescent="0.35">
      <c r="A84" s="636" t="s">
        <v>414</v>
      </c>
      <c r="B84" s="620">
        <v>540.92972686494295</v>
      </c>
      <c r="C84" s="620">
        <v>558.49851000000001</v>
      </c>
      <c r="D84" s="621">
        <v>17.568783135057</v>
      </c>
      <c r="E84" s="627">
        <v>1.0324788641889999</v>
      </c>
      <c r="F84" s="620">
        <v>599.39919619068996</v>
      </c>
      <c r="G84" s="621">
        <v>149.849799047673</v>
      </c>
      <c r="H84" s="623">
        <v>50.4803</v>
      </c>
      <c r="I84" s="620">
        <v>146.35865999999999</v>
      </c>
      <c r="J84" s="621">
        <v>-3.4911390476720001</v>
      </c>
      <c r="K84" s="628">
        <v>0.24417560272</v>
      </c>
    </row>
    <row r="85" spans="1:11" ht="14.4" customHeight="1" thickBot="1" x14ac:dyDescent="0.35">
      <c r="A85" s="637" t="s">
        <v>415</v>
      </c>
      <c r="B85" s="615">
        <v>460.33190500639802</v>
      </c>
      <c r="C85" s="615">
        <v>468.03251999999998</v>
      </c>
      <c r="D85" s="616">
        <v>7.7006149936019996</v>
      </c>
      <c r="E85" s="617">
        <v>1.0167283972929999</v>
      </c>
      <c r="F85" s="615">
        <v>508.46019807123997</v>
      </c>
      <c r="G85" s="616">
        <v>127.11504951780999</v>
      </c>
      <c r="H85" s="618">
        <v>41.841819999999998</v>
      </c>
      <c r="I85" s="615">
        <v>123.2013</v>
      </c>
      <c r="J85" s="616">
        <v>-3.9137495178089998</v>
      </c>
      <c r="K85" s="619">
        <v>0.24230274162500001</v>
      </c>
    </row>
    <row r="86" spans="1:11" ht="14.4" customHeight="1" thickBot="1" x14ac:dyDescent="0.35">
      <c r="A86" s="637" t="s">
        <v>416</v>
      </c>
      <c r="B86" s="615">
        <v>0</v>
      </c>
      <c r="C86" s="615">
        <v>3.2669999999999999</v>
      </c>
      <c r="D86" s="616">
        <v>3.2669999999999999</v>
      </c>
      <c r="E86" s="625" t="s">
        <v>351</v>
      </c>
      <c r="F86" s="615">
        <v>3.3484400533550001</v>
      </c>
      <c r="G86" s="616">
        <v>0.83711001333799995</v>
      </c>
      <c r="H86" s="618">
        <v>0</v>
      </c>
      <c r="I86" s="615">
        <v>0</v>
      </c>
      <c r="J86" s="616">
        <v>-0.83711001333799995</v>
      </c>
      <c r="K86" s="619">
        <v>0</v>
      </c>
    </row>
    <row r="87" spans="1:11" ht="14.4" customHeight="1" thickBot="1" x14ac:dyDescent="0.35">
      <c r="A87" s="637" t="s">
        <v>417</v>
      </c>
      <c r="B87" s="615">
        <v>80.597821858543995</v>
      </c>
      <c r="C87" s="615">
        <v>87.198989999999995</v>
      </c>
      <c r="D87" s="616">
        <v>6.6011681414550001</v>
      </c>
      <c r="E87" s="617">
        <v>1.0819025624909999</v>
      </c>
      <c r="F87" s="615">
        <v>87.590558066094005</v>
      </c>
      <c r="G87" s="616">
        <v>21.897639516523</v>
      </c>
      <c r="H87" s="618">
        <v>8.6384799999999995</v>
      </c>
      <c r="I87" s="615">
        <v>23.157360000000001</v>
      </c>
      <c r="J87" s="616">
        <v>1.2597204834760001</v>
      </c>
      <c r="K87" s="619">
        <v>0.26438192096599999</v>
      </c>
    </row>
    <row r="88" spans="1:11" ht="14.4" customHeight="1" thickBot="1" x14ac:dyDescent="0.35">
      <c r="A88" s="636" t="s">
        <v>418</v>
      </c>
      <c r="B88" s="620">
        <v>3310.8959195913098</v>
      </c>
      <c r="C88" s="620">
        <v>3090.31014</v>
      </c>
      <c r="D88" s="621">
        <v>-220.585779591311</v>
      </c>
      <c r="E88" s="627">
        <v>0.93337580372499995</v>
      </c>
      <c r="F88" s="620">
        <v>3661.02577477252</v>
      </c>
      <c r="G88" s="621">
        <v>915.25644369313</v>
      </c>
      <c r="H88" s="623">
        <v>180.15124</v>
      </c>
      <c r="I88" s="620">
        <v>640.14648999999997</v>
      </c>
      <c r="J88" s="621">
        <v>-275.10995369313002</v>
      </c>
      <c r="K88" s="628">
        <v>0.174854406765</v>
      </c>
    </row>
    <row r="89" spans="1:11" ht="14.4" customHeight="1" thickBot="1" x14ac:dyDescent="0.35">
      <c r="A89" s="637" t="s">
        <v>419</v>
      </c>
      <c r="B89" s="615">
        <v>0</v>
      </c>
      <c r="C89" s="615">
        <v>24.759</v>
      </c>
      <c r="D89" s="616">
        <v>24.759</v>
      </c>
      <c r="E89" s="625" t="s">
        <v>351</v>
      </c>
      <c r="F89" s="615">
        <v>89.897971469340007</v>
      </c>
      <c r="G89" s="616">
        <v>22.474492867335002</v>
      </c>
      <c r="H89" s="618">
        <v>0</v>
      </c>
      <c r="I89" s="615">
        <v>0</v>
      </c>
      <c r="J89" s="616">
        <v>-22.474492867335002</v>
      </c>
      <c r="K89" s="619">
        <v>0</v>
      </c>
    </row>
    <row r="90" spans="1:11" ht="14.4" customHeight="1" thickBot="1" x14ac:dyDescent="0.35">
      <c r="A90" s="637" t="s">
        <v>420</v>
      </c>
      <c r="B90" s="615">
        <v>197.97383635452999</v>
      </c>
      <c r="C90" s="615">
        <v>199.78566000000001</v>
      </c>
      <c r="D90" s="616">
        <v>1.811823645469</v>
      </c>
      <c r="E90" s="617">
        <v>1.0091518337909999</v>
      </c>
      <c r="F90" s="615">
        <v>170.77502785399</v>
      </c>
      <c r="G90" s="616">
        <v>42.693756963497002</v>
      </c>
      <c r="H90" s="618">
        <v>21.242799999999999</v>
      </c>
      <c r="I90" s="615">
        <v>93.603170000000006</v>
      </c>
      <c r="J90" s="616">
        <v>50.909413036502002</v>
      </c>
      <c r="K90" s="619">
        <v>0.54810806460499994</v>
      </c>
    </row>
    <row r="91" spans="1:11" ht="14.4" customHeight="1" thickBot="1" x14ac:dyDescent="0.35">
      <c r="A91" s="637" t="s">
        <v>421</v>
      </c>
      <c r="B91" s="615">
        <v>4.0014576669619997</v>
      </c>
      <c r="C91" s="615">
        <v>4.0564</v>
      </c>
      <c r="D91" s="616">
        <v>5.4942333037000003E-2</v>
      </c>
      <c r="E91" s="617">
        <v>1.0137305796060001</v>
      </c>
      <c r="F91" s="615">
        <v>5.9999998110139998</v>
      </c>
      <c r="G91" s="616">
        <v>1.4999999527529999</v>
      </c>
      <c r="H91" s="618">
        <v>0</v>
      </c>
      <c r="I91" s="615">
        <v>0</v>
      </c>
      <c r="J91" s="616">
        <v>-1.4999999527529999</v>
      </c>
      <c r="K91" s="619">
        <v>0</v>
      </c>
    </row>
    <row r="92" spans="1:11" ht="14.4" customHeight="1" thickBot="1" x14ac:dyDescent="0.35">
      <c r="A92" s="637" t="s">
        <v>422</v>
      </c>
      <c r="B92" s="615">
        <v>110.76076366997199</v>
      </c>
      <c r="C92" s="615">
        <v>110.57658000000001</v>
      </c>
      <c r="D92" s="616">
        <v>-0.184183669971</v>
      </c>
      <c r="E92" s="617">
        <v>0.99833710364600003</v>
      </c>
      <c r="F92" s="615">
        <v>167.29310961971501</v>
      </c>
      <c r="G92" s="616">
        <v>41.823277404928</v>
      </c>
      <c r="H92" s="618">
        <v>0</v>
      </c>
      <c r="I92" s="615">
        <v>24.443000000000001</v>
      </c>
      <c r="J92" s="616">
        <v>-17.380277404928002</v>
      </c>
      <c r="K92" s="619">
        <v>0.14610882692900001</v>
      </c>
    </row>
    <row r="93" spans="1:11" ht="14.4" customHeight="1" thickBot="1" x14ac:dyDescent="0.35">
      <c r="A93" s="637" t="s">
        <v>423</v>
      </c>
      <c r="B93" s="615">
        <v>2998.1598618998501</v>
      </c>
      <c r="C93" s="615">
        <v>2751.1325000000002</v>
      </c>
      <c r="D93" s="616">
        <v>-247.02736189984699</v>
      </c>
      <c r="E93" s="617">
        <v>0.917607007872</v>
      </c>
      <c r="F93" s="615">
        <v>3227.0596660184601</v>
      </c>
      <c r="G93" s="616">
        <v>806.76491650461605</v>
      </c>
      <c r="H93" s="618">
        <v>158.90844000000001</v>
      </c>
      <c r="I93" s="615">
        <v>522.10032000000001</v>
      </c>
      <c r="J93" s="616">
        <v>-284.66459650461502</v>
      </c>
      <c r="K93" s="619">
        <v>0.16178824503799999</v>
      </c>
    </row>
    <row r="94" spans="1:11" ht="14.4" customHeight="1" thickBot="1" x14ac:dyDescent="0.35">
      <c r="A94" s="636" t="s">
        <v>424</v>
      </c>
      <c r="B94" s="620">
        <v>0</v>
      </c>
      <c r="C94" s="620">
        <v>0</v>
      </c>
      <c r="D94" s="621">
        <v>0</v>
      </c>
      <c r="E94" s="627">
        <v>1</v>
      </c>
      <c r="F94" s="620">
        <v>34.999998897584</v>
      </c>
      <c r="G94" s="621">
        <v>8.7499997243959999</v>
      </c>
      <c r="H94" s="623">
        <v>0</v>
      </c>
      <c r="I94" s="620">
        <v>0</v>
      </c>
      <c r="J94" s="621">
        <v>-8.7499997243959999</v>
      </c>
      <c r="K94" s="628">
        <v>0</v>
      </c>
    </row>
    <row r="95" spans="1:11" ht="14.4" customHeight="1" thickBot="1" x14ac:dyDescent="0.35">
      <c r="A95" s="637" t="s">
        <v>425</v>
      </c>
      <c r="B95" s="615">
        <v>0</v>
      </c>
      <c r="C95" s="615">
        <v>0</v>
      </c>
      <c r="D95" s="616">
        <v>0</v>
      </c>
      <c r="E95" s="617">
        <v>1</v>
      </c>
      <c r="F95" s="615">
        <v>34.999998897584</v>
      </c>
      <c r="G95" s="616">
        <v>8.7499997243959999</v>
      </c>
      <c r="H95" s="618">
        <v>0</v>
      </c>
      <c r="I95" s="615">
        <v>0</v>
      </c>
      <c r="J95" s="616">
        <v>-8.7499997243959999</v>
      </c>
      <c r="K95" s="619">
        <v>0</v>
      </c>
    </row>
    <row r="96" spans="1:11" ht="14.4" customHeight="1" thickBot="1" x14ac:dyDescent="0.35">
      <c r="A96" s="634" t="s">
        <v>48</v>
      </c>
      <c r="B96" s="615">
        <v>23016.113871327201</v>
      </c>
      <c r="C96" s="615">
        <v>23945.00792</v>
      </c>
      <c r="D96" s="616">
        <v>928.89404867279904</v>
      </c>
      <c r="E96" s="617">
        <v>1.0403584225319999</v>
      </c>
      <c r="F96" s="615">
        <v>23407.9992627047</v>
      </c>
      <c r="G96" s="616">
        <v>5851.9998156761803</v>
      </c>
      <c r="H96" s="618">
        <v>1939.53981</v>
      </c>
      <c r="I96" s="615">
        <v>5807.0342000000001</v>
      </c>
      <c r="J96" s="616">
        <v>-44.965615676177997</v>
      </c>
      <c r="K96" s="619">
        <v>0.24807904916699999</v>
      </c>
    </row>
    <row r="97" spans="1:11" ht="14.4" customHeight="1" thickBot="1" x14ac:dyDescent="0.35">
      <c r="A97" s="640" t="s">
        <v>426</v>
      </c>
      <c r="B97" s="620">
        <v>17061.999999999702</v>
      </c>
      <c r="C97" s="620">
        <v>17863.992999999999</v>
      </c>
      <c r="D97" s="621">
        <v>801.99300000031496</v>
      </c>
      <c r="E97" s="627">
        <v>1.047004630172</v>
      </c>
      <c r="F97" s="620">
        <v>17353.999453391101</v>
      </c>
      <c r="G97" s="621">
        <v>4338.4998633477599</v>
      </c>
      <c r="H97" s="623">
        <v>1436.6959999999999</v>
      </c>
      <c r="I97" s="620">
        <v>4302.5749999999998</v>
      </c>
      <c r="J97" s="621">
        <v>-35.924863347760997</v>
      </c>
      <c r="K97" s="628">
        <v>0.247929879884</v>
      </c>
    </row>
    <row r="98" spans="1:11" ht="14.4" customHeight="1" thickBot="1" x14ac:dyDescent="0.35">
      <c r="A98" s="636" t="s">
        <v>427</v>
      </c>
      <c r="B98" s="620">
        <v>17006.999999999702</v>
      </c>
      <c r="C98" s="620">
        <v>17842.348999999998</v>
      </c>
      <c r="D98" s="621">
        <v>835.34900000031098</v>
      </c>
      <c r="E98" s="627">
        <v>1.0491179514310001</v>
      </c>
      <c r="F98" s="620">
        <v>17299.9994550919</v>
      </c>
      <c r="G98" s="621">
        <v>4324.9998637729796</v>
      </c>
      <c r="H98" s="623">
        <v>1436.6959999999999</v>
      </c>
      <c r="I98" s="620">
        <v>4298.3339999999998</v>
      </c>
      <c r="J98" s="621">
        <v>-26.665863772978</v>
      </c>
      <c r="K98" s="628">
        <v>0.24845862054199999</v>
      </c>
    </row>
    <row r="99" spans="1:11" ht="14.4" customHeight="1" thickBot="1" x14ac:dyDescent="0.35">
      <c r="A99" s="637" t="s">
        <v>428</v>
      </c>
      <c r="B99" s="615">
        <v>17006.999999999702</v>
      </c>
      <c r="C99" s="615">
        <v>17842.348999999998</v>
      </c>
      <c r="D99" s="616">
        <v>835.34900000031098</v>
      </c>
      <c r="E99" s="617">
        <v>1.0491179514310001</v>
      </c>
      <c r="F99" s="615">
        <v>17299.9994550919</v>
      </c>
      <c r="G99" s="616">
        <v>4324.9998637729796</v>
      </c>
      <c r="H99" s="618">
        <v>1436.6959999999999</v>
      </c>
      <c r="I99" s="615">
        <v>4298.3339999999998</v>
      </c>
      <c r="J99" s="616">
        <v>-26.665863772978</v>
      </c>
      <c r="K99" s="619">
        <v>0.24845862054199999</v>
      </c>
    </row>
    <row r="100" spans="1:11" ht="14.4" customHeight="1" thickBot="1" x14ac:dyDescent="0.35">
      <c r="A100" s="636" t="s">
        <v>429</v>
      </c>
      <c r="B100" s="620">
        <v>54.999999999998998</v>
      </c>
      <c r="C100" s="620">
        <v>21.643999999999998</v>
      </c>
      <c r="D100" s="621">
        <v>-33.355999999999</v>
      </c>
      <c r="E100" s="627">
        <v>0.393527272727</v>
      </c>
      <c r="F100" s="620">
        <v>53.999998299129999</v>
      </c>
      <c r="G100" s="621">
        <v>13.499999574782001</v>
      </c>
      <c r="H100" s="623">
        <v>0</v>
      </c>
      <c r="I100" s="620">
        <v>4.2409999999999997</v>
      </c>
      <c r="J100" s="621">
        <v>-9.2589995747820009</v>
      </c>
      <c r="K100" s="628">
        <v>7.8537039510000003E-2</v>
      </c>
    </row>
    <row r="101" spans="1:11" ht="14.4" customHeight="1" thickBot="1" x14ac:dyDescent="0.35">
      <c r="A101" s="637" t="s">
        <v>430</v>
      </c>
      <c r="B101" s="615">
        <v>54.999999999998998</v>
      </c>
      <c r="C101" s="615">
        <v>21.643999999999998</v>
      </c>
      <c r="D101" s="616">
        <v>-33.355999999999</v>
      </c>
      <c r="E101" s="617">
        <v>0.393527272727</v>
      </c>
      <c r="F101" s="615">
        <v>53.999998299129999</v>
      </c>
      <c r="G101" s="616">
        <v>13.499999574782001</v>
      </c>
      <c r="H101" s="618">
        <v>0</v>
      </c>
      <c r="I101" s="615">
        <v>4.2409999999999997</v>
      </c>
      <c r="J101" s="616">
        <v>-9.2589995747820009</v>
      </c>
      <c r="K101" s="619">
        <v>7.8537039510000003E-2</v>
      </c>
    </row>
    <row r="102" spans="1:11" ht="14.4" customHeight="1" thickBot="1" x14ac:dyDescent="0.35">
      <c r="A102" s="635" t="s">
        <v>431</v>
      </c>
      <c r="B102" s="615">
        <v>5783.1138713275204</v>
      </c>
      <c r="C102" s="615">
        <v>5902.2946199999997</v>
      </c>
      <c r="D102" s="616">
        <v>119.180748672482</v>
      </c>
      <c r="E102" s="617">
        <v>1.0206084042820001</v>
      </c>
      <c r="F102" s="615">
        <v>5880.9998147627502</v>
      </c>
      <c r="G102" s="616">
        <v>1470.2499536906901</v>
      </c>
      <c r="H102" s="618">
        <v>488.47699999999998</v>
      </c>
      <c r="I102" s="615">
        <v>1461.4345000000001</v>
      </c>
      <c r="J102" s="616">
        <v>-8.8154536906870007</v>
      </c>
      <c r="K102" s="619">
        <v>0.248501028061</v>
      </c>
    </row>
    <row r="103" spans="1:11" ht="14.4" customHeight="1" thickBot="1" x14ac:dyDescent="0.35">
      <c r="A103" s="636" t="s">
        <v>432</v>
      </c>
      <c r="B103" s="620">
        <v>1531.11387132761</v>
      </c>
      <c r="C103" s="620">
        <v>1605.80061</v>
      </c>
      <c r="D103" s="621">
        <v>74.686738672393005</v>
      </c>
      <c r="E103" s="627">
        <v>1.0487793495119999</v>
      </c>
      <c r="F103" s="620">
        <v>1555.99995098977</v>
      </c>
      <c r="G103" s="621">
        <v>388.99998774744301</v>
      </c>
      <c r="H103" s="623">
        <v>129.303</v>
      </c>
      <c r="I103" s="620">
        <v>386.851</v>
      </c>
      <c r="J103" s="621">
        <v>-2.1489877474419998</v>
      </c>
      <c r="K103" s="628">
        <v>0.24861890243199999</v>
      </c>
    </row>
    <row r="104" spans="1:11" ht="14.4" customHeight="1" thickBot="1" x14ac:dyDescent="0.35">
      <c r="A104" s="637" t="s">
        <v>433</v>
      </c>
      <c r="B104" s="615">
        <v>1531.11387132761</v>
      </c>
      <c r="C104" s="615">
        <v>1605.80061</v>
      </c>
      <c r="D104" s="616">
        <v>74.686738672393005</v>
      </c>
      <c r="E104" s="617">
        <v>1.0487793495119999</v>
      </c>
      <c r="F104" s="615">
        <v>1555.99995098977</v>
      </c>
      <c r="G104" s="616">
        <v>388.99998774744301</v>
      </c>
      <c r="H104" s="618">
        <v>129.303</v>
      </c>
      <c r="I104" s="615">
        <v>386.851</v>
      </c>
      <c r="J104" s="616">
        <v>-2.1489877474419998</v>
      </c>
      <c r="K104" s="619">
        <v>0.24861890243199999</v>
      </c>
    </row>
    <row r="105" spans="1:11" ht="14.4" customHeight="1" thickBot="1" x14ac:dyDescent="0.35">
      <c r="A105" s="636" t="s">
        <v>434</v>
      </c>
      <c r="B105" s="620">
        <v>4251.99999999991</v>
      </c>
      <c r="C105" s="620">
        <v>4296.4940100000003</v>
      </c>
      <c r="D105" s="621">
        <v>44.494010000086</v>
      </c>
      <c r="E105" s="627">
        <v>1.010464254468</v>
      </c>
      <c r="F105" s="620">
        <v>4324.9998637729796</v>
      </c>
      <c r="G105" s="621">
        <v>1081.2499659432499</v>
      </c>
      <c r="H105" s="623">
        <v>359.17399999999998</v>
      </c>
      <c r="I105" s="620">
        <v>1074.5835</v>
      </c>
      <c r="J105" s="621">
        <v>-6.6664659432439999</v>
      </c>
      <c r="K105" s="628">
        <v>0.24845862054199999</v>
      </c>
    </row>
    <row r="106" spans="1:11" ht="14.4" customHeight="1" thickBot="1" x14ac:dyDescent="0.35">
      <c r="A106" s="637" t="s">
        <v>435</v>
      </c>
      <c r="B106" s="615">
        <v>4251.99999999991</v>
      </c>
      <c r="C106" s="615">
        <v>4296.4940100000003</v>
      </c>
      <c r="D106" s="616">
        <v>44.494010000086</v>
      </c>
      <c r="E106" s="617">
        <v>1.010464254468</v>
      </c>
      <c r="F106" s="615">
        <v>4324.9998637729796</v>
      </c>
      <c r="G106" s="616">
        <v>1081.2499659432499</v>
      </c>
      <c r="H106" s="618">
        <v>359.17399999999998</v>
      </c>
      <c r="I106" s="615">
        <v>1074.5835</v>
      </c>
      <c r="J106" s="616">
        <v>-6.6664659432439999</v>
      </c>
      <c r="K106" s="619">
        <v>0.24845862054199999</v>
      </c>
    </row>
    <row r="107" spans="1:11" ht="14.4" customHeight="1" thickBot="1" x14ac:dyDescent="0.35">
      <c r="A107" s="635" t="s">
        <v>436</v>
      </c>
      <c r="B107" s="615">
        <v>170.99999999999699</v>
      </c>
      <c r="C107" s="615">
        <v>178.72030000000001</v>
      </c>
      <c r="D107" s="616">
        <v>7.7203000000030002</v>
      </c>
      <c r="E107" s="617">
        <v>1.045147953216</v>
      </c>
      <c r="F107" s="615">
        <v>172.99999455091901</v>
      </c>
      <c r="G107" s="616">
        <v>43.249998637729</v>
      </c>
      <c r="H107" s="618">
        <v>14.366809999999999</v>
      </c>
      <c r="I107" s="615">
        <v>43.024700000000003</v>
      </c>
      <c r="J107" s="616">
        <v>-0.225298637729</v>
      </c>
      <c r="K107" s="619">
        <v>0.24869769569399999</v>
      </c>
    </row>
    <row r="108" spans="1:11" ht="14.4" customHeight="1" thickBot="1" x14ac:dyDescent="0.35">
      <c r="A108" s="636" t="s">
        <v>437</v>
      </c>
      <c r="B108" s="620">
        <v>170.99999999999699</v>
      </c>
      <c r="C108" s="620">
        <v>178.72030000000001</v>
      </c>
      <c r="D108" s="621">
        <v>7.7203000000030002</v>
      </c>
      <c r="E108" s="627">
        <v>1.045147953216</v>
      </c>
      <c r="F108" s="620">
        <v>172.99999455091901</v>
      </c>
      <c r="G108" s="621">
        <v>43.249998637729</v>
      </c>
      <c r="H108" s="623">
        <v>14.366809999999999</v>
      </c>
      <c r="I108" s="620">
        <v>43.024700000000003</v>
      </c>
      <c r="J108" s="621">
        <v>-0.225298637729</v>
      </c>
      <c r="K108" s="628">
        <v>0.24869769569399999</v>
      </c>
    </row>
    <row r="109" spans="1:11" ht="14.4" customHeight="1" thickBot="1" x14ac:dyDescent="0.35">
      <c r="A109" s="637" t="s">
        <v>438</v>
      </c>
      <c r="B109" s="615">
        <v>170.99999999999699</v>
      </c>
      <c r="C109" s="615">
        <v>178.72030000000001</v>
      </c>
      <c r="D109" s="616">
        <v>7.7203000000030002</v>
      </c>
      <c r="E109" s="617">
        <v>1.045147953216</v>
      </c>
      <c r="F109" s="615">
        <v>172.99999455091901</v>
      </c>
      <c r="G109" s="616">
        <v>43.249998637729</v>
      </c>
      <c r="H109" s="618">
        <v>14.366809999999999</v>
      </c>
      <c r="I109" s="615">
        <v>43.024700000000003</v>
      </c>
      <c r="J109" s="616">
        <v>-0.225298637729</v>
      </c>
      <c r="K109" s="619">
        <v>0.24869769569399999</v>
      </c>
    </row>
    <row r="110" spans="1:11" ht="14.4" customHeight="1" thickBot="1" x14ac:dyDescent="0.35">
      <c r="A110" s="634" t="s">
        <v>439</v>
      </c>
      <c r="B110" s="615">
        <v>0</v>
      </c>
      <c r="C110" s="615">
        <v>22.069790000000001</v>
      </c>
      <c r="D110" s="616">
        <v>22.069790000000001</v>
      </c>
      <c r="E110" s="625" t="s">
        <v>337</v>
      </c>
      <c r="F110" s="615">
        <v>0</v>
      </c>
      <c r="G110" s="616">
        <v>0</v>
      </c>
      <c r="H110" s="618">
        <v>0.4</v>
      </c>
      <c r="I110" s="615">
        <v>46.753</v>
      </c>
      <c r="J110" s="616">
        <v>46.753</v>
      </c>
      <c r="K110" s="626" t="s">
        <v>337</v>
      </c>
    </row>
    <row r="111" spans="1:11" ht="14.4" customHeight="1" thickBot="1" x14ac:dyDescent="0.35">
      <c r="A111" s="635" t="s">
        <v>440</v>
      </c>
      <c r="B111" s="615">
        <v>0</v>
      </c>
      <c r="C111" s="615">
        <v>7.8176500000000004</v>
      </c>
      <c r="D111" s="616">
        <v>7.8176500000000004</v>
      </c>
      <c r="E111" s="625" t="s">
        <v>351</v>
      </c>
      <c r="F111" s="615">
        <v>0</v>
      </c>
      <c r="G111" s="616">
        <v>0</v>
      </c>
      <c r="H111" s="618">
        <v>0</v>
      </c>
      <c r="I111" s="615">
        <v>0</v>
      </c>
      <c r="J111" s="616">
        <v>0</v>
      </c>
      <c r="K111" s="626" t="s">
        <v>337</v>
      </c>
    </row>
    <row r="112" spans="1:11" ht="14.4" customHeight="1" thickBot="1" x14ac:dyDescent="0.35">
      <c r="A112" s="636" t="s">
        <v>441</v>
      </c>
      <c r="B112" s="620">
        <v>0</v>
      </c>
      <c r="C112" s="620">
        <v>7.8176500000000004</v>
      </c>
      <c r="D112" s="621">
        <v>7.8176500000000004</v>
      </c>
      <c r="E112" s="622" t="s">
        <v>351</v>
      </c>
      <c r="F112" s="620">
        <v>0</v>
      </c>
      <c r="G112" s="621">
        <v>0</v>
      </c>
      <c r="H112" s="623">
        <v>0</v>
      </c>
      <c r="I112" s="620">
        <v>0</v>
      </c>
      <c r="J112" s="621">
        <v>0</v>
      </c>
      <c r="K112" s="624" t="s">
        <v>337</v>
      </c>
    </row>
    <row r="113" spans="1:11" ht="14.4" customHeight="1" thickBot="1" x14ac:dyDescent="0.35">
      <c r="A113" s="637" t="s">
        <v>442</v>
      </c>
      <c r="B113" s="615">
        <v>0</v>
      </c>
      <c r="C113" s="615">
        <v>7.8176500000000004</v>
      </c>
      <c r="D113" s="616">
        <v>7.8176500000000004</v>
      </c>
      <c r="E113" s="625" t="s">
        <v>351</v>
      </c>
      <c r="F113" s="615">
        <v>0</v>
      </c>
      <c r="G113" s="616">
        <v>0</v>
      </c>
      <c r="H113" s="618">
        <v>0</v>
      </c>
      <c r="I113" s="615">
        <v>0</v>
      </c>
      <c r="J113" s="616">
        <v>0</v>
      </c>
      <c r="K113" s="626" t="s">
        <v>337</v>
      </c>
    </row>
    <row r="114" spans="1:11" ht="14.4" customHeight="1" thickBot="1" x14ac:dyDescent="0.35">
      <c r="A114" s="635" t="s">
        <v>443</v>
      </c>
      <c r="B114" s="615">
        <v>0</v>
      </c>
      <c r="C114" s="615">
        <v>14.252140000000001</v>
      </c>
      <c r="D114" s="616">
        <v>14.252140000000001</v>
      </c>
      <c r="E114" s="625" t="s">
        <v>337</v>
      </c>
      <c r="F114" s="615">
        <v>0</v>
      </c>
      <c r="G114" s="616">
        <v>0</v>
      </c>
      <c r="H114" s="618">
        <v>0.4</v>
      </c>
      <c r="I114" s="615">
        <v>46.753</v>
      </c>
      <c r="J114" s="616">
        <v>46.753</v>
      </c>
      <c r="K114" s="626" t="s">
        <v>337</v>
      </c>
    </row>
    <row r="115" spans="1:11" ht="14.4" customHeight="1" thickBot="1" x14ac:dyDescent="0.35">
      <c r="A115" s="636" t="s">
        <v>444</v>
      </c>
      <c r="B115" s="620">
        <v>0</v>
      </c>
      <c r="C115" s="620">
        <v>22.267469999999999</v>
      </c>
      <c r="D115" s="621">
        <v>22.267469999999999</v>
      </c>
      <c r="E115" s="622" t="s">
        <v>337</v>
      </c>
      <c r="F115" s="620">
        <v>0</v>
      </c>
      <c r="G115" s="621">
        <v>0</v>
      </c>
      <c r="H115" s="623">
        <v>0.4</v>
      </c>
      <c r="I115" s="620">
        <v>19.373000000000001</v>
      </c>
      <c r="J115" s="621">
        <v>19.373000000000001</v>
      </c>
      <c r="K115" s="624" t="s">
        <v>337</v>
      </c>
    </row>
    <row r="116" spans="1:11" ht="14.4" customHeight="1" thickBot="1" x14ac:dyDescent="0.35">
      <c r="A116" s="637" t="s">
        <v>445</v>
      </c>
      <c r="B116" s="615">
        <v>0</v>
      </c>
      <c r="C116" s="615">
        <v>4.1674499999999997</v>
      </c>
      <c r="D116" s="616">
        <v>4.1674499999999997</v>
      </c>
      <c r="E116" s="625" t="s">
        <v>337</v>
      </c>
      <c r="F116" s="615">
        <v>0</v>
      </c>
      <c r="G116" s="616">
        <v>0</v>
      </c>
      <c r="H116" s="618">
        <v>0</v>
      </c>
      <c r="I116" s="615">
        <v>18.972999999999999</v>
      </c>
      <c r="J116" s="616">
        <v>18.972999999999999</v>
      </c>
      <c r="K116" s="626" t="s">
        <v>337</v>
      </c>
    </row>
    <row r="117" spans="1:11" ht="14.4" customHeight="1" thickBot="1" x14ac:dyDescent="0.35">
      <c r="A117" s="637" t="s">
        <v>446</v>
      </c>
      <c r="B117" s="615">
        <v>0</v>
      </c>
      <c r="C117" s="615">
        <v>16.80002</v>
      </c>
      <c r="D117" s="616">
        <v>16.80002</v>
      </c>
      <c r="E117" s="625" t="s">
        <v>337</v>
      </c>
      <c r="F117" s="615">
        <v>0</v>
      </c>
      <c r="G117" s="616">
        <v>0</v>
      </c>
      <c r="H117" s="618">
        <v>0</v>
      </c>
      <c r="I117" s="615">
        <v>0</v>
      </c>
      <c r="J117" s="616">
        <v>0</v>
      </c>
      <c r="K117" s="626" t="s">
        <v>337</v>
      </c>
    </row>
    <row r="118" spans="1:11" ht="14.4" customHeight="1" thickBot="1" x14ac:dyDescent="0.35">
      <c r="A118" s="637" t="s">
        <v>447</v>
      </c>
      <c r="B118" s="615">
        <v>0</v>
      </c>
      <c r="C118" s="615">
        <v>1</v>
      </c>
      <c r="D118" s="616">
        <v>1</v>
      </c>
      <c r="E118" s="625" t="s">
        <v>337</v>
      </c>
      <c r="F118" s="615">
        <v>0</v>
      </c>
      <c r="G118" s="616">
        <v>0</v>
      </c>
      <c r="H118" s="618">
        <v>0</v>
      </c>
      <c r="I118" s="615">
        <v>0</v>
      </c>
      <c r="J118" s="616">
        <v>0</v>
      </c>
      <c r="K118" s="626" t="s">
        <v>337</v>
      </c>
    </row>
    <row r="119" spans="1:11" ht="14.4" customHeight="1" thickBot="1" x14ac:dyDescent="0.35">
      <c r="A119" s="637" t="s">
        <v>448</v>
      </c>
      <c r="B119" s="615">
        <v>0</v>
      </c>
      <c r="C119" s="615">
        <v>0.3</v>
      </c>
      <c r="D119" s="616">
        <v>0.3</v>
      </c>
      <c r="E119" s="625" t="s">
        <v>337</v>
      </c>
      <c r="F119" s="615">
        <v>0</v>
      </c>
      <c r="G119" s="616">
        <v>0</v>
      </c>
      <c r="H119" s="618">
        <v>0.4</v>
      </c>
      <c r="I119" s="615">
        <v>0.4</v>
      </c>
      <c r="J119" s="616">
        <v>0.4</v>
      </c>
      <c r="K119" s="626" t="s">
        <v>337</v>
      </c>
    </row>
    <row r="120" spans="1:11" ht="14.4" customHeight="1" thickBot="1" x14ac:dyDescent="0.35">
      <c r="A120" s="639" t="s">
        <v>449</v>
      </c>
      <c r="B120" s="615">
        <v>0</v>
      </c>
      <c r="C120" s="615">
        <v>0</v>
      </c>
      <c r="D120" s="616">
        <v>0</v>
      </c>
      <c r="E120" s="617">
        <v>1</v>
      </c>
      <c r="F120" s="615">
        <v>0</v>
      </c>
      <c r="G120" s="616">
        <v>0</v>
      </c>
      <c r="H120" s="618">
        <v>0</v>
      </c>
      <c r="I120" s="615">
        <v>27.38</v>
      </c>
      <c r="J120" s="616">
        <v>27.38</v>
      </c>
      <c r="K120" s="626" t="s">
        <v>351</v>
      </c>
    </row>
    <row r="121" spans="1:11" ht="14.4" customHeight="1" thickBot="1" x14ac:dyDescent="0.35">
      <c r="A121" s="637" t="s">
        <v>450</v>
      </c>
      <c r="B121" s="615">
        <v>0</v>
      </c>
      <c r="C121" s="615">
        <v>0</v>
      </c>
      <c r="D121" s="616">
        <v>0</v>
      </c>
      <c r="E121" s="617">
        <v>1</v>
      </c>
      <c r="F121" s="615">
        <v>0</v>
      </c>
      <c r="G121" s="616">
        <v>0</v>
      </c>
      <c r="H121" s="618">
        <v>0</v>
      </c>
      <c r="I121" s="615">
        <v>27.38</v>
      </c>
      <c r="J121" s="616">
        <v>27.38</v>
      </c>
      <c r="K121" s="626" t="s">
        <v>351</v>
      </c>
    </row>
    <row r="122" spans="1:11" ht="14.4" customHeight="1" thickBot="1" x14ac:dyDescent="0.35">
      <c r="A122" s="636" t="s">
        <v>451</v>
      </c>
      <c r="B122" s="620">
        <v>0</v>
      </c>
      <c r="C122" s="620">
        <v>-10.71533</v>
      </c>
      <c r="D122" s="621">
        <v>-10.71533</v>
      </c>
      <c r="E122" s="622" t="s">
        <v>351</v>
      </c>
      <c r="F122" s="620">
        <v>0</v>
      </c>
      <c r="G122" s="621">
        <v>0</v>
      </c>
      <c r="H122" s="623">
        <v>0</v>
      </c>
      <c r="I122" s="620">
        <v>0</v>
      </c>
      <c r="J122" s="621">
        <v>0</v>
      </c>
      <c r="K122" s="624" t="s">
        <v>337</v>
      </c>
    </row>
    <row r="123" spans="1:11" ht="14.4" customHeight="1" thickBot="1" x14ac:dyDescent="0.35">
      <c r="A123" s="637" t="s">
        <v>452</v>
      </c>
      <c r="B123" s="615">
        <v>0</v>
      </c>
      <c r="C123" s="615">
        <v>-10.71533</v>
      </c>
      <c r="D123" s="616">
        <v>-10.71533</v>
      </c>
      <c r="E123" s="625" t="s">
        <v>351</v>
      </c>
      <c r="F123" s="615">
        <v>0</v>
      </c>
      <c r="G123" s="616">
        <v>0</v>
      </c>
      <c r="H123" s="618">
        <v>0</v>
      </c>
      <c r="I123" s="615">
        <v>0</v>
      </c>
      <c r="J123" s="616">
        <v>0</v>
      </c>
      <c r="K123" s="626" t="s">
        <v>337</v>
      </c>
    </row>
    <row r="124" spans="1:11" ht="14.4" customHeight="1" thickBot="1" x14ac:dyDescent="0.35">
      <c r="A124" s="639" t="s">
        <v>453</v>
      </c>
      <c r="B124" s="615">
        <v>0</v>
      </c>
      <c r="C124" s="615">
        <v>0.45</v>
      </c>
      <c r="D124" s="616">
        <v>0.45</v>
      </c>
      <c r="E124" s="625" t="s">
        <v>337</v>
      </c>
      <c r="F124" s="615">
        <v>0</v>
      </c>
      <c r="G124" s="616">
        <v>0</v>
      </c>
      <c r="H124" s="618">
        <v>0</v>
      </c>
      <c r="I124" s="615">
        <v>0</v>
      </c>
      <c r="J124" s="616">
        <v>0</v>
      </c>
      <c r="K124" s="626" t="s">
        <v>337</v>
      </c>
    </row>
    <row r="125" spans="1:11" ht="14.4" customHeight="1" thickBot="1" x14ac:dyDescent="0.35">
      <c r="A125" s="637" t="s">
        <v>454</v>
      </c>
      <c r="B125" s="615">
        <v>0</v>
      </c>
      <c r="C125" s="615">
        <v>0.45</v>
      </c>
      <c r="D125" s="616">
        <v>0.45</v>
      </c>
      <c r="E125" s="625" t="s">
        <v>337</v>
      </c>
      <c r="F125" s="615">
        <v>0</v>
      </c>
      <c r="G125" s="616">
        <v>0</v>
      </c>
      <c r="H125" s="618">
        <v>0</v>
      </c>
      <c r="I125" s="615">
        <v>0</v>
      </c>
      <c r="J125" s="616">
        <v>0</v>
      </c>
      <c r="K125" s="626" t="s">
        <v>337</v>
      </c>
    </row>
    <row r="126" spans="1:11" ht="14.4" customHeight="1" thickBot="1" x14ac:dyDescent="0.35">
      <c r="A126" s="639" t="s">
        <v>455</v>
      </c>
      <c r="B126" s="615">
        <v>0</v>
      </c>
      <c r="C126" s="615">
        <v>2.25</v>
      </c>
      <c r="D126" s="616">
        <v>2.25</v>
      </c>
      <c r="E126" s="625" t="s">
        <v>337</v>
      </c>
      <c r="F126" s="615">
        <v>0</v>
      </c>
      <c r="G126" s="616">
        <v>0</v>
      </c>
      <c r="H126" s="618">
        <v>0</v>
      </c>
      <c r="I126" s="615">
        <v>0</v>
      </c>
      <c r="J126" s="616">
        <v>0</v>
      </c>
      <c r="K126" s="626" t="s">
        <v>337</v>
      </c>
    </row>
    <row r="127" spans="1:11" ht="14.4" customHeight="1" thickBot="1" x14ac:dyDescent="0.35">
      <c r="A127" s="637" t="s">
        <v>456</v>
      </c>
      <c r="B127" s="615">
        <v>0</v>
      </c>
      <c r="C127" s="615">
        <v>2.25</v>
      </c>
      <c r="D127" s="616">
        <v>2.25</v>
      </c>
      <c r="E127" s="625" t="s">
        <v>337</v>
      </c>
      <c r="F127" s="615">
        <v>0</v>
      </c>
      <c r="G127" s="616">
        <v>0</v>
      </c>
      <c r="H127" s="618">
        <v>0</v>
      </c>
      <c r="I127" s="615">
        <v>0</v>
      </c>
      <c r="J127" s="616">
        <v>0</v>
      </c>
      <c r="K127" s="626" t="s">
        <v>337</v>
      </c>
    </row>
    <row r="128" spans="1:11" ht="14.4" customHeight="1" thickBot="1" x14ac:dyDescent="0.35">
      <c r="A128" s="634" t="s">
        <v>457</v>
      </c>
      <c r="B128" s="615">
        <v>6923.9824672376399</v>
      </c>
      <c r="C128" s="615">
        <v>5846.5541999999996</v>
      </c>
      <c r="D128" s="616">
        <v>-1077.4282672376401</v>
      </c>
      <c r="E128" s="617">
        <v>0.84439182618700004</v>
      </c>
      <c r="F128" s="615">
        <v>5513.9921276662899</v>
      </c>
      <c r="G128" s="616">
        <v>1378.49803191657</v>
      </c>
      <c r="H128" s="618">
        <v>459.48</v>
      </c>
      <c r="I128" s="615">
        <v>1378.442</v>
      </c>
      <c r="J128" s="616">
        <v>-5.6031916570999998E-2</v>
      </c>
      <c r="K128" s="619">
        <v>0.24998983823000001</v>
      </c>
    </row>
    <row r="129" spans="1:11" ht="14.4" customHeight="1" thickBot="1" x14ac:dyDescent="0.35">
      <c r="A129" s="635" t="s">
        <v>458</v>
      </c>
      <c r="B129" s="615">
        <v>6923.9824672376399</v>
      </c>
      <c r="C129" s="615">
        <v>5760.8670000000002</v>
      </c>
      <c r="D129" s="616">
        <v>-1163.1154672376399</v>
      </c>
      <c r="E129" s="617">
        <v>0.83201640490200002</v>
      </c>
      <c r="F129" s="615">
        <v>5513.9921276662899</v>
      </c>
      <c r="G129" s="616">
        <v>1378.49803191657</v>
      </c>
      <c r="H129" s="618">
        <v>459.48</v>
      </c>
      <c r="I129" s="615">
        <v>1378.442</v>
      </c>
      <c r="J129" s="616">
        <v>-5.6031916570999998E-2</v>
      </c>
      <c r="K129" s="619">
        <v>0.24998983823000001</v>
      </c>
    </row>
    <row r="130" spans="1:11" ht="14.4" customHeight="1" thickBot="1" x14ac:dyDescent="0.35">
      <c r="A130" s="636" t="s">
        <v>459</v>
      </c>
      <c r="B130" s="620">
        <v>6923.9824672376399</v>
      </c>
      <c r="C130" s="620">
        <v>5609.3029999999999</v>
      </c>
      <c r="D130" s="621">
        <v>-1314.67946723764</v>
      </c>
      <c r="E130" s="627">
        <v>0.81012669031700002</v>
      </c>
      <c r="F130" s="620">
        <v>5513.9921276662899</v>
      </c>
      <c r="G130" s="621">
        <v>1378.49803191657</v>
      </c>
      <c r="H130" s="623">
        <v>459.48</v>
      </c>
      <c r="I130" s="620">
        <v>1378.442</v>
      </c>
      <c r="J130" s="621">
        <v>-5.6031916570999998E-2</v>
      </c>
      <c r="K130" s="628">
        <v>0.24998983823000001</v>
      </c>
    </row>
    <row r="131" spans="1:11" ht="14.4" customHeight="1" thickBot="1" x14ac:dyDescent="0.35">
      <c r="A131" s="637" t="s">
        <v>460</v>
      </c>
      <c r="B131" s="615">
        <v>252.989948366058</v>
      </c>
      <c r="C131" s="615">
        <v>252.6</v>
      </c>
      <c r="D131" s="616">
        <v>-0.38994836605700001</v>
      </c>
      <c r="E131" s="617">
        <v>0.99845864087199998</v>
      </c>
      <c r="F131" s="615">
        <v>252.99999203110801</v>
      </c>
      <c r="G131" s="616">
        <v>63.249998007777002</v>
      </c>
      <c r="H131" s="618">
        <v>21.05</v>
      </c>
      <c r="I131" s="615">
        <v>63.15</v>
      </c>
      <c r="J131" s="616">
        <v>-9.9998007777000006E-2</v>
      </c>
      <c r="K131" s="619">
        <v>0.249604750944</v>
      </c>
    </row>
    <row r="132" spans="1:11" ht="14.4" customHeight="1" thickBot="1" x14ac:dyDescent="0.35">
      <c r="A132" s="637" t="s">
        <v>461</v>
      </c>
      <c r="B132" s="615">
        <v>4220.99999999992</v>
      </c>
      <c r="C132" s="615">
        <v>4025.0140000000001</v>
      </c>
      <c r="D132" s="616">
        <v>-195.98599999992001</v>
      </c>
      <c r="E132" s="617">
        <v>0.95356882255300002</v>
      </c>
      <c r="F132" s="615">
        <v>2208.9999304218099</v>
      </c>
      <c r="G132" s="616">
        <v>552.24998260545203</v>
      </c>
      <c r="H132" s="618">
        <v>184.08500000000001</v>
      </c>
      <c r="I132" s="615">
        <v>552.25699999999995</v>
      </c>
      <c r="J132" s="616">
        <v>7.0173945480000001E-3</v>
      </c>
      <c r="K132" s="619">
        <v>0.25000317672900002</v>
      </c>
    </row>
    <row r="133" spans="1:11" ht="14.4" customHeight="1" thickBot="1" x14ac:dyDescent="0.35">
      <c r="A133" s="637" t="s">
        <v>462</v>
      </c>
      <c r="B133" s="615">
        <v>26.000217527895</v>
      </c>
      <c r="C133" s="615">
        <v>25.986000000000001</v>
      </c>
      <c r="D133" s="616">
        <v>-1.4217527895E-2</v>
      </c>
      <c r="E133" s="617">
        <v>0.99945317657900001</v>
      </c>
      <c r="F133" s="615">
        <v>22.999999275554998</v>
      </c>
      <c r="G133" s="616">
        <v>5.7499998188879999</v>
      </c>
      <c r="H133" s="618">
        <v>1.923</v>
      </c>
      <c r="I133" s="615">
        <v>5.7690000000000001</v>
      </c>
      <c r="J133" s="616">
        <v>1.9000181110999999E-2</v>
      </c>
      <c r="K133" s="619">
        <v>0.25082609485599999</v>
      </c>
    </row>
    <row r="134" spans="1:11" ht="14.4" customHeight="1" thickBot="1" x14ac:dyDescent="0.35">
      <c r="A134" s="637" t="s">
        <v>463</v>
      </c>
      <c r="B134" s="615">
        <v>624.99230134380002</v>
      </c>
      <c r="C134" s="615">
        <v>624.78499999999997</v>
      </c>
      <c r="D134" s="616">
        <v>-0.207301343799</v>
      </c>
      <c r="E134" s="617">
        <v>0.999668313764</v>
      </c>
      <c r="F134" s="615">
        <v>624.99228165804504</v>
      </c>
      <c r="G134" s="616">
        <v>156.24807041451101</v>
      </c>
      <c r="H134" s="618">
        <v>52.064999999999998</v>
      </c>
      <c r="I134" s="615">
        <v>156.19499999999999</v>
      </c>
      <c r="J134" s="616">
        <v>-5.3070414511000003E-2</v>
      </c>
      <c r="K134" s="619">
        <v>0.24991508628799999</v>
      </c>
    </row>
    <row r="135" spans="1:11" ht="14.4" customHeight="1" thickBot="1" x14ac:dyDescent="0.35">
      <c r="A135" s="637" t="s">
        <v>464</v>
      </c>
      <c r="B135" s="615">
        <v>1798.99999999997</v>
      </c>
      <c r="C135" s="615">
        <v>680.91800000000001</v>
      </c>
      <c r="D135" s="616">
        <v>-1118.0819999999701</v>
      </c>
      <c r="E135" s="617">
        <v>0.37849805447399998</v>
      </c>
      <c r="F135" s="615">
        <v>2403.9999242797699</v>
      </c>
      <c r="G135" s="616">
        <v>600.99998106994303</v>
      </c>
      <c r="H135" s="618">
        <v>200.357</v>
      </c>
      <c r="I135" s="615">
        <v>601.07100000000003</v>
      </c>
      <c r="J135" s="616">
        <v>7.1018930056000004E-2</v>
      </c>
      <c r="K135" s="619">
        <v>0.25002954198499999</v>
      </c>
    </row>
    <row r="136" spans="1:11" ht="14.4" customHeight="1" thickBot="1" x14ac:dyDescent="0.35">
      <c r="A136" s="636" t="s">
        <v>465</v>
      </c>
      <c r="B136" s="620">
        <v>0</v>
      </c>
      <c r="C136" s="620">
        <v>151.56399999999999</v>
      </c>
      <c r="D136" s="621">
        <v>151.56399999999999</v>
      </c>
      <c r="E136" s="622" t="s">
        <v>351</v>
      </c>
      <c r="F136" s="620">
        <v>0</v>
      </c>
      <c r="G136" s="621">
        <v>0</v>
      </c>
      <c r="H136" s="623">
        <v>0</v>
      </c>
      <c r="I136" s="620">
        <v>0</v>
      </c>
      <c r="J136" s="621">
        <v>0</v>
      </c>
      <c r="K136" s="624" t="s">
        <v>337</v>
      </c>
    </row>
    <row r="137" spans="1:11" ht="14.4" customHeight="1" thickBot="1" x14ac:dyDescent="0.35">
      <c r="A137" s="637" t="s">
        <v>466</v>
      </c>
      <c r="B137" s="615">
        <v>0</v>
      </c>
      <c r="C137" s="615">
        <v>151.56399999999999</v>
      </c>
      <c r="D137" s="616">
        <v>151.56399999999999</v>
      </c>
      <c r="E137" s="625" t="s">
        <v>351</v>
      </c>
      <c r="F137" s="615">
        <v>0</v>
      </c>
      <c r="G137" s="616">
        <v>0</v>
      </c>
      <c r="H137" s="618">
        <v>0</v>
      </c>
      <c r="I137" s="615">
        <v>0</v>
      </c>
      <c r="J137" s="616">
        <v>0</v>
      </c>
      <c r="K137" s="626" t="s">
        <v>337</v>
      </c>
    </row>
    <row r="138" spans="1:11" ht="14.4" customHeight="1" thickBot="1" x14ac:dyDescent="0.35">
      <c r="A138" s="635" t="s">
        <v>467</v>
      </c>
      <c r="B138" s="615">
        <v>0</v>
      </c>
      <c r="C138" s="615">
        <v>85.687200000000004</v>
      </c>
      <c r="D138" s="616">
        <v>85.687200000000004</v>
      </c>
      <c r="E138" s="625" t="s">
        <v>337</v>
      </c>
      <c r="F138" s="615">
        <v>0</v>
      </c>
      <c r="G138" s="616">
        <v>0</v>
      </c>
      <c r="H138" s="618">
        <v>0</v>
      </c>
      <c r="I138" s="615">
        <v>0</v>
      </c>
      <c r="J138" s="616">
        <v>0</v>
      </c>
      <c r="K138" s="626" t="s">
        <v>337</v>
      </c>
    </row>
    <row r="139" spans="1:11" ht="14.4" customHeight="1" thickBot="1" x14ac:dyDescent="0.35">
      <c r="A139" s="636" t="s">
        <v>468</v>
      </c>
      <c r="B139" s="620">
        <v>0</v>
      </c>
      <c r="C139" s="620">
        <v>19.539200000000001</v>
      </c>
      <c r="D139" s="621">
        <v>19.539200000000001</v>
      </c>
      <c r="E139" s="622" t="s">
        <v>351</v>
      </c>
      <c r="F139" s="620">
        <v>0</v>
      </c>
      <c r="G139" s="621">
        <v>0</v>
      </c>
      <c r="H139" s="623">
        <v>0</v>
      </c>
      <c r="I139" s="620">
        <v>0</v>
      </c>
      <c r="J139" s="621">
        <v>0</v>
      </c>
      <c r="K139" s="628">
        <v>3</v>
      </c>
    </row>
    <row r="140" spans="1:11" ht="14.4" customHeight="1" thickBot="1" x14ac:dyDescent="0.35">
      <c r="A140" s="637" t="s">
        <v>469</v>
      </c>
      <c r="B140" s="615">
        <v>0</v>
      </c>
      <c r="C140" s="615">
        <v>19.539200000000001</v>
      </c>
      <c r="D140" s="616">
        <v>19.539200000000001</v>
      </c>
      <c r="E140" s="625" t="s">
        <v>351</v>
      </c>
      <c r="F140" s="615">
        <v>0</v>
      </c>
      <c r="G140" s="616">
        <v>0</v>
      </c>
      <c r="H140" s="618">
        <v>0</v>
      </c>
      <c r="I140" s="615">
        <v>0</v>
      </c>
      <c r="J140" s="616">
        <v>0</v>
      </c>
      <c r="K140" s="619">
        <v>3</v>
      </c>
    </row>
    <row r="141" spans="1:11" ht="14.4" customHeight="1" thickBot="1" x14ac:dyDescent="0.35">
      <c r="A141" s="636" t="s">
        <v>470</v>
      </c>
      <c r="B141" s="620">
        <v>0</v>
      </c>
      <c r="C141" s="620">
        <v>34.847999999999999</v>
      </c>
      <c r="D141" s="621">
        <v>34.847999999999999</v>
      </c>
      <c r="E141" s="622" t="s">
        <v>337</v>
      </c>
      <c r="F141" s="620">
        <v>0</v>
      </c>
      <c r="G141" s="621">
        <v>0</v>
      </c>
      <c r="H141" s="623">
        <v>0</v>
      </c>
      <c r="I141" s="620">
        <v>0</v>
      </c>
      <c r="J141" s="621">
        <v>0</v>
      </c>
      <c r="K141" s="624" t="s">
        <v>337</v>
      </c>
    </row>
    <row r="142" spans="1:11" ht="14.4" customHeight="1" thickBot="1" x14ac:dyDescent="0.35">
      <c r="A142" s="637" t="s">
        <v>471</v>
      </c>
      <c r="B142" s="615">
        <v>0</v>
      </c>
      <c r="C142" s="615">
        <v>34.847999999999999</v>
      </c>
      <c r="D142" s="616">
        <v>34.847999999999999</v>
      </c>
      <c r="E142" s="625" t="s">
        <v>337</v>
      </c>
      <c r="F142" s="615">
        <v>0</v>
      </c>
      <c r="G142" s="616">
        <v>0</v>
      </c>
      <c r="H142" s="618">
        <v>0</v>
      </c>
      <c r="I142" s="615">
        <v>0</v>
      </c>
      <c r="J142" s="616">
        <v>0</v>
      </c>
      <c r="K142" s="626" t="s">
        <v>337</v>
      </c>
    </row>
    <row r="143" spans="1:11" ht="14.4" customHeight="1" thickBot="1" x14ac:dyDescent="0.35">
      <c r="A143" s="636" t="s">
        <v>472</v>
      </c>
      <c r="B143" s="620">
        <v>0</v>
      </c>
      <c r="C143" s="620">
        <v>31.3</v>
      </c>
      <c r="D143" s="621">
        <v>31.3</v>
      </c>
      <c r="E143" s="622" t="s">
        <v>337</v>
      </c>
      <c r="F143" s="620">
        <v>0</v>
      </c>
      <c r="G143" s="621">
        <v>0</v>
      </c>
      <c r="H143" s="623">
        <v>0</v>
      </c>
      <c r="I143" s="620">
        <v>0</v>
      </c>
      <c r="J143" s="621">
        <v>0</v>
      </c>
      <c r="K143" s="624" t="s">
        <v>337</v>
      </c>
    </row>
    <row r="144" spans="1:11" ht="14.4" customHeight="1" thickBot="1" x14ac:dyDescent="0.35">
      <c r="A144" s="637" t="s">
        <v>473</v>
      </c>
      <c r="B144" s="615">
        <v>0</v>
      </c>
      <c r="C144" s="615">
        <v>31.3</v>
      </c>
      <c r="D144" s="616">
        <v>31.3</v>
      </c>
      <c r="E144" s="625" t="s">
        <v>337</v>
      </c>
      <c r="F144" s="615">
        <v>0</v>
      </c>
      <c r="G144" s="616">
        <v>0</v>
      </c>
      <c r="H144" s="618">
        <v>0</v>
      </c>
      <c r="I144" s="615">
        <v>0</v>
      </c>
      <c r="J144" s="616">
        <v>0</v>
      </c>
      <c r="K144" s="626" t="s">
        <v>337</v>
      </c>
    </row>
    <row r="145" spans="1:11" ht="14.4" customHeight="1" thickBot="1" x14ac:dyDescent="0.35">
      <c r="A145" s="633" t="s">
        <v>474</v>
      </c>
      <c r="B145" s="615">
        <v>148966.170693024</v>
      </c>
      <c r="C145" s="615">
        <v>149572.91889999999</v>
      </c>
      <c r="D145" s="616">
        <v>606.748206976132</v>
      </c>
      <c r="E145" s="617">
        <v>1.004073060374</v>
      </c>
      <c r="F145" s="615">
        <v>150790.66474207601</v>
      </c>
      <c r="G145" s="616">
        <v>37697.666185519003</v>
      </c>
      <c r="H145" s="618">
        <v>14166.74366</v>
      </c>
      <c r="I145" s="615">
        <v>40298.053590000003</v>
      </c>
      <c r="J145" s="616">
        <v>2600.38740448104</v>
      </c>
      <c r="K145" s="619">
        <v>0.26724501585600002</v>
      </c>
    </row>
    <row r="146" spans="1:11" ht="14.4" customHeight="1" thickBot="1" x14ac:dyDescent="0.35">
      <c r="A146" s="634" t="s">
        <v>475</v>
      </c>
      <c r="B146" s="615">
        <v>148841.279323428</v>
      </c>
      <c r="C146" s="615">
        <v>149517.92257</v>
      </c>
      <c r="D146" s="616">
        <v>676.64324657179498</v>
      </c>
      <c r="E146" s="617">
        <v>1.004546072498</v>
      </c>
      <c r="F146" s="615">
        <v>150769.60089165601</v>
      </c>
      <c r="G146" s="616">
        <v>37692.400222914097</v>
      </c>
      <c r="H146" s="618">
        <v>14166.74366</v>
      </c>
      <c r="I146" s="615">
        <v>40291.607309999999</v>
      </c>
      <c r="J146" s="616">
        <v>2599.2070870858902</v>
      </c>
      <c r="K146" s="619">
        <v>0.26723959652099999</v>
      </c>
    </row>
    <row r="147" spans="1:11" ht="14.4" customHeight="1" thickBot="1" x14ac:dyDescent="0.35">
      <c r="A147" s="635" t="s">
        <v>476</v>
      </c>
      <c r="B147" s="615">
        <v>148841.279323428</v>
      </c>
      <c r="C147" s="615">
        <v>149517.92257</v>
      </c>
      <c r="D147" s="616">
        <v>676.64324657179498</v>
      </c>
      <c r="E147" s="617">
        <v>1.004546072498</v>
      </c>
      <c r="F147" s="615">
        <v>150769.60089165601</v>
      </c>
      <c r="G147" s="616">
        <v>37692.400222914097</v>
      </c>
      <c r="H147" s="618">
        <v>14166.74366</v>
      </c>
      <c r="I147" s="615">
        <v>40291.607309999999</v>
      </c>
      <c r="J147" s="616">
        <v>2599.2070870858902</v>
      </c>
      <c r="K147" s="619">
        <v>0.26723959652099999</v>
      </c>
    </row>
    <row r="148" spans="1:11" ht="14.4" customHeight="1" thickBot="1" x14ac:dyDescent="0.35">
      <c r="A148" s="636" t="s">
        <v>477</v>
      </c>
      <c r="B148" s="620">
        <v>38.301482461538001</v>
      </c>
      <c r="C148" s="620">
        <v>58.316740000000003</v>
      </c>
      <c r="D148" s="621">
        <v>20.015257538461</v>
      </c>
      <c r="E148" s="627">
        <v>1.5225713536950001</v>
      </c>
      <c r="F148" s="620">
        <v>46.230230517834002</v>
      </c>
      <c r="G148" s="621">
        <v>11.557557629458</v>
      </c>
      <c r="H148" s="623">
        <v>0</v>
      </c>
      <c r="I148" s="620">
        <v>7.82</v>
      </c>
      <c r="J148" s="621">
        <v>-3.7375576294580002</v>
      </c>
      <c r="K148" s="628">
        <v>0.169153385401</v>
      </c>
    </row>
    <row r="149" spans="1:11" ht="14.4" customHeight="1" thickBot="1" x14ac:dyDescent="0.35">
      <c r="A149" s="637" t="s">
        <v>478</v>
      </c>
      <c r="B149" s="615">
        <v>0</v>
      </c>
      <c r="C149" s="615">
        <v>5.3719999999999997E-2</v>
      </c>
      <c r="D149" s="616">
        <v>5.3719999999999997E-2</v>
      </c>
      <c r="E149" s="625" t="s">
        <v>351</v>
      </c>
      <c r="F149" s="615">
        <v>5.2889385423999999E-2</v>
      </c>
      <c r="G149" s="616">
        <v>1.3222346356E-2</v>
      </c>
      <c r="H149" s="618">
        <v>0</v>
      </c>
      <c r="I149" s="615">
        <v>0</v>
      </c>
      <c r="J149" s="616">
        <v>-1.3222346356E-2</v>
      </c>
      <c r="K149" s="619">
        <v>0</v>
      </c>
    </row>
    <row r="150" spans="1:11" ht="14.4" customHeight="1" thickBot="1" x14ac:dyDescent="0.35">
      <c r="A150" s="637" t="s">
        <v>479</v>
      </c>
      <c r="B150" s="615">
        <v>38.036111830476003</v>
      </c>
      <c r="C150" s="615">
        <v>56.064019999999999</v>
      </c>
      <c r="D150" s="616">
        <v>18.027908169522998</v>
      </c>
      <c r="E150" s="617">
        <v>1.473968218672</v>
      </c>
      <c r="F150" s="615">
        <v>44.099502044059001</v>
      </c>
      <c r="G150" s="616">
        <v>11.024875511015001</v>
      </c>
      <c r="H150" s="618">
        <v>0</v>
      </c>
      <c r="I150" s="615">
        <v>7.82</v>
      </c>
      <c r="J150" s="616">
        <v>-3.2048755110139999</v>
      </c>
      <c r="K150" s="619">
        <v>0.17732626532099999</v>
      </c>
    </row>
    <row r="151" spans="1:11" ht="14.4" customHeight="1" thickBot="1" x14ac:dyDescent="0.35">
      <c r="A151" s="637" t="s">
        <v>480</v>
      </c>
      <c r="B151" s="615">
        <v>0.26537063106199998</v>
      </c>
      <c r="C151" s="615">
        <v>2.1989999999999998</v>
      </c>
      <c r="D151" s="616">
        <v>1.9336293689370001</v>
      </c>
      <c r="E151" s="617">
        <v>8.286523611122</v>
      </c>
      <c r="F151" s="615">
        <v>2.0778390883490001</v>
      </c>
      <c r="G151" s="616">
        <v>0.519459772087</v>
      </c>
      <c r="H151" s="618">
        <v>0</v>
      </c>
      <c r="I151" s="615">
        <v>0</v>
      </c>
      <c r="J151" s="616">
        <v>-0.519459772087</v>
      </c>
      <c r="K151" s="619">
        <v>0</v>
      </c>
    </row>
    <row r="152" spans="1:11" ht="14.4" customHeight="1" thickBot="1" x14ac:dyDescent="0.35">
      <c r="A152" s="636" t="s">
        <v>481</v>
      </c>
      <c r="B152" s="620">
        <v>0</v>
      </c>
      <c r="C152" s="620">
        <v>106.37783</v>
      </c>
      <c r="D152" s="621">
        <v>106.37783</v>
      </c>
      <c r="E152" s="622" t="s">
        <v>337</v>
      </c>
      <c r="F152" s="620">
        <v>85.000000000021998</v>
      </c>
      <c r="G152" s="621">
        <v>21.250000000004999</v>
      </c>
      <c r="H152" s="623">
        <v>29.35529</v>
      </c>
      <c r="I152" s="620">
        <v>35.423360000000002</v>
      </c>
      <c r="J152" s="621">
        <v>14.173359999994</v>
      </c>
      <c r="K152" s="628">
        <v>0.41674541176399998</v>
      </c>
    </row>
    <row r="153" spans="1:11" ht="14.4" customHeight="1" thickBot="1" x14ac:dyDescent="0.35">
      <c r="A153" s="637" t="s">
        <v>482</v>
      </c>
      <c r="B153" s="615">
        <v>0</v>
      </c>
      <c r="C153" s="615">
        <v>106.37783</v>
      </c>
      <c r="D153" s="616">
        <v>106.37783</v>
      </c>
      <c r="E153" s="625" t="s">
        <v>337</v>
      </c>
      <c r="F153" s="615">
        <v>85.000000000021998</v>
      </c>
      <c r="G153" s="616">
        <v>21.250000000004999</v>
      </c>
      <c r="H153" s="618">
        <v>29.35529</v>
      </c>
      <c r="I153" s="615">
        <v>35.423360000000002</v>
      </c>
      <c r="J153" s="616">
        <v>14.173359999994</v>
      </c>
      <c r="K153" s="619">
        <v>0.41674541176399998</v>
      </c>
    </row>
    <row r="154" spans="1:11" ht="14.4" customHeight="1" thickBot="1" x14ac:dyDescent="0.35">
      <c r="A154" s="636" t="s">
        <v>483</v>
      </c>
      <c r="B154" s="620">
        <v>3317.9778409666001</v>
      </c>
      <c r="C154" s="620">
        <v>3553.2777999999998</v>
      </c>
      <c r="D154" s="621">
        <v>235.29995903339801</v>
      </c>
      <c r="E154" s="627">
        <v>1.0709166758519999</v>
      </c>
      <c r="F154" s="620">
        <v>3961.3706611002399</v>
      </c>
      <c r="G154" s="621">
        <v>990.34266527505997</v>
      </c>
      <c r="H154" s="623">
        <v>188.96866</v>
      </c>
      <c r="I154" s="620">
        <v>919.85627999999997</v>
      </c>
      <c r="J154" s="621">
        <v>-70.486385275059007</v>
      </c>
      <c r="K154" s="628">
        <v>0.23220656653800001</v>
      </c>
    </row>
    <row r="155" spans="1:11" ht="14.4" customHeight="1" thickBot="1" x14ac:dyDescent="0.35">
      <c r="A155" s="637" t="s">
        <v>484</v>
      </c>
      <c r="B155" s="615">
        <v>13.999906501968001</v>
      </c>
      <c r="C155" s="615">
        <v>0.37128</v>
      </c>
      <c r="D155" s="616">
        <v>-13.628626501968</v>
      </c>
      <c r="E155" s="617">
        <v>2.6520177113000001E-2</v>
      </c>
      <c r="F155" s="615">
        <v>28.37066109921</v>
      </c>
      <c r="G155" s="616">
        <v>7.092665274802</v>
      </c>
      <c r="H155" s="618">
        <v>0</v>
      </c>
      <c r="I155" s="615">
        <v>0</v>
      </c>
      <c r="J155" s="616">
        <v>-7.092665274802</v>
      </c>
      <c r="K155" s="619">
        <v>0</v>
      </c>
    </row>
    <row r="156" spans="1:11" ht="14.4" customHeight="1" thickBot="1" x14ac:dyDescent="0.35">
      <c r="A156" s="637" t="s">
        <v>485</v>
      </c>
      <c r="B156" s="615">
        <v>3303.9779344646299</v>
      </c>
      <c r="C156" s="615">
        <v>3443.2111599999998</v>
      </c>
      <c r="D156" s="616">
        <v>139.23322553536599</v>
      </c>
      <c r="E156" s="617">
        <v>1.042141088196</v>
      </c>
      <c r="F156" s="615">
        <v>3762.00000000098</v>
      </c>
      <c r="G156" s="616">
        <v>940.50000000024602</v>
      </c>
      <c r="H156" s="618">
        <v>188.96866</v>
      </c>
      <c r="I156" s="615">
        <v>920.01369</v>
      </c>
      <c r="J156" s="616">
        <v>-20.486310000244998</v>
      </c>
      <c r="K156" s="619">
        <v>0.24455440988800001</v>
      </c>
    </row>
    <row r="157" spans="1:11" ht="14.4" customHeight="1" thickBot="1" x14ac:dyDescent="0.35">
      <c r="A157" s="637" t="s">
        <v>486</v>
      </c>
      <c r="B157" s="615">
        <v>0</v>
      </c>
      <c r="C157" s="615">
        <v>109.69535999999999</v>
      </c>
      <c r="D157" s="616">
        <v>109.69535999999999</v>
      </c>
      <c r="E157" s="625" t="s">
        <v>337</v>
      </c>
      <c r="F157" s="615">
        <v>171.00000000004499</v>
      </c>
      <c r="G157" s="616">
        <v>42.750000000010999</v>
      </c>
      <c r="H157" s="618">
        <v>0</v>
      </c>
      <c r="I157" s="615">
        <v>-0.15740999999999999</v>
      </c>
      <c r="J157" s="616">
        <v>-42.907410000010998</v>
      </c>
      <c r="K157" s="619">
        <v>-9.20526315E-4</v>
      </c>
    </row>
    <row r="158" spans="1:11" ht="14.4" customHeight="1" thickBot="1" x14ac:dyDescent="0.35">
      <c r="A158" s="636" t="s">
        <v>487</v>
      </c>
      <c r="B158" s="620">
        <v>145485</v>
      </c>
      <c r="C158" s="620">
        <v>142051.13073999999</v>
      </c>
      <c r="D158" s="621">
        <v>-3433.86926000007</v>
      </c>
      <c r="E158" s="627">
        <v>0.976397090696</v>
      </c>
      <c r="F158" s="620">
        <v>146677.00000003801</v>
      </c>
      <c r="G158" s="621">
        <v>36669.250000009597</v>
      </c>
      <c r="H158" s="623">
        <v>13948.41971</v>
      </c>
      <c r="I158" s="620">
        <v>39423.1705</v>
      </c>
      <c r="J158" s="621">
        <v>2753.92049999041</v>
      </c>
      <c r="K158" s="628">
        <v>0.26877540786800003</v>
      </c>
    </row>
    <row r="159" spans="1:11" ht="14.4" customHeight="1" thickBot="1" x14ac:dyDescent="0.35">
      <c r="A159" s="637" t="s">
        <v>488</v>
      </c>
      <c r="B159" s="615">
        <v>70566</v>
      </c>
      <c r="C159" s="615">
        <v>70736.294150000002</v>
      </c>
      <c r="D159" s="616">
        <v>170.29414999995799</v>
      </c>
      <c r="E159" s="617">
        <v>1.002413260635</v>
      </c>
      <c r="F159" s="615">
        <v>74823.0000000195</v>
      </c>
      <c r="G159" s="616">
        <v>18705.7500000049</v>
      </c>
      <c r="H159" s="618">
        <v>6102.71976</v>
      </c>
      <c r="I159" s="615">
        <v>18416.6486</v>
      </c>
      <c r="J159" s="616">
        <v>-289.10140000488502</v>
      </c>
      <c r="K159" s="619">
        <v>0.246136196089</v>
      </c>
    </row>
    <row r="160" spans="1:11" ht="14.4" customHeight="1" thickBot="1" x14ac:dyDescent="0.35">
      <c r="A160" s="637" t="s">
        <v>489</v>
      </c>
      <c r="B160" s="615">
        <v>73919</v>
      </c>
      <c r="C160" s="615">
        <v>70611.037500000006</v>
      </c>
      <c r="D160" s="616">
        <v>-3307.9625000000101</v>
      </c>
      <c r="E160" s="617">
        <v>0.95524881965300001</v>
      </c>
      <c r="F160" s="615">
        <v>71067.000000018597</v>
      </c>
      <c r="G160" s="616">
        <v>17766.750000004598</v>
      </c>
      <c r="H160" s="618">
        <v>7789.50299</v>
      </c>
      <c r="I160" s="615">
        <v>20800.466380000002</v>
      </c>
      <c r="J160" s="616">
        <v>3033.7163799953601</v>
      </c>
      <c r="K160" s="619">
        <v>0.29268811656499999</v>
      </c>
    </row>
    <row r="161" spans="1:11" ht="14.4" customHeight="1" thickBot="1" x14ac:dyDescent="0.35">
      <c r="A161" s="637" t="s">
        <v>490</v>
      </c>
      <c r="B161" s="615">
        <v>545</v>
      </c>
      <c r="C161" s="615">
        <v>137.0866</v>
      </c>
      <c r="D161" s="616">
        <v>-407.91340000000002</v>
      </c>
      <c r="E161" s="617">
        <v>0.25153504587100001</v>
      </c>
      <c r="F161" s="615">
        <v>171.00000000004499</v>
      </c>
      <c r="G161" s="616">
        <v>42.750000000010999</v>
      </c>
      <c r="H161" s="618">
        <v>56.196959999999997</v>
      </c>
      <c r="I161" s="615">
        <v>112.39391999999999</v>
      </c>
      <c r="J161" s="616">
        <v>69.643919999988</v>
      </c>
      <c r="K161" s="619">
        <v>0.65727438596400001</v>
      </c>
    </row>
    <row r="162" spans="1:11" ht="14.4" customHeight="1" thickBot="1" x14ac:dyDescent="0.35">
      <c r="A162" s="637" t="s">
        <v>491</v>
      </c>
      <c r="B162" s="615">
        <v>455</v>
      </c>
      <c r="C162" s="615">
        <v>566.71249</v>
      </c>
      <c r="D162" s="616">
        <v>111.71249</v>
      </c>
      <c r="E162" s="617">
        <v>1.245521956043</v>
      </c>
      <c r="F162" s="615">
        <v>616.00000000016098</v>
      </c>
      <c r="G162" s="616">
        <v>154.00000000003999</v>
      </c>
      <c r="H162" s="618">
        <v>0</v>
      </c>
      <c r="I162" s="615">
        <v>93.661600000000007</v>
      </c>
      <c r="J162" s="616">
        <v>-60.338400000039996</v>
      </c>
      <c r="K162" s="619">
        <v>0.152048051948</v>
      </c>
    </row>
    <row r="163" spans="1:11" ht="14.4" customHeight="1" thickBot="1" x14ac:dyDescent="0.35">
      <c r="A163" s="636" t="s">
        <v>492</v>
      </c>
      <c r="B163" s="620">
        <v>0</v>
      </c>
      <c r="C163" s="620">
        <v>3748.8194600000002</v>
      </c>
      <c r="D163" s="621">
        <v>3748.8194600000002</v>
      </c>
      <c r="E163" s="622" t="s">
        <v>337</v>
      </c>
      <c r="F163" s="620">
        <v>0</v>
      </c>
      <c r="G163" s="621">
        <v>0</v>
      </c>
      <c r="H163" s="623">
        <v>0</v>
      </c>
      <c r="I163" s="620">
        <v>-94.66283</v>
      </c>
      <c r="J163" s="621">
        <v>-94.66283</v>
      </c>
      <c r="K163" s="624" t="s">
        <v>337</v>
      </c>
    </row>
    <row r="164" spans="1:11" ht="14.4" customHeight="1" thickBot="1" x14ac:dyDescent="0.35">
      <c r="A164" s="637" t="s">
        <v>493</v>
      </c>
      <c r="B164" s="615">
        <v>0</v>
      </c>
      <c r="C164" s="615">
        <v>254.29122000000001</v>
      </c>
      <c r="D164" s="616">
        <v>254.29122000000001</v>
      </c>
      <c r="E164" s="625" t="s">
        <v>337</v>
      </c>
      <c r="F164" s="615">
        <v>0</v>
      </c>
      <c r="G164" s="616">
        <v>0</v>
      </c>
      <c r="H164" s="618">
        <v>0</v>
      </c>
      <c r="I164" s="615">
        <v>0</v>
      </c>
      <c r="J164" s="616">
        <v>0</v>
      </c>
      <c r="K164" s="626" t="s">
        <v>337</v>
      </c>
    </row>
    <row r="165" spans="1:11" ht="14.4" customHeight="1" thickBot="1" x14ac:dyDescent="0.35">
      <c r="A165" s="637" t="s">
        <v>494</v>
      </c>
      <c r="B165" s="615">
        <v>0</v>
      </c>
      <c r="C165" s="615">
        <v>3494.5282400000001</v>
      </c>
      <c r="D165" s="616">
        <v>3494.5282400000001</v>
      </c>
      <c r="E165" s="625" t="s">
        <v>337</v>
      </c>
      <c r="F165" s="615">
        <v>0</v>
      </c>
      <c r="G165" s="616">
        <v>0</v>
      </c>
      <c r="H165" s="618">
        <v>0</v>
      </c>
      <c r="I165" s="615">
        <v>-94.66283</v>
      </c>
      <c r="J165" s="616">
        <v>-94.66283</v>
      </c>
      <c r="K165" s="626" t="s">
        <v>337</v>
      </c>
    </row>
    <row r="166" spans="1:11" ht="14.4" customHeight="1" thickBot="1" x14ac:dyDescent="0.35">
      <c r="A166" s="634" t="s">
        <v>495</v>
      </c>
      <c r="B166" s="615">
        <v>3.891369595684</v>
      </c>
      <c r="C166" s="615">
        <v>24.845330000000001</v>
      </c>
      <c r="D166" s="616">
        <v>20.953960404315001</v>
      </c>
      <c r="E166" s="617">
        <v>6.3847263512449999</v>
      </c>
      <c r="F166" s="615">
        <v>21.063850419388</v>
      </c>
      <c r="G166" s="616">
        <v>5.2659626048470001</v>
      </c>
      <c r="H166" s="618">
        <v>0</v>
      </c>
      <c r="I166" s="615">
        <v>6.4462799999999998</v>
      </c>
      <c r="J166" s="616">
        <v>1.1803173951520001</v>
      </c>
      <c r="K166" s="619">
        <v>0.30603521538799999</v>
      </c>
    </row>
    <row r="167" spans="1:11" ht="14.4" customHeight="1" thickBot="1" x14ac:dyDescent="0.35">
      <c r="A167" s="640" t="s">
        <v>496</v>
      </c>
      <c r="B167" s="620">
        <v>3.891369595684</v>
      </c>
      <c r="C167" s="620">
        <v>24.845330000000001</v>
      </c>
      <c r="D167" s="621">
        <v>20.953960404315001</v>
      </c>
      <c r="E167" s="627">
        <v>6.3847263512449999</v>
      </c>
      <c r="F167" s="620">
        <v>21.063850419388</v>
      </c>
      <c r="G167" s="621">
        <v>5.2659626048470001</v>
      </c>
      <c r="H167" s="623">
        <v>0</v>
      </c>
      <c r="I167" s="620">
        <v>6.4462799999999998</v>
      </c>
      <c r="J167" s="621">
        <v>1.1803173951520001</v>
      </c>
      <c r="K167" s="628">
        <v>0.30603521538799999</v>
      </c>
    </row>
    <row r="168" spans="1:11" ht="14.4" customHeight="1" thickBot="1" x14ac:dyDescent="0.35">
      <c r="A168" s="636" t="s">
        <v>497</v>
      </c>
      <c r="B168" s="620">
        <v>0</v>
      </c>
      <c r="C168" s="620">
        <v>-7.6999999999999996E-4</v>
      </c>
      <c r="D168" s="621">
        <v>-7.6999999999999996E-4</v>
      </c>
      <c r="E168" s="622" t="s">
        <v>337</v>
      </c>
      <c r="F168" s="620">
        <v>0</v>
      </c>
      <c r="G168" s="621">
        <v>0</v>
      </c>
      <c r="H168" s="623">
        <v>0</v>
      </c>
      <c r="I168" s="620">
        <v>-3.0000000000000001E-5</v>
      </c>
      <c r="J168" s="621">
        <v>-3.0000000000000001E-5</v>
      </c>
      <c r="K168" s="624" t="s">
        <v>337</v>
      </c>
    </row>
    <row r="169" spans="1:11" ht="14.4" customHeight="1" thickBot="1" x14ac:dyDescent="0.35">
      <c r="A169" s="637" t="s">
        <v>498</v>
      </c>
      <c r="B169" s="615">
        <v>0</v>
      </c>
      <c r="C169" s="615">
        <v>-7.6999999999999996E-4</v>
      </c>
      <c r="D169" s="616">
        <v>-7.6999999999999996E-4</v>
      </c>
      <c r="E169" s="625" t="s">
        <v>337</v>
      </c>
      <c r="F169" s="615">
        <v>0</v>
      </c>
      <c r="G169" s="616">
        <v>0</v>
      </c>
      <c r="H169" s="618">
        <v>0</v>
      </c>
      <c r="I169" s="615">
        <v>-3.0000000000000001E-5</v>
      </c>
      <c r="J169" s="616">
        <v>-3.0000000000000001E-5</v>
      </c>
      <c r="K169" s="626" t="s">
        <v>337</v>
      </c>
    </row>
    <row r="170" spans="1:11" ht="14.4" customHeight="1" thickBot="1" x14ac:dyDescent="0.35">
      <c r="A170" s="636" t="s">
        <v>499</v>
      </c>
      <c r="B170" s="620">
        <v>3.891369595684</v>
      </c>
      <c r="C170" s="620">
        <v>24.8461</v>
      </c>
      <c r="D170" s="621">
        <v>20.954730404315001</v>
      </c>
      <c r="E170" s="627">
        <v>6.384924225022</v>
      </c>
      <c r="F170" s="620">
        <v>21.063850419388</v>
      </c>
      <c r="G170" s="621">
        <v>5.2659626048470001</v>
      </c>
      <c r="H170" s="623">
        <v>0</v>
      </c>
      <c r="I170" s="620">
        <v>6.4463100000000004</v>
      </c>
      <c r="J170" s="621">
        <v>1.180347395152</v>
      </c>
      <c r="K170" s="628">
        <v>0.30603663962900002</v>
      </c>
    </row>
    <row r="171" spans="1:11" ht="14.4" customHeight="1" thickBot="1" x14ac:dyDescent="0.35">
      <c r="A171" s="637" t="s">
        <v>500</v>
      </c>
      <c r="B171" s="615">
        <v>0</v>
      </c>
      <c r="C171" s="615">
        <v>9.4E-2</v>
      </c>
      <c r="D171" s="616">
        <v>9.4E-2</v>
      </c>
      <c r="E171" s="625" t="s">
        <v>337</v>
      </c>
      <c r="F171" s="615">
        <v>6.3850419387999999E-2</v>
      </c>
      <c r="G171" s="616">
        <v>1.5962604847E-2</v>
      </c>
      <c r="H171" s="618">
        <v>0</v>
      </c>
      <c r="I171" s="615">
        <v>0</v>
      </c>
      <c r="J171" s="616">
        <v>-1.5962604847E-2</v>
      </c>
      <c r="K171" s="619">
        <v>0</v>
      </c>
    </row>
    <row r="172" spans="1:11" ht="14.4" customHeight="1" thickBot="1" x14ac:dyDescent="0.35">
      <c r="A172" s="637" t="s">
        <v>501</v>
      </c>
      <c r="B172" s="615">
        <v>3.891369595684</v>
      </c>
      <c r="C172" s="615">
        <v>24.752099999999999</v>
      </c>
      <c r="D172" s="616">
        <v>20.860730404314999</v>
      </c>
      <c r="E172" s="617">
        <v>6.3607682054790002</v>
      </c>
      <c r="F172" s="615">
        <v>21</v>
      </c>
      <c r="G172" s="616">
        <v>5.25</v>
      </c>
      <c r="H172" s="618">
        <v>0</v>
      </c>
      <c r="I172" s="615">
        <v>6.4463100000000004</v>
      </c>
      <c r="J172" s="616">
        <v>1.19631</v>
      </c>
      <c r="K172" s="619">
        <v>0.306967142857</v>
      </c>
    </row>
    <row r="173" spans="1:11" ht="14.4" customHeight="1" thickBot="1" x14ac:dyDescent="0.35">
      <c r="A173" s="634" t="s">
        <v>502</v>
      </c>
      <c r="B173" s="615">
        <v>121</v>
      </c>
      <c r="C173" s="615">
        <v>30.151</v>
      </c>
      <c r="D173" s="616">
        <v>-90.849000000000004</v>
      </c>
      <c r="E173" s="617">
        <v>0.24918181818099999</v>
      </c>
      <c r="F173" s="615">
        <v>0</v>
      </c>
      <c r="G173" s="616">
        <v>0</v>
      </c>
      <c r="H173" s="618">
        <v>0</v>
      </c>
      <c r="I173" s="615">
        <v>0</v>
      </c>
      <c r="J173" s="616">
        <v>0</v>
      </c>
      <c r="K173" s="626" t="s">
        <v>337</v>
      </c>
    </row>
    <row r="174" spans="1:11" ht="14.4" customHeight="1" thickBot="1" x14ac:dyDescent="0.35">
      <c r="A174" s="640" t="s">
        <v>503</v>
      </c>
      <c r="B174" s="620">
        <v>121</v>
      </c>
      <c r="C174" s="620">
        <v>30.151</v>
      </c>
      <c r="D174" s="621">
        <v>-90.849000000000004</v>
      </c>
      <c r="E174" s="627">
        <v>0.24918181818099999</v>
      </c>
      <c r="F174" s="620">
        <v>0</v>
      </c>
      <c r="G174" s="621">
        <v>0</v>
      </c>
      <c r="H174" s="623">
        <v>0</v>
      </c>
      <c r="I174" s="620">
        <v>0</v>
      </c>
      <c r="J174" s="621">
        <v>0</v>
      </c>
      <c r="K174" s="624" t="s">
        <v>337</v>
      </c>
    </row>
    <row r="175" spans="1:11" ht="14.4" customHeight="1" thickBot="1" x14ac:dyDescent="0.35">
      <c r="A175" s="636" t="s">
        <v>504</v>
      </c>
      <c r="B175" s="620">
        <v>121</v>
      </c>
      <c r="C175" s="620">
        <v>30.151</v>
      </c>
      <c r="D175" s="621">
        <v>-90.849000000000004</v>
      </c>
      <c r="E175" s="627">
        <v>0.24918181818099999</v>
      </c>
      <c r="F175" s="620">
        <v>0</v>
      </c>
      <c r="G175" s="621">
        <v>0</v>
      </c>
      <c r="H175" s="623">
        <v>0</v>
      </c>
      <c r="I175" s="620">
        <v>0</v>
      </c>
      <c r="J175" s="621">
        <v>0</v>
      </c>
      <c r="K175" s="624" t="s">
        <v>337</v>
      </c>
    </row>
    <row r="176" spans="1:11" ht="14.4" customHeight="1" thickBot="1" x14ac:dyDescent="0.35">
      <c r="A176" s="637" t="s">
        <v>505</v>
      </c>
      <c r="B176" s="615">
        <v>121</v>
      </c>
      <c r="C176" s="615">
        <v>30.151</v>
      </c>
      <c r="D176" s="616">
        <v>-90.849000000000004</v>
      </c>
      <c r="E176" s="617">
        <v>0.24918181818099999</v>
      </c>
      <c r="F176" s="615">
        <v>0</v>
      </c>
      <c r="G176" s="616">
        <v>0</v>
      </c>
      <c r="H176" s="618">
        <v>0</v>
      </c>
      <c r="I176" s="615">
        <v>0</v>
      </c>
      <c r="J176" s="616">
        <v>0</v>
      </c>
      <c r="K176" s="626" t="s">
        <v>337</v>
      </c>
    </row>
    <row r="177" spans="1:11" ht="14.4" customHeight="1" thickBot="1" x14ac:dyDescent="0.35">
      <c r="A177" s="633" t="s">
        <v>506</v>
      </c>
      <c r="B177" s="615">
        <v>5932.00680464984</v>
      </c>
      <c r="C177" s="615">
        <v>5842.7828499999996</v>
      </c>
      <c r="D177" s="616">
        <v>-89.223954649844003</v>
      </c>
      <c r="E177" s="617">
        <v>0.984958892059</v>
      </c>
      <c r="F177" s="615">
        <v>0</v>
      </c>
      <c r="G177" s="616">
        <v>0</v>
      </c>
      <c r="H177" s="618">
        <v>334.45677000000001</v>
      </c>
      <c r="I177" s="615">
        <v>939.40133000000003</v>
      </c>
      <c r="J177" s="616">
        <v>939.40133000000003</v>
      </c>
      <c r="K177" s="626" t="s">
        <v>337</v>
      </c>
    </row>
    <row r="178" spans="1:11" ht="14.4" customHeight="1" thickBot="1" x14ac:dyDescent="0.35">
      <c r="A178" s="638" t="s">
        <v>507</v>
      </c>
      <c r="B178" s="620">
        <v>5932.00680464984</v>
      </c>
      <c r="C178" s="620">
        <v>5842.7828499999996</v>
      </c>
      <c r="D178" s="621">
        <v>-89.223954649844003</v>
      </c>
      <c r="E178" s="627">
        <v>0.984958892059</v>
      </c>
      <c r="F178" s="620">
        <v>0</v>
      </c>
      <c r="G178" s="621">
        <v>0</v>
      </c>
      <c r="H178" s="623">
        <v>334.45677000000001</v>
      </c>
      <c r="I178" s="620">
        <v>939.40133000000003</v>
      </c>
      <c r="J178" s="621">
        <v>939.40133000000003</v>
      </c>
      <c r="K178" s="624" t="s">
        <v>337</v>
      </c>
    </row>
    <row r="179" spans="1:11" ht="14.4" customHeight="1" thickBot="1" x14ac:dyDescent="0.35">
      <c r="A179" s="640" t="s">
        <v>54</v>
      </c>
      <c r="B179" s="620">
        <v>5932.00680464984</v>
      </c>
      <c r="C179" s="620">
        <v>5842.7828499999996</v>
      </c>
      <c r="D179" s="621">
        <v>-89.223954649844003</v>
      </c>
      <c r="E179" s="627">
        <v>0.984958892059</v>
      </c>
      <c r="F179" s="620">
        <v>0</v>
      </c>
      <c r="G179" s="621">
        <v>0</v>
      </c>
      <c r="H179" s="623">
        <v>334.45677000000001</v>
      </c>
      <c r="I179" s="620">
        <v>939.40133000000003</v>
      </c>
      <c r="J179" s="621">
        <v>939.40133000000003</v>
      </c>
      <c r="K179" s="624" t="s">
        <v>337</v>
      </c>
    </row>
    <row r="180" spans="1:11" ht="14.4" customHeight="1" thickBot="1" x14ac:dyDescent="0.35">
      <c r="A180" s="636" t="s">
        <v>508</v>
      </c>
      <c r="B180" s="620">
        <v>54</v>
      </c>
      <c r="C180" s="620">
        <v>126.676</v>
      </c>
      <c r="D180" s="621">
        <v>72.676000000000002</v>
      </c>
      <c r="E180" s="627">
        <v>2.3458518518510001</v>
      </c>
      <c r="F180" s="620">
        <v>0</v>
      </c>
      <c r="G180" s="621">
        <v>0</v>
      </c>
      <c r="H180" s="623">
        <v>11.231999999999999</v>
      </c>
      <c r="I180" s="620">
        <v>33.697749999999999</v>
      </c>
      <c r="J180" s="621">
        <v>33.697749999999999</v>
      </c>
      <c r="K180" s="624" t="s">
        <v>337</v>
      </c>
    </row>
    <row r="181" spans="1:11" ht="14.4" customHeight="1" thickBot="1" x14ac:dyDescent="0.35">
      <c r="A181" s="637" t="s">
        <v>509</v>
      </c>
      <c r="B181" s="615">
        <v>54</v>
      </c>
      <c r="C181" s="615">
        <v>126.676</v>
      </c>
      <c r="D181" s="616">
        <v>72.676000000000002</v>
      </c>
      <c r="E181" s="617">
        <v>2.3458518518510001</v>
      </c>
      <c r="F181" s="615">
        <v>0</v>
      </c>
      <c r="G181" s="616">
        <v>0</v>
      </c>
      <c r="H181" s="618">
        <v>11.231999999999999</v>
      </c>
      <c r="I181" s="615">
        <v>33.697749999999999</v>
      </c>
      <c r="J181" s="616">
        <v>33.697749999999999</v>
      </c>
      <c r="K181" s="626" t="s">
        <v>337</v>
      </c>
    </row>
    <row r="182" spans="1:11" ht="14.4" customHeight="1" thickBot="1" x14ac:dyDescent="0.35">
      <c r="A182" s="636" t="s">
        <v>510</v>
      </c>
      <c r="B182" s="620">
        <v>48.006804649844</v>
      </c>
      <c r="C182" s="620">
        <v>56.934600000000003</v>
      </c>
      <c r="D182" s="621">
        <v>8.9277953501549998</v>
      </c>
      <c r="E182" s="627">
        <v>1.185969372785</v>
      </c>
      <c r="F182" s="620">
        <v>0</v>
      </c>
      <c r="G182" s="621">
        <v>0</v>
      </c>
      <c r="H182" s="623">
        <v>3.0259999999999998</v>
      </c>
      <c r="I182" s="620">
        <v>8.9463000000000008</v>
      </c>
      <c r="J182" s="621">
        <v>8.9463000000000008</v>
      </c>
      <c r="K182" s="624" t="s">
        <v>337</v>
      </c>
    </row>
    <row r="183" spans="1:11" ht="14.4" customHeight="1" thickBot="1" x14ac:dyDescent="0.35">
      <c r="A183" s="637" t="s">
        <v>511</v>
      </c>
      <c r="B183" s="615">
        <v>48.006804649844</v>
      </c>
      <c r="C183" s="615">
        <v>56.934600000000003</v>
      </c>
      <c r="D183" s="616">
        <v>8.9277953501549998</v>
      </c>
      <c r="E183" s="617">
        <v>1.185969372785</v>
      </c>
      <c r="F183" s="615">
        <v>0</v>
      </c>
      <c r="G183" s="616">
        <v>0</v>
      </c>
      <c r="H183" s="618">
        <v>3.0259999999999998</v>
      </c>
      <c r="I183" s="615">
        <v>8.9463000000000008</v>
      </c>
      <c r="J183" s="616">
        <v>8.9463000000000008</v>
      </c>
      <c r="K183" s="626" t="s">
        <v>337</v>
      </c>
    </row>
    <row r="184" spans="1:11" ht="14.4" customHeight="1" thickBot="1" x14ac:dyDescent="0.35">
      <c r="A184" s="636" t="s">
        <v>512</v>
      </c>
      <c r="B184" s="620">
        <v>203</v>
      </c>
      <c r="C184" s="620">
        <v>181.82441</v>
      </c>
      <c r="D184" s="621">
        <v>-21.17559</v>
      </c>
      <c r="E184" s="627">
        <v>0.89568674876800003</v>
      </c>
      <c r="F184" s="620">
        <v>0</v>
      </c>
      <c r="G184" s="621">
        <v>0</v>
      </c>
      <c r="H184" s="623">
        <v>18.421430000000001</v>
      </c>
      <c r="I184" s="620">
        <v>48.914349999999999</v>
      </c>
      <c r="J184" s="621">
        <v>48.914349999999999</v>
      </c>
      <c r="K184" s="624" t="s">
        <v>337</v>
      </c>
    </row>
    <row r="185" spans="1:11" ht="14.4" customHeight="1" thickBot="1" x14ac:dyDescent="0.35">
      <c r="A185" s="637" t="s">
        <v>513</v>
      </c>
      <c r="B185" s="615">
        <v>203</v>
      </c>
      <c r="C185" s="615">
        <v>181.82441</v>
      </c>
      <c r="D185" s="616">
        <v>-21.17559</v>
      </c>
      <c r="E185" s="617">
        <v>0.89568674876800003</v>
      </c>
      <c r="F185" s="615">
        <v>0</v>
      </c>
      <c r="G185" s="616">
        <v>0</v>
      </c>
      <c r="H185" s="618">
        <v>18.421430000000001</v>
      </c>
      <c r="I185" s="615">
        <v>48.914349999999999</v>
      </c>
      <c r="J185" s="616">
        <v>48.914349999999999</v>
      </c>
      <c r="K185" s="626" t="s">
        <v>337</v>
      </c>
    </row>
    <row r="186" spans="1:11" ht="14.4" customHeight="1" thickBot="1" x14ac:dyDescent="0.35">
      <c r="A186" s="636" t="s">
        <v>514</v>
      </c>
      <c r="B186" s="620">
        <v>0</v>
      </c>
      <c r="C186" s="620">
        <v>5.702</v>
      </c>
      <c r="D186" s="621">
        <v>5.702</v>
      </c>
      <c r="E186" s="622" t="s">
        <v>351</v>
      </c>
      <c r="F186" s="620">
        <v>0</v>
      </c>
      <c r="G186" s="621">
        <v>0</v>
      </c>
      <c r="H186" s="623">
        <v>0.52200000000000002</v>
      </c>
      <c r="I186" s="620">
        <v>0.99199999999999999</v>
      </c>
      <c r="J186" s="621">
        <v>0.99199999999999999</v>
      </c>
      <c r="K186" s="624" t="s">
        <v>337</v>
      </c>
    </row>
    <row r="187" spans="1:11" ht="14.4" customHeight="1" thickBot="1" x14ac:dyDescent="0.35">
      <c r="A187" s="637" t="s">
        <v>515</v>
      </c>
      <c r="B187" s="615">
        <v>0</v>
      </c>
      <c r="C187" s="615">
        <v>5.702</v>
      </c>
      <c r="D187" s="616">
        <v>5.702</v>
      </c>
      <c r="E187" s="625" t="s">
        <v>351</v>
      </c>
      <c r="F187" s="615">
        <v>0</v>
      </c>
      <c r="G187" s="616">
        <v>0</v>
      </c>
      <c r="H187" s="618">
        <v>0.52200000000000002</v>
      </c>
      <c r="I187" s="615">
        <v>0.99199999999999999</v>
      </c>
      <c r="J187" s="616">
        <v>0.99199999999999999</v>
      </c>
      <c r="K187" s="626" t="s">
        <v>337</v>
      </c>
    </row>
    <row r="188" spans="1:11" ht="14.4" customHeight="1" thickBot="1" x14ac:dyDescent="0.35">
      <c r="A188" s="636" t="s">
        <v>516</v>
      </c>
      <c r="B188" s="620">
        <v>3090</v>
      </c>
      <c r="C188" s="620">
        <v>2711.4877700000002</v>
      </c>
      <c r="D188" s="621">
        <v>-378.51222999999999</v>
      </c>
      <c r="E188" s="627">
        <v>0.87750413268600003</v>
      </c>
      <c r="F188" s="620">
        <v>0</v>
      </c>
      <c r="G188" s="621">
        <v>0</v>
      </c>
      <c r="H188" s="623">
        <v>67.513210000000001</v>
      </c>
      <c r="I188" s="620">
        <v>191.84867</v>
      </c>
      <c r="J188" s="621">
        <v>191.84867</v>
      </c>
      <c r="K188" s="624" t="s">
        <v>337</v>
      </c>
    </row>
    <row r="189" spans="1:11" ht="14.4" customHeight="1" thickBot="1" x14ac:dyDescent="0.35">
      <c r="A189" s="637" t="s">
        <v>517</v>
      </c>
      <c r="B189" s="615">
        <v>3080</v>
      </c>
      <c r="C189" s="615">
        <v>2700.7314200000001</v>
      </c>
      <c r="D189" s="616">
        <v>-379.26857999999999</v>
      </c>
      <c r="E189" s="617">
        <v>0.87686085064899999</v>
      </c>
      <c r="F189" s="615">
        <v>0</v>
      </c>
      <c r="G189" s="616">
        <v>0</v>
      </c>
      <c r="H189" s="618">
        <v>67.513210000000001</v>
      </c>
      <c r="I189" s="615">
        <v>191.84867</v>
      </c>
      <c r="J189" s="616">
        <v>191.84867</v>
      </c>
      <c r="K189" s="626" t="s">
        <v>337</v>
      </c>
    </row>
    <row r="190" spans="1:11" ht="14.4" customHeight="1" thickBot="1" x14ac:dyDescent="0.35">
      <c r="A190" s="637" t="s">
        <v>518</v>
      </c>
      <c r="B190" s="615">
        <v>10</v>
      </c>
      <c r="C190" s="615">
        <v>10.756349999999999</v>
      </c>
      <c r="D190" s="616">
        <v>0.75634999999899999</v>
      </c>
      <c r="E190" s="617">
        <v>1.0756349999999999</v>
      </c>
      <c r="F190" s="615">
        <v>0</v>
      </c>
      <c r="G190" s="616">
        <v>0</v>
      </c>
      <c r="H190" s="618">
        <v>0</v>
      </c>
      <c r="I190" s="615">
        <v>0</v>
      </c>
      <c r="J190" s="616">
        <v>0</v>
      </c>
      <c r="K190" s="626" t="s">
        <v>337</v>
      </c>
    </row>
    <row r="191" spans="1:11" ht="14.4" customHeight="1" thickBot="1" x14ac:dyDescent="0.35">
      <c r="A191" s="636" t="s">
        <v>519</v>
      </c>
      <c r="B191" s="620">
        <v>0</v>
      </c>
      <c r="C191" s="620">
        <v>47.542529999999999</v>
      </c>
      <c r="D191" s="621">
        <v>47.542529999999999</v>
      </c>
      <c r="E191" s="622" t="s">
        <v>351</v>
      </c>
      <c r="F191" s="620">
        <v>0</v>
      </c>
      <c r="G191" s="621">
        <v>0</v>
      </c>
      <c r="H191" s="623">
        <v>3.8413400000000002</v>
      </c>
      <c r="I191" s="620">
        <v>17.743289999999998</v>
      </c>
      <c r="J191" s="621">
        <v>17.743289999999998</v>
      </c>
      <c r="K191" s="624" t="s">
        <v>337</v>
      </c>
    </row>
    <row r="192" spans="1:11" ht="14.4" customHeight="1" thickBot="1" x14ac:dyDescent="0.35">
      <c r="A192" s="637" t="s">
        <v>520</v>
      </c>
      <c r="B192" s="615">
        <v>0</v>
      </c>
      <c r="C192" s="615">
        <v>47.542529999999999</v>
      </c>
      <c r="D192" s="616">
        <v>47.542529999999999</v>
      </c>
      <c r="E192" s="625" t="s">
        <v>351</v>
      </c>
      <c r="F192" s="615">
        <v>0</v>
      </c>
      <c r="G192" s="616">
        <v>0</v>
      </c>
      <c r="H192" s="618">
        <v>3.8413400000000002</v>
      </c>
      <c r="I192" s="615">
        <v>17.743289999999998</v>
      </c>
      <c r="J192" s="616">
        <v>17.743289999999998</v>
      </c>
      <c r="K192" s="626" t="s">
        <v>337</v>
      </c>
    </row>
    <row r="193" spans="1:11" ht="14.4" customHeight="1" thickBot="1" x14ac:dyDescent="0.35">
      <c r="A193" s="636" t="s">
        <v>521</v>
      </c>
      <c r="B193" s="620">
        <v>2537</v>
      </c>
      <c r="C193" s="620">
        <v>2712.6155399999998</v>
      </c>
      <c r="D193" s="621">
        <v>175.61553999999899</v>
      </c>
      <c r="E193" s="627">
        <v>1.069221734331</v>
      </c>
      <c r="F193" s="620">
        <v>0</v>
      </c>
      <c r="G193" s="621">
        <v>0</v>
      </c>
      <c r="H193" s="623">
        <v>229.90079</v>
      </c>
      <c r="I193" s="620">
        <v>637.25896999999998</v>
      </c>
      <c r="J193" s="621">
        <v>637.25896999999998</v>
      </c>
      <c r="K193" s="624" t="s">
        <v>337</v>
      </c>
    </row>
    <row r="194" spans="1:11" ht="14.4" customHeight="1" thickBot="1" x14ac:dyDescent="0.35">
      <c r="A194" s="637" t="s">
        <v>522</v>
      </c>
      <c r="B194" s="615">
        <v>2537</v>
      </c>
      <c r="C194" s="615">
        <v>2712.6155399999998</v>
      </c>
      <c r="D194" s="616">
        <v>175.61553999999899</v>
      </c>
      <c r="E194" s="617">
        <v>1.069221734331</v>
      </c>
      <c r="F194" s="615">
        <v>0</v>
      </c>
      <c r="G194" s="616">
        <v>0</v>
      </c>
      <c r="H194" s="618">
        <v>229.90079</v>
      </c>
      <c r="I194" s="615">
        <v>637.25896999999998</v>
      </c>
      <c r="J194" s="616">
        <v>637.25896999999998</v>
      </c>
      <c r="K194" s="626" t="s">
        <v>337</v>
      </c>
    </row>
    <row r="195" spans="1:11" ht="14.4" customHeight="1" thickBot="1" x14ac:dyDescent="0.35">
      <c r="A195" s="641" t="s">
        <v>523</v>
      </c>
      <c r="B195" s="620">
        <v>0</v>
      </c>
      <c r="C195" s="620">
        <v>283.30482000000001</v>
      </c>
      <c r="D195" s="621">
        <v>283.30482000000001</v>
      </c>
      <c r="E195" s="622" t="s">
        <v>351</v>
      </c>
      <c r="F195" s="620">
        <v>0</v>
      </c>
      <c r="G195" s="621">
        <v>0</v>
      </c>
      <c r="H195" s="623">
        <v>0</v>
      </c>
      <c r="I195" s="620">
        <v>0</v>
      </c>
      <c r="J195" s="621">
        <v>0</v>
      </c>
      <c r="K195" s="624" t="s">
        <v>337</v>
      </c>
    </row>
    <row r="196" spans="1:11" ht="14.4" customHeight="1" thickBot="1" x14ac:dyDescent="0.35">
      <c r="A196" s="638" t="s">
        <v>524</v>
      </c>
      <c r="B196" s="620">
        <v>0</v>
      </c>
      <c r="C196" s="620">
        <v>283.30482000000001</v>
      </c>
      <c r="D196" s="621">
        <v>283.30482000000001</v>
      </c>
      <c r="E196" s="622" t="s">
        <v>351</v>
      </c>
      <c r="F196" s="620">
        <v>0</v>
      </c>
      <c r="G196" s="621">
        <v>0</v>
      </c>
      <c r="H196" s="623">
        <v>0</v>
      </c>
      <c r="I196" s="620">
        <v>0</v>
      </c>
      <c r="J196" s="621">
        <v>0</v>
      </c>
      <c r="K196" s="624" t="s">
        <v>337</v>
      </c>
    </row>
    <row r="197" spans="1:11" ht="14.4" customHeight="1" thickBot="1" x14ac:dyDescent="0.35">
      <c r="A197" s="640" t="s">
        <v>525</v>
      </c>
      <c r="B197" s="620">
        <v>0</v>
      </c>
      <c r="C197" s="620">
        <v>283.30482000000001</v>
      </c>
      <c r="D197" s="621">
        <v>283.30482000000001</v>
      </c>
      <c r="E197" s="622" t="s">
        <v>351</v>
      </c>
      <c r="F197" s="620">
        <v>0</v>
      </c>
      <c r="G197" s="621">
        <v>0</v>
      </c>
      <c r="H197" s="623">
        <v>0</v>
      </c>
      <c r="I197" s="620">
        <v>0</v>
      </c>
      <c r="J197" s="621">
        <v>0</v>
      </c>
      <c r="K197" s="624" t="s">
        <v>337</v>
      </c>
    </row>
    <row r="198" spans="1:11" ht="14.4" customHeight="1" thickBot="1" x14ac:dyDescent="0.35">
      <c r="A198" s="636" t="s">
        <v>526</v>
      </c>
      <c r="B198" s="620">
        <v>0</v>
      </c>
      <c r="C198" s="620">
        <v>283.30482000000001</v>
      </c>
      <c r="D198" s="621">
        <v>283.30482000000001</v>
      </c>
      <c r="E198" s="622" t="s">
        <v>351</v>
      </c>
      <c r="F198" s="620">
        <v>0</v>
      </c>
      <c r="G198" s="621">
        <v>0</v>
      </c>
      <c r="H198" s="623">
        <v>0</v>
      </c>
      <c r="I198" s="620">
        <v>0</v>
      </c>
      <c r="J198" s="621">
        <v>0</v>
      </c>
      <c r="K198" s="624" t="s">
        <v>337</v>
      </c>
    </row>
    <row r="199" spans="1:11" ht="14.4" customHeight="1" thickBot="1" x14ac:dyDescent="0.35">
      <c r="A199" s="637" t="s">
        <v>527</v>
      </c>
      <c r="B199" s="615">
        <v>0</v>
      </c>
      <c r="C199" s="615">
        <v>9.7820000000000004E-2</v>
      </c>
      <c r="D199" s="616">
        <v>9.7820000000000004E-2</v>
      </c>
      <c r="E199" s="625" t="s">
        <v>351</v>
      </c>
      <c r="F199" s="615">
        <v>0</v>
      </c>
      <c r="G199" s="616">
        <v>0</v>
      </c>
      <c r="H199" s="618">
        <v>0</v>
      </c>
      <c r="I199" s="615">
        <v>0</v>
      </c>
      <c r="J199" s="616">
        <v>0</v>
      </c>
      <c r="K199" s="626" t="s">
        <v>337</v>
      </c>
    </row>
    <row r="200" spans="1:11" ht="14.4" customHeight="1" thickBot="1" x14ac:dyDescent="0.35">
      <c r="A200" s="637" t="s">
        <v>528</v>
      </c>
      <c r="B200" s="615">
        <v>0</v>
      </c>
      <c r="C200" s="615">
        <v>283.20699999999999</v>
      </c>
      <c r="D200" s="616">
        <v>283.20699999999999</v>
      </c>
      <c r="E200" s="625" t="s">
        <v>351</v>
      </c>
      <c r="F200" s="615">
        <v>0</v>
      </c>
      <c r="G200" s="616">
        <v>0</v>
      </c>
      <c r="H200" s="618">
        <v>0</v>
      </c>
      <c r="I200" s="615">
        <v>0</v>
      </c>
      <c r="J200" s="616">
        <v>0</v>
      </c>
      <c r="K200" s="626" t="s">
        <v>337</v>
      </c>
    </row>
    <row r="201" spans="1:11" ht="14.4" customHeight="1" thickBot="1" x14ac:dyDescent="0.35">
      <c r="A201" s="642"/>
      <c r="B201" s="615">
        <v>59537.1587265528</v>
      </c>
      <c r="C201" s="615">
        <v>68447.018259999997</v>
      </c>
      <c r="D201" s="616">
        <v>8909.8595334471902</v>
      </c>
      <c r="E201" s="617">
        <v>1.149652078198</v>
      </c>
      <c r="F201" s="615">
        <v>74958.022650551997</v>
      </c>
      <c r="G201" s="616">
        <v>18739.505662637999</v>
      </c>
      <c r="H201" s="618">
        <v>7498.5449200000003</v>
      </c>
      <c r="I201" s="615">
        <v>20524.072749999999</v>
      </c>
      <c r="J201" s="616">
        <v>1784.5670873619899</v>
      </c>
      <c r="K201" s="619">
        <v>0.273807552871</v>
      </c>
    </row>
    <row r="202" spans="1:11" ht="14.4" customHeight="1" thickBot="1" x14ac:dyDescent="0.35">
      <c r="A202" s="643" t="s">
        <v>66</v>
      </c>
      <c r="B202" s="629">
        <v>59537.1587265528</v>
      </c>
      <c r="C202" s="629">
        <v>68447.018259999997</v>
      </c>
      <c r="D202" s="630">
        <v>8909.8595334471993</v>
      </c>
      <c r="E202" s="631" t="s">
        <v>351</v>
      </c>
      <c r="F202" s="629">
        <v>74958.022650551997</v>
      </c>
      <c r="G202" s="630">
        <v>18739.505662637999</v>
      </c>
      <c r="H202" s="629">
        <v>7498.5449200000003</v>
      </c>
      <c r="I202" s="629">
        <v>20524.072749999999</v>
      </c>
      <c r="J202" s="630">
        <v>1784.5670873619899</v>
      </c>
      <c r="K202" s="632">
        <v>0.273807552871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177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336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292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4" t="s">
        <v>529</v>
      </c>
      <c r="B5" s="645" t="s">
        <v>530</v>
      </c>
      <c r="C5" s="646" t="s">
        <v>531</v>
      </c>
      <c r="D5" s="646" t="s">
        <v>531</v>
      </c>
      <c r="E5" s="646"/>
      <c r="F5" s="646" t="s">
        <v>531</v>
      </c>
      <c r="G5" s="646" t="s">
        <v>531</v>
      </c>
      <c r="H5" s="646" t="s">
        <v>531</v>
      </c>
      <c r="I5" s="647" t="s">
        <v>531</v>
      </c>
      <c r="J5" s="648" t="s">
        <v>74</v>
      </c>
    </row>
    <row r="6" spans="1:10" ht="14.4" customHeight="1" x14ac:dyDescent="0.3">
      <c r="A6" s="644" t="s">
        <v>529</v>
      </c>
      <c r="B6" s="645" t="s">
        <v>345</v>
      </c>
      <c r="C6" s="646">
        <v>59.584789999999003</v>
      </c>
      <c r="D6" s="646">
        <v>18.783610000000003</v>
      </c>
      <c r="E6" s="646"/>
      <c r="F6" s="646">
        <v>27.329239999999999</v>
      </c>
      <c r="G6" s="646">
        <v>46.869670134479001</v>
      </c>
      <c r="H6" s="646">
        <v>-19.540430134479003</v>
      </c>
      <c r="I6" s="647">
        <v>0.58309008622391889</v>
      </c>
      <c r="J6" s="648" t="s">
        <v>1</v>
      </c>
    </row>
    <row r="7" spans="1:10" ht="14.4" customHeight="1" x14ac:dyDescent="0.3">
      <c r="A7" s="644" t="s">
        <v>529</v>
      </c>
      <c r="B7" s="645" t="s">
        <v>346</v>
      </c>
      <c r="C7" s="646">
        <v>9836.5413000000008</v>
      </c>
      <c r="D7" s="646">
        <v>7373.7875500000109</v>
      </c>
      <c r="E7" s="646"/>
      <c r="F7" s="646">
        <v>7649.8664000000017</v>
      </c>
      <c r="G7" s="646">
        <v>7532.6084583932625</v>
      </c>
      <c r="H7" s="646">
        <v>117.25794160673922</v>
      </c>
      <c r="I7" s="647">
        <v>1.0155667113529687</v>
      </c>
      <c r="J7" s="648" t="s">
        <v>1</v>
      </c>
    </row>
    <row r="8" spans="1:10" ht="14.4" customHeight="1" x14ac:dyDescent="0.3">
      <c r="A8" s="644" t="s">
        <v>529</v>
      </c>
      <c r="B8" s="645" t="s">
        <v>347</v>
      </c>
      <c r="C8" s="646">
        <v>0</v>
      </c>
      <c r="D8" s="646">
        <v>0</v>
      </c>
      <c r="E8" s="646"/>
      <c r="F8" s="646" t="s">
        <v>531</v>
      </c>
      <c r="G8" s="646" t="s">
        <v>531</v>
      </c>
      <c r="H8" s="646" t="s">
        <v>531</v>
      </c>
      <c r="I8" s="647" t="s">
        <v>531</v>
      </c>
      <c r="J8" s="648" t="s">
        <v>1</v>
      </c>
    </row>
    <row r="9" spans="1:10" ht="14.4" customHeight="1" x14ac:dyDescent="0.3">
      <c r="A9" s="644" t="s">
        <v>529</v>
      </c>
      <c r="B9" s="645" t="s">
        <v>348</v>
      </c>
      <c r="C9" s="646">
        <v>562.63227000000006</v>
      </c>
      <c r="D9" s="646">
        <v>787.18660000000102</v>
      </c>
      <c r="E9" s="646"/>
      <c r="F9" s="646">
        <v>1121.8298800000011</v>
      </c>
      <c r="G9" s="646">
        <v>868.53871740515501</v>
      </c>
      <c r="H9" s="646">
        <v>253.29116259484613</v>
      </c>
      <c r="I9" s="647">
        <v>1.2916290978386991</v>
      </c>
      <c r="J9" s="648" t="s">
        <v>1</v>
      </c>
    </row>
    <row r="10" spans="1:10" ht="14.4" customHeight="1" x14ac:dyDescent="0.3">
      <c r="A10" s="644" t="s">
        <v>529</v>
      </c>
      <c r="B10" s="645" t="s">
        <v>349</v>
      </c>
      <c r="C10" s="646">
        <v>0</v>
      </c>
      <c r="D10" s="646">
        <v>0.48530000000000001</v>
      </c>
      <c r="E10" s="646"/>
      <c r="F10" s="646">
        <v>0</v>
      </c>
      <c r="G10" s="646">
        <v>0.23912344460325</v>
      </c>
      <c r="H10" s="646">
        <v>-0.23912344460325</v>
      </c>
      <c r="I10" s="647">
        <v>0</v>
      </c>
      <c r="J10" s="648" t="s">
        <v>1</v>
      </c>
    </row>
    <row r="11" spans="1:10" ht="14.4" customHeight="1" x14ac:dyDescent="0.3">
      <c r="A11" s="644" t="s">
        <v>529</v>
      </c>
      <c r="B11" s="645" t="s">
        <v>350</v>
      </c>
      <c r="C11" s="646">
        <v>0</v>
      </c>
      <c r="D11" s="646">
        <v>0</v>
      </c>
      <c r="E11" s="646"/>
      <c r="F11" s="646" t="s">
        <v>531</v>
      </c>
      <c r="G11" s="646" t="s">
        <v>531</v>
      </c>
      <c r="H11" s="646" t="s">
        <v>531</v>
      </c>
      <c r="I11" s="647" t="s">
        <v>531</v>
      </c>
      <c r="J11" s="648" t="s">
        <v>1</v>
      </c>
    </row>
    <row r="12" spans="1:10" ht="14.4" customHeight="1" x14ac:dyDescent="0.3">
      <c r="A12" s="644" t="s">
        <v>529</v>
      </c>
      <c r="B12" s="645" t="s">
        <v>352</v>
      </c>
      <c r="C12" s="646" t="s">
        <v>531</v>
      </c>
      <c r="D12" s="646">
        <v>981.6873000000021</v>
      </c>
      <c r="E12" s="646"/>
      <c r="F12" s="646">
        <v>689.37875999999994</v>
      </c>
      <c r="G12" s="646">
        <v>717.39101188667996</v>
      </c>
      <c r="H12" s="646">
        <v>-28.012251886680019</v>
      </c>
      <c r="I12" s="647">
        <v>0.96095260266362958</v>
      </c>
      <c r="J12" s="648" t="s">
        <v>1</v>
      </c>
    </row>
    <row r="13" spans="1:10" ht="14.4" customHeight="1" x14ac:dyDescent="0.3">
      <c r="A13" s="644" t="s">
        <v>529</v>
      </c>
      <c r="B13" s="645" t="s">
        <v>532</v>
      </c>
      <c r="C13" s="646">
        <v>10458.75836</v>
      </c>
      <c r="D13" s="646">
        <v>9161.9303600000148</v>
      </c>
      <c r="E13" s="646"/>
      <c r="F13" s="646">
        <v>9488.4042800000025</v>
      </c>
      <c r="G13" s="646">
        <v>9165.6469812641808</v>
      </c>
      <c r="H13" s="646">
        <v>322.75729873582168</v>
      </c>
      <c r="I13" s="647">
        <v>1.0352138042623267</v>
      </c>
      <c r="J13" s="648" t="s">
        <v>533</v>
      </c>
    </row>
    <row r="15" spans="1:10" ht="14.4" customHeight="1" x14ac:dyDescent="0.3">
      <c r="A15" s="644" t="s">
        <v>529</v>
      </c>
      <c r="B15" s="645" t="s">
        <v>530</v>
      </c>
      <c r="C15" s="646" t="s">
        <v>531</v>
      </c>
      <c r="D15" s="646" t="s">
        <v>531</v>
      </c>
      <c r="E15" s="646"/>
      <c r="F15" s="646" t="s">
        <v>531</v>
      </c>
      <c r="G15" s="646" t="s">
        <v>531</v>
      </c>
      <c r="H15" s="646" t="s">
        <v>531</v>
      </c>
      <c r="I15" s="647" t="s">
        <v>531</v>
      </c>
      <c r="J15" s="648" t="s">
        <v>74</v>
      </c>
    </row>
    <row r="16" spans="1:10" ht="14.4" customHeight="1" x14ac:dyDescent="0.3">
      <c r="A16" s="644" t="s">
        <v>534</v>
      </c>
      <c r="B16" s="645" t="s">
        <v>535</v>
      </c>
      <c r="C16" s="646" t="s">
        <v>531</v>
      </c>
      <c r="D16" s="646" t="s">
        <v>531</v>
      </c>
      <c r="E16" s="646"/>
      <c r="F16" s="646" t="s">
        <v>531</v>
      </c>
      <c r="G16" s="646" t="s">
        <v>531</v>
      </c>
      <c r="H16" s="646" t="s">
        <v>531</v>
      </c>
      <c r="I16" s="647" t="s">
        <v>531</v>
      </c>
      <c r="J16" s="648" t="s">
        <v>0</v>
      </c>
    </row>
    <row r="17" spans="1:10" ht="14.4" customHeight="1" x14ac:dyDescent="0.3">
      <c r="A17" s="644" t="s">
        <v>534</v>
      </c>
      <c r="B17" s="645" t="s">
        <v>345</v>
      </c>
      <c r="C17" s="646">
        <v>6.099519999999</v>
      </c>
      <c r="D17" s="646">
        <v>2.8703000000000003</v>
      </c>
      <c r="E17" s="646"/>
      <c r="F17" s="646">
        <v>3.4675700000000003</v>
      </c>
      <c r="G17" s="646">
        <v>4.9440931102335002</v>
      </c>
      <c r="H17" s="646">
        <v>-1.4765231102334999</v>
      </c>
      <c r="I17" s="647">
        <v>0.7013561279464321</v>
      </c>
      <c r="J17" s="648" t="s">
        <v>1</v>
      </c>
    </row>
    <row r="18" spans="1:10" ht="14.4" customHeight="1" x14ac:dyDescent="0.3">
      <c r="A18" s="644" t="s">
        <v>534</v>
      </c>
      <c r="B18" s="645" t="s">
        <v>346</v>
      </c>
      <c r="C18" s="646">
        <v>251.27049999999997</v>
      </c>
      <c r="D18" s="646">
        <v>170.2715</v>
      </c>
      <c r="E18" s="646"/>
      <c r="F18" s="646">
        <v>238.04000000000002</v>
      </c>
      <c r="G18" s="646">
        <v>245.20907346307001</v>
      </c>
      <c r="H18" s="646">
        <v>-7.1690734630699922</v>
      </c>
      <c r="I18" s="647">
        <v>0.97076342501596014</v>
      </c>
      <c r="J18" s="648" t="s">
        <v>1</v>
      </c>
    </row>
    <row r="19" spans="1:10" ht="14.4" customHeight="1" x14ac:dyDescent="0.3">
      <c r="A19" s="644" t="s">
        <v>534</v>
      </c>
      <c r="B19" s="645" t="s">
        <v>349</v>
      </c>
      <c r="C19" s="646">
        <v>0</v>
      </c>
      <c r="D19" s="646">
        <v>0.48530000000000001</v>
      </c>
      <c r="E19" s="646"/>
      <c r="F19" s="646">
        <v>0</v>
      </c>
      <c r="G19" s="646">
        <v>0.23912344460325</v>
      </c>
      <c r="H19" s="646">
        <v>-0.23912344460325</v>
      </c>
      <c r="I19" s="647">
        <v>0</v>
      </c>
      <c r="J19" s="648" t="s">
        <v>1</v>
      </c>
    </row>
    <row r="20" spans="1:10" ht="14.4" customHeight="1" x14ac:dyDescent="0.3">
      <c r="A20" s="644" t="s">
        <v>534</v>
      </c>
      <c r="B20" s="645" t="s">
        <v>350</v>
      </c>
      <c r="C20" s="646">
        <v>0</v>
      </c>
      <c r="D20" s="646">
        <v>0</v>
      </c>
      <c r="E20" s="646"/>
      <c r="F20" s="646" t="s">
        <v>531</v>
      </c>
      <c r="G20" s="646" t="s">
        <v>531</v>
      </c>
      <c r="H20" s="646" t="s">
        <v>531</v>
      </c>
      <c r="I20" s="647" t="s">
        <v>531</v>
      </c>
      <c r="J20" s="648" t="s">
        <v>1</v>
      </c>
    </row>
    <row r="21" spans="1:10" ht="14.4" customHeight="1" x14ac:dyDescent="0.3">
      <c r="A21" s="644" t="s">
        <v>534</v>
      </c>
      <c r="B21" s="645" t="s">
        <v>536</v>
      </c>
      <c r="C21" s="646">
        <v>257.37001999999899</v>
      </c>
      <c r="D21" s="646">
        <v>173.62709999999998</v>
      </c>
      <c r="E21" s="646"/>
      <c r="F21" s="646">
        <v>241.50757000000002</v>
      </c>
      <c r="G21" s="646">
        <v>250.39229001790676</v>
      </c>
      <c r="H21" s="646">
        <v>-8.8847200179067443</v>
      </c>
      <c r="I21" s="647">
        <v>0.9645167987509865</v>
      </c>
      <c r="J21" s="648" t="s">
        <v>537</v>
      </c>
    </row>
    <row r="22" spans="1:10" ht="14.4" customHeight="1" x14ac:dyDescent="0.3">
      <c r="A22" s="644" t="s">
        <v>531</v>
      </c>
      <c r="B22" s="645" t="s">
        <v>531</v>
      </c>
      <c r="C22" s="646" t="s">
        <v>531</v>
      </c>
      <c r="D22" s="646" t="s">
        <v>531</v>
      </c>
      <c r="E22" s="646"/>
      <c r="F22" s="646" t="s">
        <v>531</v>
      </c>
      <c r="G22" s="646" t="s">
        <v>531</v>
      </c>
      <c r="H22" s="646" t="s">
        <v>531</v>
      </c>
      <c r="I22" s="647" t="s">
        <v>531</v>
      </c>
      <c r="J22" s="648" t="s">
        <v>538</v>
      </c>
    </row>
    <row r="23" spans="1:10" ht="14.4" customHeight="1" x14ac:dyDescent="0.3">
      <c r="A23" s="644" t="s">
        <v>539</v>
      </c>
      <c r="B23" s="645" t="s">
        <v>540</v>
      </c>
      <c r="C23" s="646" t="s">
        <v>531</v>
      </c>
      <c r="D23" s="646" t="s">
        <v>531</v>
      </c>
      <c r="E23" s="646"/>
      <c r="F23" s="646" t="s">
        <v>531</v>
      </c>
      <c r="G23" s="646" t="s">
        <v>531</v>
      </c>
      <c r="H23" s="646" t="s">
        <v>531</v>
      </c>
      <c r="I23" s="647" t="s">
        <v>531</v>
      </c>
      <c r="J23" s="648" t="s">
        <v>0</v>
      </c>
    </row>
    <row r="24" spans="1:10" ht="14.4" customHeight="1" x14ac:dyDescent="0.3">
      <c r="A24" s="644" t="s">
        <v>539</v>
      </c>
      <c r="B24" s="645" t="s">
        <v>345</v>
      </c>
      <c r="C24" s="646">
        <v>4.7670400000000006</v>
      </c>
      <c r="D24" s="646">
        <v>4.7861500000000001</v>
      </c>
      <c r="E24" s="646"/>
      <c r="F24" s="646">
        <v>4.4287799999999997</v>
      </c>
      <c r="G24" s="646">
        <v>5.2247993908800003</v>
      </c>
      <c r="H24" s="646">
        <v>-0.79601939088000062</v>
      </c>
      <c r="I24" s="647">
        <v>0.84764594172372065</v>
      </c>
      <c r="J24" s="648" t="s">
        <v>1</v>
      </c>
    </row>
    <row r="25" spans="1:10" ht="14.4" customHeight="1" x14ac:dyDescent="0.3">
      <c r="A25" s="644" t="s">
        <v>539</v>
      </c>
      <c r="B25" s="645" t="s">
        <v>346</v>
      </c>
      <c r="C25" s="646">
        <v>1293.5358000000001</v>
      </c>
      <c r="D25" s="646">
        <v>1115.538050000001</v>
      </c>
      <c r="E25" s="646"/>
      <c r="F25" s="646">
        <v>1431.636400000001</v>
      </c>
      <c r="G25" s="646">
        <v>1440.2209654295425</v>
      </c>
      <c r="H25" s="646">
        <v>-8.5845654295414988</v>
      </c>
      <c r="I25" s="647">
        <v>0.99403941087124703</v>
      </c>
      <c r="J25" s="648" t="s">
        <v>1</v>
      </c>
    </row>
    <row r="26" spans="1:10" ht="14.4" customHeight="1" x14ac:dyDescent="0.3">
      <c r="A26" s="644" t="s">
        <v>539</v>
      </c>
      <c r="B26" s="645" t="s">
        <v>348</v>
      </c>
      <c r="C26" s="646" t="s">
        <v>531</v>
      </c>
      <c r="D26" s="646" t="s">
        <v>531</v>
      </c>
      <c r="E26" s="646"/>
      <c r="F26" s="646">
        <v>28.71</v>
      </c>
      <c r="G26" s="646">
        <v>0</v>
      </c>
      <c r="H26" s="646">
        <v>28.71</v>
      </c>
      <c r="I26" s="647" t="s">
        <v>531</v>
      </c>
      <c r="J26" s="648" t="s">
        <v>1</v>
      </c>
    </row>
    <row r="27" spans="1:10" ht="14.4" customHeight="1" x14ac:dyDescent="0.3">
      <c r="A27" s="644" t="s">
        <v>539</v>
      </c>
      <c r="B27" s="645" t="s">
        <v>541</v>
      </c>
      <c r="C27" s="646">
        <v>1298.3028400000001</v>
      </c>
      <c r="D27" s="646">
        <v>1120.3242000000009</v>
      </c>
      <c r="E27" s="646"/>
      <c r="F27" s="646">
        <v>1464.775180000001</v>
      </c>
      <c r="G27" s="646">
        <v>1445.4457648204225</v>
      </c>
      <c r="H27" s="646">
        <v>19.329415179578518</v>
      </c>
      <c r="I27" s="647">
        <v>1.0133726326161949</v>
      </c>
      <c r="J27" s="648" t="s">
        <v>537</v>
      </c>
    </row>
    <row r="28" spans="1:10" ht="14.4" customHeight="1" x14ac:dyDescent="0.3">
      <c r="A28" s="644" t="s">
        <v>531</v>
      </c>
      <c r="B28" s="645" t="s">
        <v>531</v>
      </c>
      <c r="C28" s="646" t="s">
        <v>531</v>
      </c>
      <c r="D28" s="646" t="s">
        <v>531</v>
      </c>
      <c r="E28" s="646"/>
      <c r="F28" s="646" t="s">
        <v>531</v>
      </c>
      <c r="G28" s="646" t="s">
        <v>531</v>
      </c>
      <c r="H28" s="646" t="s">
        <v>531</v>
      </c>
      <c r="I28" s="647" t="s">
        <v>531</v>
      </c>
      <c r="J28" s="648" t="s">
        <v>538</v>
      </c>
    </row>
    <row r="29" spans="1:10" ht="14.4" customHeight="1" x14ac:dyDescent="0.3">
      <c r="A29" s="644" t="s">
        <v>542</v>
      </c>
      <c r="B29" s="645" t="s">
        <v>543</v>
      </c>
      <c r="C29" s="646" t="s">
        <v>531</v>
      </c>
      <c r="D29" s="646" t="s">
        <v>531</v>
      </c>
      <c r="E29" s="646"/>
      <c r="F29" s="646" t="s">
        <v>531</v>
      </c>
      <c r="G29" s="646" t="s">
        <v>531</v>
      </c>
      <c r="H29" s="646" t="s">
        <v>531</v>
      </c>
      <c r="I29" s="647" t="s">
        <v>531</v>
      </c>
      <c r="J29" s="648" t="s">
        <v>0</v>
      </c>
    </row>
    <row r="30" spans="1:10" ht="14.4" customHeight="1" x14ac:dyDescent="0.3">
      <c r="A30" s="644" t="s">
        <v>542</v>
      </c>
      <c r="B30" s="645" t="s">
        <v>345</v>
      </c>
      <c r="C30" s="646">
        <v>0.4612</v>
      </c>
      <c r="D30" s="646">
        <v>0.53061000000000003</v>
      </c>
      <c r="E30" s="646"/>
      <c r="F30" s="646">
        <v>4.8770000000000001E-2</v>
      </c>
      <c r="G30" s="646">
        <v>0.30258050828400002</v>
      </c>
      <c r="H30" s="646">
        <v>-0.25381050828400004</v>
      </c>
      <c r="I30" s="647">
        <v>0.16118024348820517</v>
      </c>
      <c r="J30" s="648" t="s">
        <v>1</v>
      </c>
    </row>
    <row r="31" spans="1:10" ht="14.4" customHeight="1" x14ac:dyDescent="0.3">
      <c r="A31" s="644" t="s">
        <v>542</v>
      </c>
      <c r="B31" s="645" t="s">
        <v>544</v>
      </c>
      <c r="C31" s="646">
        <v>0.4612</v>
      </c>
      <c r="D31" s="646">
        <v>0.53061000000000003</v>
      </c>
      <c r="E31" s="646"/>
      <c r="F31" s="646">
        <v>4.8770000000000001E-2</v>
      </c>
      <c r="G31" s="646">
        <v>0.30258050828400002</v>
      </c>
      <c r="H31" s="646">
        <v>-0.25381050828400004</v>
      </c>
      <c r="I31" s="647">
        <v>0.16118024348820517</v>
      </c>
      <c r="J31" s="648" t="s">
        <v>537</v>
      </c>
    </row>
    <row r="32" spans="1:10" ht="14.4" customHeight="1" x14ac:dyDescent="0.3">
      <c r="A32" s="644" t="s">
        <v>531</v>
      </c>
      <c r="B32" s="645" t="s">
        <v>531</v>
      </c>
      <c r="C32" s="646" t="s">
        <v>531</v>
      </c>
      <c r="D32" s="646" t="s">
        <v>531</v>
      </c>
      <c r="E32" s="646"/>
      <c r="F32" s="646" t="s">
        <v>531</v>
      </c>
      <c r="G32" s="646" t="s">
        <v>531</v>
      </c>
      <c r="H32" s="646" t="s">
        <v>531</v>
      </c>
      <c r="I32" s="647" t="s">
        <v>531</v>
      </c>
      <c r="J32" s="648" t="s">
        <v>538</v>
      </c>
    </row>
    <row r="33" spans="1:10" ht="14.4" customHeight="1" x14ac:dyDescent="0.3">
      <c r="A33" s="644" t="s">
        <v>545</v>
      </c>
      <c r="B33" s="645" t="s">
        <v>546</v>
      </c>
      <c r="C33" s="646" t="s">
        <v>531</v>
      </c>
      <c r="D33" s="646" t="s">
        <v>531</v>
      </c>
      <c r="E33" s="646"/>
      <c r="F33" s="646" t="s">
        <v>531</v>
      </c>
      <c r="G33" s="646" t="s">
        <v>531</v>
      </c>
      <c r="H33" s="646" t="s">
        <v>531</v>
      </c>
      <c r="I33" s="647" t="s">
        <v>531</v>
      </c>
      <c r="J33" s="648" t="s">
        <v>0</v>
      </c>
    </row>
    <row r="34" spans="1:10" ht="14.4" customHeight="1" x14ac:dyDescent="0.3">
      <c r="A34" s="644" t="s">
        <v>545</v>
      </c>
      <c r="B34" s="645" t="s">
        <v>345</v>
      </c>
      <c r="C34" s="646">
        <v>48.25703</v>
      </c>
      <c r="D34" s="646">
        <v>10.596550000000001</v>
      </c>
      <c r="E34" s="646"/>
      <c r="F34" s="646">
        <v>19.384119999999999</v>
      </c>
      <c r="G34" s="646">
        <v>36.398197125081502</v>
      </c>
      <c r="H34" s="646">
        <v>-17.014077125081503</v>
      </c>
      <c r="I34" s="647">
        <v>0.53255714653632302</v>
      </c>
      <c r="J34" s="648" t="s">
        <v>1</v>
      </c>
    </row>
    <row r="35" spans="1:10" ht="14.4" customHeight="1" x14ac:dyDescent="0.3">
      <c r="A35" s="644" t="s">
        <v>545</v>
      </c>
      <c r="B35" s="645" t="s">
        <v>346</v>
      </c>
      <c r="C35" s="646">
        <v>8291.7350000000006</v>
      </c>
      <c r="D35" s="646">
        <v>6087.9780000000101</v>
      </c>
      <c r="E35" s="646"/>
      <c r="F35" s="646">
        <v>5980.1900000000005</v>
      </c>
      <c r="G35" s="646">
        <v>5847.1784195006503</v>
      </c>
      <c r="H35" s="646">
        <v>133.0115804993502</v>
      </c>
      <c r="I35" s="647">
        <v>1.0227479941531712</v>
      </c>
      <c r="J35" s="648" t="s">
        <v>1</v>
      </c>
    </row>
    <row r="36" spans="1:10" ht="14.4" customHeight="1" x14ac:dyDescent="0.3">
      <c r="A36" s="644" t="s">
        <v>545</v>
      </c>
      <c r="B36" s="645" t="s">
        <v>347</v>
      </c>
      <c r="C36" s="646">
        <v>0</v>
      </c>
      <c r="D36" s="646">
        <v>0</v>
      </c>
      <c r="E36" s="646"/>
      <c r="F36" s="646" t="s">
        <v>531</v>
      </c>
      <c r="G36" s="646" t="s">
        <v>531</v>
      </c>
      <c r="H36" s="646" t="s">
        <v>531</v>
      </c>
      <c r="I36" s="647" t="s">
        <v>531</v>
      </c>
      <c r="J36" s="648" t="s">
        <v>1</v>
      </c>
    </row>
    <row r="37" spans="1:10" ht="14.4" customHeight="1" x14ac:dyDescent="0.3">
      <c r="A37" s="644" t="s">
        <v>545</v>
      </c>
      <c r="B37" s="645" t="s">
        <v>348</v>
      </c>
      <c r="C37" s="646">
        <v>562.63227000000006</v>
      </c>
      <c r="D37" s="646">
        <v>787.18660000000102</v>
      </c>
      <c r="E37" s="646"/>
      <c r="F37" s="646">
        <v>1093.1198800000011</v>
      </c>
      <c r="G37" s="646">
        <v>868.53871740515501</v>
      </c>
      <c r="H37" s="646">
        <v>224.58116259484609</v>
      </c>
      <c r="I37" s="647">
        <v>1.2585735766228181</v>
      </c>
      <c r="J37" s="648" t="s">
        <v>1</v>
      </c>
    </row>
    <row r="38" spans="1:10" ht="14.4" customHeight="1" x14ac:dyDescent="0.3">
      <c r="A38" s="644" t="s">
        <v>545</v>
      </c>
      <c r="B38" s="645" t="s">
        <v>547</v>
      </c>
      <c r="C38" s="646">
        <v>8902.6243000000013</v>
      </c>
      <c r="D38" s="646">
        <v>6885.7611500000112</v>
      </c>
      <c r="E38" s="646"/>
      <c r="F38" s="646">
        <v>7092.6940000000013</v>
      </c>
      <c r="G38" s="646">
        <v>6752.1153340308865</v>
      </c>
      <c r="H38" s="646">
        <v>340.57866596911481</v>
      </c>
      <c r="I38" s="647">
        <v>1.0504402915413169</v>
      </c>
      <c r="J38" s="648" t="s">
        <v>537</v>
      </c>
    </row>
    <row r="39" spans="1:10" ht="14.4" customHeight="1" x14ac:dyDescent="0.3">
      <c r="A39" s="644" t="s">
        <v>531</v>
      </c>
      <c r="B39" s="645" t="s">
        <v>531</v>
      </c>
      <c r="C39" s="646" t="s">
        <v>531</v>
      </c>
      <c r="D39" s="646" t="s">
        <v>531</v>
      </c>
      <c r="E39" s="646"/>
      <c r="F39" s="646" t="s">
        <v>531</v>
      </c>
      <c r="G39" s="646" t="s">
        <v>531</v>
      </c>
      <c r="H39" s="646" t="s">
        <v>531</v>
      </c>
      <c r="I39" s="647" t="s">
        <v>531</v>
      </c>
      <c r="J39" s="648" t="s">
        <v>538</v>
      </c>
    </row>
    <row r="40" spans="1:10" ht="14.4" customHeight="1" x14ac:dyDescent="0.3">
      <c r="A40" s="644" t="s">
        <v>548</v>
      </c>
      <c r="B40" s="645" t="s">
        <v>549</v>
      </c>
      <c r="C40" s="646" t="s">
        <v>531</v>
      </c>
      <c r="D40" s="646" t="s">
        <v>531</v>
      </c>
      <c r="E40" s="646"/>
      <c r="F40" s="646" t="s">
        <v>531</v>
      </c>
      <c r="G40" s="646" t="s">
        <v>531</v>
      </c>
      <c r="H40" s="646" t="s">
        <v>531</v>
      </c>
      <c r="I40" s="647" t="s">
        <v>531</v>
      </c>
      <c r="J40" s="648" t="s">
        <v>0</v>
      </c>
    </row>
    <row r="41" spans="1:10" ht="14.4" customHeight="1" x14ac:dyDescent="0.3">
      <c r="A41" s="644" t="s">
        <v>548</v>
      </c>
      <c r="B41" s="645" t="s">
        <v>352</v>
      </c>
      <c r="C41" s="646" t="s">
        <v>531</v>
      </c>
      <c r="D41" s="646">
        <v>981.6873000000021</v>
      </c>
      <c r="E41" s="646"/>
      <c r="F41" s="646">
        <v>689.37875999999994</v>
      </c>
      <c r="G41" s="646">
        <v>717.39101188667996</v>
      </c>
      <c r="H41" s="646">
        <v>-28.012251886680019</v>
      </c>
      <c r="I41" s="647">
        <v>0.96095260266362958</v>
      </c>
      <c r="J41" s="648" t="s">
        <v>1</v>
      </c>
    </row>
    <row r="42" spans="1:10" ht="14.4" customHeight="1" x14ac:dyDescent="0.3">
      <c r="A42" s="644" t="s">
        <v>548</v>
      </c>
      <c r="B42" s="645" t="s">
        <v>550</v>
      </c>
      <c r="C42" s="646" t="s">
        <v>531</v>
      </c>
      <c r="D42" s="646">
        <v>981.6873000000021</v>
      </c>
      <c r="E42" s="646"/>
      <c r="F42" s="646">
        <v>689.37875999999994</v>
      </c>
      <c r="G42" s="646">
        <v>717.39101188667996</v>
      </c>
      <c r="H42" s="646">
        <v>-28.012251886680019</v>
      </c>
      <c r="I42" s="647">
        <v>0.96095260266362958</v>
      </c>
      <c r="J42" s="648" t="s">
        <v>537</v>
      </c>
    </row>
    <row r="43" spans="1:10" ht="14.4" customHeight="1" x14ac:dyDescent="0.3">
      <c r="A43" s="644" t="s">
        <v>531</v>
      </c>
      <c r="B43" s="645" t="s">
        <v>531</v>
      </c>
      <c r="C43" s="646" t="s">
        <v>531</v>
      </c>
      <c r="D43" s="646" t="s">
        <v>531</v>
      </c>
      <c r="E43" s="646"/>
      <c r="F43" s="646" t="s">
        <v>531</v>
      </c>
      <c r="G43" s="646" t="s">
        <v>531</v>
      </c>
      <c r="H43" s="646" t="s">
        <v>531</v>
      </c>
      <c r="I43" s="647" t="s">
        <v>531</v>
      </c>
      <c r="J43" s="648" t="s">
        <v>538</v>
      </c>
    </row>
    <row r="44" spans="1:10" ht="14.4" customHeight="1" x14ac:dyDescent="0.3">
      <c r="A44" s="644" t="s">
        <v>529</v>
      </c>
      <c r="B44" s="645" t="s">
        <v>532</v>
      </c>
      <c r="C44" s="646">
        <v>10458.75836</v>
      </c>
      <c r="D44" s="646">
        <v>9161.930360000013</v>
      </c>
      <c r="E44" s="646"/>
      <c r="F44" s="646">
        <v>9488.4042800000025</v>
      </c>
      <c r="G44" s="646">
        <v>9165.6469812641808</v>
      </c>
      <c r="H44" s="646">
        <v>322.75729873582168</v>
      </c>
      <c r="I44" s="647">
        <v>1.0352138042623267</v>
      </c>
      <c r="J44" s="648" t="s">
        <v>533</v>
      </c>
    </row>
  </sheetData>
  <mergeCells count="3">
    <mergeCell ref="F3:I3"/>
    <mergeCell ref="C4:D4"/>
    <mergeCell ref="A1:I1"/>
  </mergeCells>
  <conditionalFormatting sqref="F14 F45:F65537">
    <cfRule type="cellIs" dxfId="72" priority="18" stopIfTrue="1" operator="greaterThan">
      <formula>1</formula>
    </cfRule>
  </conditionalFormatting>
  <conditionalFormatting sqref="H5:H13">
    <cfRule type="expression" dxfId="71" priority="14">
      <formula>$H5&gt;0</formula>
    </cfRule>
  </conditionalFormatting>
  <conditionalFormatting sqref="I5:I13">
    <cfRule type="expression" dxfId="70" priority="15">
      <formula>$I5&gt;1</formula>
    </cfRule>
  </conditionalFormatting>
  <conditionalFormatting sqref="B5:B13">
    <cfRule type="expression" dxfId="69" priority="11">
      <formula>OR($J5="NS",$J5="SumaNS",$J5="Účet")</formula>
    </cfRule>
  </conditionalFormatting>
  <conditionalFormatting sqref="B5:D13 F5:I13">
    <cfRule type="expression" dxfId="68" priority="17">
      <formula>AND($J5&lt;&gt;"",$J5&lt;&gt;"mezeraKL")</formula>
    </cfRule>
  </conditionalFormatting>
  <conditionalFormatting sqref="B5:D13 F5:I13">
    <cfRule type="expression" dxfId="67" priority="12">
      <formula>OR($J5="KL",$J5="SumaKL")</formula>
    </cfRule>
    <cfRule type="expression" priority="16" stopIfTrue="1">
      <formula>OR($J5="mezeraNS",$J5="mezeraKL")</formula>
    </cfRule>
  </conditionalFormatting>
  <conditionalFormatting sqref="F5:I13 B5:D13">
    <cfRule type="expression" dxfId="66" priority="13">
      <formula>OR($J5="SumaNS",$J5="NS")</formula>
    </cfRule>
  </conditionalFormatting>
  <conditionalFormatting sqref="A5:A13">
    <cfRule type="expression" dxfId="65" priority="9">
      <formula>AND($J5&lt;&gt;"mezeraKL",$J5&lt;&gt;"")</formula>
    </cfRule>
  </conditionalFormatting>
  <conditionalFormatting sqref="A5:A13">
    <cfRule type="expression" dxfId="64" priority="10">
      <formula>AND($J5&lt;&gt;"",$J5&lt;&gt;"mezeraKL")</formula>
    </cfRule>
  </conditionalFormatting>
  <conditionalFormatting sqref="H15:H44">
    <cfRule type="expression" dxfId="63" priority="5">
      <formula>$H15&gt;0</formula>
    </cfRule>
  </conditionalFormatting>
  <conditionalFormatting sqref="A15:A44">
    <cfRule type="expression" dxfId="62" priority="2">
      <formula>AND($J15&lt;&gt;"mezeraKL",$J15&lt;&gt;"")</formula>
    </cfRule>
  </conditionalFormatting>
  <conditionalFormatting sqref="I15:I44">
    <cfRule type="expression" dxfId="61" priority="6">
      <formula>$I15&gt;1</formula>
    </cfRule>
  </conditionalFormatting>
  <conditionalFormatting sqref="B15:B44">
    <cfRule type="expression" dxfId="60" priority="1">
      <formula>OR($J15="NS",$J15="SumaNS",$J15="Účet")</formula>
    </cfRule>
  </conditionalFormatting>
  <conditionalFormatting sqref="A15:D44 F15:I44">
    <cfRule type="expression" dxfId="59" priority="8">
      <formula>AND($J15&lt;&gt;"",$J15&lt;&gt;"mezeraKL")</formula>
    </cfRule>
  </conditionalFormatting>
  <conditionalFormatting sqref="B15:D44 F15:I44">
    <cfRule type="expression" dxfId="58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4 F15:I44">
    <cfRule type="expression" dxfId="57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5" style="339" customWidth="1"/>
    <col min="8" max="8" width="12.44140625" style="339" hidden="1" customWidth="1" outlineLevel="1"/>
    <col min="9" max="9" width="8.5546875" style="339" hidden="1" customWidth="1" outlineLevel="1"/>
    <col min="10" max="10" width="25.77734375" style="339" customWidth="1" collapsed="1"/>
    <col min="11" max="11" width="8.77734375" style="339" customWidth="1"/>
    <col min="12" max="13" width="7.77734375" style="337" customWidth="1"/>
    <col min="14" max="14" width="11.109375" style="337" customWidth="1"/>
    <col min="15" max="16384" width="8.88671875" style="254"/>
  </cols>
  <sheetData>
    <row r="1" spans="1:14" ht="18.600000000000001" customHeight="1" thickBot="1" x14ac:dyDescent="0.4">
      <c r="A1" s="514" t="s">
        <v>207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3" t="s">
        <v>336</v>
      </c>
      <c r="B2" s="66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2"/>
      <c r="N2" s="342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160</v>
      </c>
      <c r="K3" s="513"/>
      <c r="L3" s="207">
        <f>IF(M3&lt;&gt;0,N3/M3,0)</f>
        <v>1425.9149706117835</v>
      </c>
      <c r="M3" s="207">
        <f>SUBTOTAL(9,M5:M1048576)</f>
        <v>966</v>
      </c>
      <c r="N3" s="208">
        <f>SUBTOTAL(9,N5:N1048576)</f>
        <v>1377433.8616109828</v>
      </c>
    </row>
    <row r="4" spans="1:14" s="338" customFormat="1" ht="14.4" customHeight="1" thickBot="1" x14ac:dyDescent="0.35">
      <c r="A4" s="649" t="s">
        <v>4</v>
      </c>
      <c r="B4" s="650" t="s">
        <v>5</v>
      </c>
      <c r="C4" s="650" t="s">
        <v>0</v>
      </c>
      <c r="D4" s="650" t="s">
        <v>6</v>
      </c>
      <c r="E4" s="650" t="s">
        <v>7</v>
      </c>
      <c r="F4" s="650" t="s">
        <v>1</v>
      </c>
      <c r="G4" s="650" t="s">
        <v>8</v>
      </c>
      <c r="H4" s="650" t="s">
        <v>9</v>
      </c>
      <c r="I4" s="650" t="s">
        <v>10</v>
      </c>
      <c r="J4" s="651" t="s">
        <v>11</v>
      </c>
      <c r="K4" s="651" t="s">
        <v>12</v>
      </c>
      <c r="L4" s="652" t="s">
        <v>185</v>
      </c>
      <c r="M4" s="652" t="s">
        <v>13</v>
      </c>
      <c r="N4" s="653" t="s">
        <v>202</v>
      </c>
    </row>
    <row r="5" spans="1:14" ht="14.4" customHeight="1" x14ac:dyDescent="0.3">
      <c r="A5" s="654" t="s">
        <v>529</v>
      </c>
      <c r="B5" s="655" t="s">
        <v>530</v>
      </c>
      <c r="C5" s="656" t="s">
        <v>534</v>
      </c>
      <c r="D5" s="657" t="s">
        <v>748</v>
      </c>
      <c r="E5" s="656" t="s">
        <v>551</v>
      </c>
      <c r="F5" s="657" t="s">
        <v>753</v>
      </c>
      <c r="G5" s="656" t="s">
        <v>552</v>
      </c>
      <c r="H5" s="656" t="s">
        <v>553</v>
      </c>
      <c r="I5" s="656" t="s">
        <v>554</v>
      </c>
      <c r="J5" s="656" t="s">
        <v>555</v>
      </c>
      <c r="K5" s="656" t="s">
        <v>556</v>
      </c>
      <c r="L5" s="658">
        <v>87.030000000000015</v>
      </c>
      <c r="M5" s="658">
        <v>1</v>
      </c>
      <c r="N5" s="659">
        <v>87.030000000000015</v>
      </c>
    </row>
    <row r="6" spans="1:14" ht="14.4" customHeight="1" x14ac:dyDescent="0.3">
      <c r="A6" s="660" t="s">
        <v>529</v>
      </c>
      <c r="B6" s="661" t="s">
        <v>530</v>
      </c>
      <c r="C6" s="662" t="s">
        <v>534</v>
      </c>
      <c r="D6" s="663" t="s">
        <v>748</v>
      </c>
      <c r="E6" s="662" t="s">
        <v>551</v>
      </c>
      <c r="F6" s="663" t="s">
        <v>753</v>
      </c>
      <c r="G6" s="662" t="s">
        <v>552</v>
      </c>
      <c r="H6" s="662" t="s">
        <v>557</v>
      </c>
      <c r="I6" s="662" t="s">
        <v>558</v>
      </c>
      <c r="J6" s="662" t="s">
        <v>559</v>
      </c>
      <c r="K6" s="662" t="s">
        <v>560</v>
      </c>
      <c r="L6" s="664">
        <v>93.620000000000033</v>
      </c>
      <c r="M6" s="664">
        <v>1</v>
      </c>
      <c r="N6" s="665">
        <v>93.620000000000033</v>
      </c>
    </row>
    <row r="7" spans="1:14" ht="14.4" customHeight="1" x14ac:dyDescent="0.3">
      <c r="A7" s="660" t="s">
        <v>529</v>
      </c>
      <c r="B7" s="661" t="s">
        <v>530</v>
      </c>
      <c r="C7" s="662" t="s">
        <v>534</v>
      </c>
      <c r="D7" s="663" t="s">
        <v>748</v>
      </c>
      <c r="E7" s="662" t="s">
        <v>551</v>
      </c>
      <c r="F7" s="663" t="s">
        <v>753</v>
      </c>
      <c r="G7" s="662" t="s">
        <v>552</v>
      </c>
      <c r="H7" s="662" t="s">
        <v>561</v>
      </c>
      <c r="I7" s="662" t="s">
        <v>562</v>
      </c>
      <c r="J7" s="662" t="s">
        <v>563</v>
      </c>
      <c r="K7" s="662" t="s">
        <v>564</v>
      </c>
      <c r="L7" s="664">
        <v>73.789999999999992</v>
      </c>
      <c r="M7" s="664">
        <v>1</v>
      </c>
      <c r="N7" s="665">
        <v>73.789999999999992</v>
      </c>
    </row>
    <row r="8" spans="1:14" ht="14.4" customHeight="1" x14ac:dyDescent="0.3">
      <c r="A8" s="660" t="s">
        <v>529</v>
      </c>
      <c r="B8" s="661" t="s">
        <v>530</v>
      </c>
      <c r="C8" s="662" t="s">
        <v>534</v>
      </c>
      <c r="D8" s="663" t="s">
        <v>748</v>
      </c>
      <c r="E8" s="662" t="s">
        <v>551</v>
      </c>
      <c r="F8" s="663" t="s">
        <v>753</v>
      </c>
      <c r="G8" s="662" t="s">
        <v>552</v>
      </c>
      <c r="H8" s="662" t="s">
        <v>565</v>
      </c>
      <c r="I8" s="662" t="s">
        <v>566</v>
      </c>
      <c r="J8" s="662" t="s">
        <v>567</v>
      </c>
      <c r="K8" s="662" t="s">
        <v>568</v>
      </c>
      <c r="L8" s="664">
        <v>127.03822182536236</v>
      </c>
      <c r="M8" s="664">
        <v>1</v>
      </c>
      <c r="N8" s="665">
        <v>127.03822182536236</v>
      </c>
    </row>
    <row r="9" spans="1:14" ht="14.4" customHeight="1" x14ac:dyDescent="0.3">
      <c r="A9" s="660" t="s">
        <v>529</v>
      </c>
      <c r="B9" s="661" t="s">
        <v>530</v>
      </c>
      <c r="C9" s="662" t="s">
        <v>534</v>
      </c>
      <c r="D9" s="663" t="s">
        <v>748</v>
      </c>
      <c r="E9" s="662" t="s">
        <v>551</v>
      </c>
      <c r="F9" s="663" t="s">
        <v>753</v>
      </c>
      <c r="G9" s="662" t="s">
        <v>552</v>
      </c>
      <c r="H9" s="662" t="s">
        <v>569</v>
      </c>
      <c r="I9" s="662" t="s">
        <v>570</v>
      </c>
      <c r="J9" s="662" t="s">
        <v>571</v>
      </c>
      <c r="K9" s="662" t="s">
        <v>572</v>
      </c>
      <c r="L9" s="664">
        <v>73.350000000000009</v>
      </c>
      <c r="M9" s="664">
        <v>1</v>
      </c>
      <c r="N9" s="665">
        <v>73.350000000000009</v>
      </c>
    </row>
    <row r="10" spans="1:14" ht="14.4" customHeight="1" x14ac:dyDescent="0.3">
      <c r="A10" s="660" t="s">
        <v>529</v>
      </c>
      <c r="B10" s="661" t="s">
        <v>530</v>
      </c>
      <c r="C10" s="662" t="s">
        <v>534</v>
      </c>
      <c r="D10" s="663" t="s">
        <v>748</v>
      </c>
      <c r="E10" s="662" t="s">
        <v>551</v>
      </c>
      <c r="F10" s="663" t="s">
        <v>753</v>
      </c>
      <c r="G10" s="662" t="s">
        <v>552</v>
      </c>
      <c r="H10" s="662" t="s">
        <v>573</v>
      </c>
      <c r="I10" s="662" t="s">
        <v>574</v>
      </c>
      <c r="J10" s="662" t="s">
        <v>575</v>
      </c>
      <c r="K10" s="662" t="s">
        <v>576</v>
      </c>
      <c r="L10" s="664">
        <v>116.63000000000004</v>
      </c>
      <c r="M10" s="664">
        <v>1</v>
      </c>
      <c r="N10" s="665">
        <v>116.63000000000004</v>
      </c>
    </row>
    <row r="11" spans="1:14" ht="14.4" customHeight="1" x14ac:dyDescent="0.3">
      <c r="A11" s="660" t="s">
        <v>529</v>
      </c>
      <c r="B11" s="661" t="s">
        <v>530</v>
      </c>
      <c r="C11" s="662" t="s">
        <v>534</v>
      </c>
      <c r="D11" s="663" t="s">
        <v>748</v>
      </c>
      <c r="E11" s="662" t="s">
        <v>551</v>
      </c>
      <c r="F11" s="663" t="s">
        <v>753</v>
      </c>
      <c r="G11" s="662" t="s">
        <v>552</v>
      </c>
      <c r="H11" s="662" t="s">
        <v>577</v>
      </c>
      <c r="I11" s="662" t="s">
        <v>578</v>
      </c>
      <c r="J11" s="662" t="s">
        <v>579</v>
      </c>
      <c r="K11" s="662" t="s">
        <v>580</v>
      </c>
      <c r="L11" s="664">
        <v>97.09999999999998</v>
      </c>
      <c r="M11" s="664">
        <v>1</v>
      </c>
      <c r="N11" s="665">
        <v>97.09999999999998</v>
      </c>
    </row>
    <row r="12" spans="1:14" ht="14.4" customHeight="1" x14ac:dyDescent="0.3">
      <c r="A12" s="660" t="s">
        <v>529</v>
      </c>
      <c r="B12" s="661" t="s">
        <v>530</v>
      </c>
      <c r="C12" s="662" t="s">
        <v>534</v>
      </c>
      <c r="D12" s="663" t="s">
        <v>748</v>
      </c>
      <c r="E12" s="662" t="s">
        <v>551</v>
      </c>
      <c r="F12" s="663" t="s">
        <v>753</v>
      </c>
      <c r="G12" s="662" t="s">
        <v>552</v>
      </c>
      <c r="H12" s="662" t="s">
        <v>581</v>
      </c>
      <c r="I12" s="662" t="s">
        <v>582</v>
      </c>
      <c r="J12" s="662" t="s">
        <v>583</v>
      </c>
      <c r="K12" s="662" t="s">
        <v>584</v>
      </c>
      <c r="L12" s="664">
        <v>26.850045295644104</v>
      </c>
      <c r="M12" s="664">
        <v>3</v>
      </c>
      <c r="N12" s="665">
        <v>80.55013588693231</v>
      </c>
    </row>
    <row r="13" spans="1:14" ht="14.4" customHeight="1" x14ac:dyDescent="0.3">
      <c r="A13" s="660" t="s">
        <v>529</v>
      </c>
      <c r="B13" s="661" t="s">
        <v>530</v>
      </c>
      <c r="C13" s="662" t="s">
        <v>534</v>
      </c>
      <c r="D13" s="663" t="s">
        <v>748</v>
      </c>
      <c r="E13" s="662" t="s">
        <v>551</v>
      </c>
      <c r="F13" s="663" t="s">
        <v>753</v>
      </c>
      <c r="G13" s="662" t="s">
        <v>552</v>
      </c>
      <c r="H13" s="662" t="s">
        <v>585</v>
      </c>
      <c r="I13" s="662" t="s">
        <v>586</v>
      </c>
      <c r="J13" s="662" t="s">
        <v>587</v>
      </c>
      <c r="K13" s="662" t="s">
        <v>588</v>
      </c>
      <c r="L13" s="664">
        <v>33.189981413638662</v>
      </c>
      <c r="M13" s="664">
        <v>1</v>
      </c>
      <c r="N13" s="665">
        <v>33.189981413638662</v>
      </c>
    </row>
    <row r="14" spans="1:14" ht="14.4" customHeight="1" x14ac:dyDescent="0.3">
      <c r="A14" s="660" t="s">
        <v>529</v>
      </c>
      <c r="B14" s="661" t="s">
        <v>530</v>
      </c>
      <c r="C14" s="662" t="s">
        <v>534</v>
      </c>
      <c r="D14" s="663" t="s">
        <v>748</v>
      </c>
      <c r="E14" s="662" t="s">
        <v>551</v>
      </c>
      <c r="F14" s="663" t="s">
        <v>753</v>
      </c>
      <c r="G14" s="662" t="s">
        <v>552</v>
      </c>
      <c r="H14" s="662" t="s">
        <v>589</v>
      </c>
      <c r="I14" s="662" t="s">
        <v>590</v>
      </c>
      <c r="J14" s="662" t="s">
        <v>591</v>
      </c>
      <c r="K14" s="662" t="s">
        <v>592</v>
      </c>
      <c r="L14" s="664">
        <v>59.879999999999988</v>
      </c>
      <c r="M14" s="664">
        <v>1</v>
      </c>
      <c r="N14" s="665">
        <v>59.879999999999988</v>
      </c>
    </row>
    <row r="15" spans="1:14" ht="14.4" customHeight="1" x14ac:dyDescent="0.3">
      <c r="A15" s="660" t="s">
        <v>529</v>
      </c>
      <c r="B15" s="661" t="s">
        <v>530</v>
      </c>
      <c r="C15" s="662" t="s">
        <v>534</v>
      </c>
      <c r="D15" s="663" t="s">
        <v>748</v>
      </c>
      <c r="E15" s="662" t="s">
        <v>551</v>
      </c>
      <c r="F15" s="663" t="s">
        <v>753</v>
      </c>
      <c r="G15" s="662" t="s">
        <v>552</v>
      </c>
      <c r="H15" s="662" t="s">
        <v>593</v>
      </c>
      <c r="I15" s="662" t="s">
        <v>216</v>
      </c>
      <c r="J15" s="662" t="s">
        <v>594</v>
      </c>
      <c r="K15" s="662"/>
      <c r="L15" s="664">
        <v>44.719999999999985</v>
      </c>
      <c r="M15" s="664">
        <v>1</v>
      </c>
      <c r="N15" s="665">
        <v>44.719999999999985</v>
      </c>
    </row>
    <row r="16" spans="1:14" ht="14.4" customHeight="1" x14ac:dyDescent="0.3">
      <c r="A16" s="660" t="s">
        <v>529</v>
      </c>
      <c r="B16" s="661" t="s">
        <v>530</v>
      </c>
      <c r="C16" s="662" t="s">
        <v>534</v>
      </c>
      <c r="D16" s="663" t="s">
        <v>748</v>
      </c>
      <c r="E16" s="662" t="s">
        <v>551</v>
      </c>
      <c r="F16" s="663" t="s">
        <v>753</v>
      </c>
      <c r="G16" s="662" t="s">
        <v>552</v>
      </c>
      <c r="H16" s="662" t="s">
        <v>595</v>
      </c>
      <c r="I16" s="662" t="s">
        <v>596</v>
      </c>
      <c r="J16" s="662" t="s">
        <v>597</v>
      </c>
      <c r="K16" s="662" t="s">
        <v>598</v>
      </c>
      <c r="L16" s="664">
        <v>28.670000000000005</v>
      </c>
      <c r="M16" s="664">
        <v>1</v>
      </c>
      <c r="N16" s="665">
        <v>28.670000000000005</v>
      </c>
    </row>
    <row r="17" spans="1:14" ht="14.4" customHeight="1" x14ac:dyDescent="0.3">
      <c r="A17" s="660" t="s">
        <v>529</v>
      </c>
      <c r="B17" s="661" t="s">
        <v>530</v>
      </c>
      <c r="C17" s="662" t="s">
        <v>534</v>
      </c>
      <c r="D17" s="663" t="s">
        <v>748</v>
      </c>
      <c r="E17" s="662" t="s">
        <v>551</v>
      </c>
      <c r="F17" s="663" t="s">
        <v>753</v>
      </c>
      <c r="G17" s="662" t="s">
        <v>552</v>
      </c>
      <c r="H17" s="662" t="s">
        <v>599</v>
      </c>
      <c r="I17" s="662" t="s">
        <v>600</v>
      </c>
      <c r="J17" s="662" t="s">
        <v>601</v>
      </c>
      <c r="K17" s="662" t="s">
        <v>602</v>
      </c>
      <c r="L17" s="664">
        <v>122.96799999999996</v>
      </c>
      <c r="M17" s="664">
        <v>5</v>
      </c>
      <c r="N17" s="665">
        <v>614.8399999999998</v>
      </c>
    </row>
    <row r="18" spans="1:14" ht="14.4" customHeight="1" x14ac:dyDescent="0.3">
      <c r="A18" s="660" t="s">
        <v>529</v>
      </c>
      <c r="B18" s="661" t="s">
        <v>530</v>
      </c>
      <c r="C18" s="662" t="s">
        <v>534</v>
      </c>
      <c r="D18" s="663" t="s">
        <v>748</v>
      </c>
      <c r="E18" s="662" t="s">
        <v>551</v>
      </c>
      <c r="F18" s="663" t="s">
        <v>753</v>
      </c>
      <c r="G18" s="662" t="s">
        <v>552</v>
      </c>
      <c r="H18" s="662" t="s">
        <v>603</v>
      </c>
      <c r="I18" s="662" t="s">
        <v>604</v>
      </c>
      <c r="J18" s="662" t="s">
        <v>605</v>
      </c>
      <c r="K18" s="662"/>
      <c r="L18" s="664">
        <v>79.040000000000006</v>
      </c>
      <c r="M18" s="664">
        <v>4</v>
      </c>
      <c r="N18" s="665">
        <v>316.16000000000003</v>
      </c>
    </row>
    <row r="19" spans="1:14" ht="14.4" customHeight="1" x14ac:dyDescent="0.3">
      <c r="A19" s="660" t="s">
        <v>529</v>
      </c>
      <c r="B19" s="661" t="s">
        <v>530</v>
      </c>
      <c r="C19" s="662" t="s">
        <v>534</v>
      </c>
      <c r="D19" s="663" t="s">
        <v>748</v>
      </c>
      <c r="E19" s="662" t="s">
        <v>551</v>
      </c>
      <c r="F19" s="663" t="s">
        <v>753</v>
      </c>
      <c r="G19" s="662" t="s">
        <v>552</v>
      </c>
      <c r="H19" s="662" t="s">
        <v>606</v>
      </c>
      <c r="I19" s="662" t="s">
        <v>607</v>
      </c>
      <c r="J19" s="662" t="s">
        <v>608</v>
      </c>
      <c r="K19" s="662" t="s">
        <v>609</v>
      </c>
      <c r="L19" s="664">
        <v>64.460000000000008</v>
      </c>
      <c r="M19" s="664">
        <v>2</v>
      </c>
      <c r="N19" s="665">
        <v>128.92000000000002</v>
      </c>
    </row>
    <row r="20" spans="1:14" ht="14.4" customHeight="1" x14ac:dyDescent="0.3">
      <c r="A20" s="660" t="s">
        <v>529</v>
      </c>
      <c r="B20" s="661" t="s">
        <v>530</v>
      </c>
      <c r="C20" s="662" t="s">
        <v>534</v>
      </c>
      <c r="D20" s="663" t="s">
        <v>748</v>
      </c>
      <c r="E20" s="662" t="s">
        <v>551</v>
      </c>
      <c r="F20" s="663" t="s">
        <v>753</v>
      </c>
      <c r="G20" s="662" t="s">
        <v>552</v>
      </c>
      <c r="H20" s="662" t="s">
        <v>610</v>
      </c>
      <c r="I20" s="662" t="s">
        <v>611</v>
      </c>
      <c r="J20" s="662" t="s">
        <v>612</v>
      </c>
      <c r="K20" s="662" t="s">
        <v>613</v>
      </c>
      <c r="L20" s="664">
        <v>51.665000000000006</v>
      </c>
      <c r="M20" s="664">
        <v>2</v>
      </c>
      <c r="N20" s="665">
        <v>103.33000000000001</v>
      </c>
    </row>
    <row r="21" spans="1:14" ht="14.4" customHeight="1" x14ac:dyDescent="0.3">
      <c r="A21" s="660" t="s">
        <v>529</v>
      </c>
      <c r="B21" s="661" t="s">
        <v>530</v>
      </c>
      <c r="C21" s="662" t="s">
        <v>534</v>
      </c>
      <c r="D21" s="663" t="s">
        <v>748</v>
      </c>
      <c r="E21" s="662" t="s">
        <v>551</v>
      </c>
      <c r="F21" s="663" t="s">
        <v>753</v>
      </c>
      <c r="G21" s="662" t="s">
        <v>552</v>
      </c>
      <c r="H21" s="662" t="s">
        <v>614</v>
      </c>
      <c r="I21" s="662" t="s">
        <v>615</v>
      </c>
      <c r="J21" s="662" t="s">
        <v>616</v>
      </c>
      <c r="K21" s="662" t="s">
        <v>617</v>
      </c>
      <c r="L21" s="664">
        <v>85.655000000000001</v>
      </c>
      <c r="M21" s="664">
        <v>4</v>
      </c>
      <c r="N21" s="665">
        <v>342.62</v>
      </c>
    </row>
    <row r="22" spans="1:14" ht="14.4" customHeight="1" x14ac:dyDescent="0.3">
      <c r="A22" s="660" t="s">
        <v>529</v>
      </c>
      <c r="B22" s="661" t="s">
        <v>530</v>
      </c>
      <c r="C22" s="662" t="s">
        <v>534</v>
      </c>
      <c r="D22" s="663" t="s">
        <v>748</v>
      </c>
      <c r="E22" s="662" t="s">
        <v>551</v>
      </c>
      <c r="F22" s="663" t="s">
        <v>753</v>
      </c>
      <c r="G22" s="662" t="s">
        <v>552</v>
      </c>
      <c r="H22" s="662" t="s">
        <v>618</v>
      </c>
      <c r="I22" s="662" t="s">
        <v>619</v>
      </c>
      <c r="J22" s="662" t="s">
        <v>620</v>
      </c>
      <c r="K22" s="662" t="s">
        <v>621</v>
      </c>
      <c r="L22" s="664">
        <v>131.51467827022077</v>
      </c>
      <c r="M22" s="664">
        <v>2</v>
      </c>
      <c r="N22" s="665">
        <v>263.02935654044154</v>
      </c>
    </row>
    <row r="23" spans="1:14" ht="14.4" customHeight="1" x14ac:dyDescent="0.3">
      <c r="A23" s="660" t="s">
        <v>529</v>
      </c>
      <c r="B23" s="661" t="s">
        <v>530</v>
      </c>
      <c r="C23" s="662" t="s">
        <v>534</v>
      </c>
      <c r="D23" s="663" t="s">
        <v>748</v>
      </c>
      <c r="E23" s="662" t="s">
        <v>551</v>
      </c>
      <c r="F23" s="663" t="s">
        <v>753</v>
      </c>
      <c r="G23" s="662" t="s">
        <v>552</v>
      </c>
      <c r="H23" s="662" t="s">
        <v>622</v>
      </c>
      <c r="I23" s="662" t="s">
        <v>622</v>
      </c>
      <c r="J23" s="662" t="s">
        <v>623</v>
      </c>
      <c r="K23" s="662" t="s">
        <v>624</v>
      </c>
      <c r="L23" s="664">
        <v>96.28</v>
      </c>
      <c r="M23" s="664">
        <v>1</v>
      </c>
      <c r="N23" s="665">
        <v>96.28</v>
      </c>
    </row>
    <row r="24" spans="1:14" ht="14.4" customHeight="1" x14ac:dyDescent="0.3">
      <c r="A24" s="660" t="s">
        <v>529</v>
      </c>
      <c r="B24" s="661" t="s">
        <v>530</v>
      </c>
      <c r="C24" s="662" t="s">
        <v>534</v>
      </c>
      <c r="D24" s="663" t="s">
        <v>748</v>
      </c>
      <c r="E24" s="662" t="s">
        <v>551</v>
      </c>
      <c r="F24" s="663" t="s">
        <v>753</v>
      </c>
      <c r="G24" s="662" t="s">
        <v>625</v>
      </c>
      <c r="H24" s="662" t="s">
        <v>626</v>
      </c>
      <c r="I24" s="662" t="s">
        <v>627</v>
      </c>
      <c r="J24" s="662" t="s">
        <v>628</v>
      </c>
      <c r="K24" s="662" t="s">
        <v>629</v>
      </c>
      <c r="L24" s="664">
        <v>106.86432827016711</v>
      </c>
      <c r="M24" s="664">
        <v>2</v>
      </c>
      <c r="N24" s="665">
        <v>213.72865654033421</v>
      </c>
    </row>
    <row r="25" spans="1:14" ht="14.4" customHeight="1" x14ac:dyDescent="0.3">
      <c r="A25" s="660" t="s">
        <v>529</v>
      </c>
      <c r="B25" s="661" t="s">
        <v>530</v>
      </c>
      <c r="C25" s="662" t="s">
        <v>534</v>
      </c>
      <c r="D25" s="663" t="s">
        <v>748</v>
      </c>
      <c r="E25" s="662" t="s">
        <v>551</v>
      </c>
      <c r="F25" s="663" t="s">
        <v>753</v>
      </c>
      <c r="G25" s="662" t="s">
        <v>625</v>
      </c>
      <c r="H25" s="662" t="s">
        <v>630</v>
      </c>
      <c r="I25" s="662" t="s">
        <v>631</v>
      </c>
      <c r="J25" s="662" t="s">
        <v>632</v>
      </c>
      <c r="K25" s="662" t="s">
        <v>633</v>
      </c>
      <c r="L25" s="664">
        <v>60.21999999999997</v>
      </c>
      <c r="M25" s="664">
        <v>3</v>
      </c>
      <c r="N25" s="665">
        <v>180.65999999999991</v>
      </c>
    </row>
    <row r="26" spans="1:14" ht="14.4" customHeight="1" x14ac:dyDescent="0.3">
      <c r="A26" s="660" t="s">
        <v>529</v>
      </c>
      <c r="B26" s="661" t="s">
        <v>530</v>
      </c>
      <c r="C26" s="662" t="s">
        <v>534</v>
      </c>
      <c r="D26" s="663" t="s">
        <v>748</v>
      </c>
      <c r="E26" s="662" t="s">
        <v>551</v>
      </c>
      <c r="F26" s="663" t="s">
        <v>753</v>
      </c>
      <c r="G26" s="662" t="s">
        <v>625</v>
      </c>
      <c r="H26" s="662" t="s">
        <v>634</v>
      </c>
      <c r="I26" s="662" t="s">
        <v>635</v>
      </c>
      <c r="J26" s="662" t="s">
        <v>636</v>
      </c>
      <c r="K26" s="662" t="s">
        <v>637</v>
      </c>
      <c r="L26" s="664">
        <v>64.608652870809323</v>
      </c>
      <c r="M26" s="664">
        <v>1</v>
      </c>
      <c r="N26" s="665">
        <v>64.608652870809323</v>
      </c>
    </row>
    <row r="27" spans="1:14" ht="14.4" customHeight="1" x14ac:dyDescent="0.3">
      <c r="A27" s="660" t="s">
        <v>529</v>
      </c>
      <c r="B27" s="661" t="s">
        <v>530</v>
      </c>
      <c r="C27" s="662" t="s">
        <v>534</v>
      </c>
      <c r="D27" s="663" t="s">
        <v>748</v>
      </c>
      <c r="E27" s="662" t="s">
        <v>551</v>
      </c>
      <c r="F27" s="663" t="s">
        <v>753</v>
      </c>
      <c r="G27" s="662" t="s">
        <v>625</v>
      </c>
      <c r="H27" s="662" t="s">
        <v>638</v>
      </c>
      <c r="I27" s="662" t="s">
        <v>638</v>
      </c>
      <c r="J27" s="662" t="s">
        <v>639</v>
      </c>
      <c r="K27" s="662" t="s">
        <v>640</v>
      </c>
      <c r="L27" s="664">
        <v>48.413333333333334</v>
      </c>
      <c r="M27" s="664">
        <v>3</v>
      </c>
      <c r="N27" s="665">
        <v>145.24</v>
      </c>
    </row>
    <row r="28" spans="1:14" ht="14.4" customHeight="1" x14ac:dyDescent="0.3">
      <c r="A28" s="660" t="s">
        <v>529</v>
      </c>
      <c r="B28" s="661" t="s">
        <v>530</v>
      </c>
      <c r="C28" s="662" t="s">
        <v>534</v>
      </c>
      <c r="D28" s="663" t="s">
        <v>748</v>
      </c>
      <c r="E28" s="662" t="s">
        <v>551</v>
      </c>
      <c r="F28" s="663" t="s">
        <v>753</v>
      </c>
      <c r="G28" s="662" t="s">
        <v>625</v>
      </c>
      <c r="H28" s="662" t="s">
        <v>641</v>
      </c>
      <c r="I28" s="662" t="s">
        <v>641</v>
      </c>
      <c r="J28" s="662" t="s">
        <v>642</v>
      </c>
      <c r="K28" s="662" t="s">
        <v>643</v>
      </c>
      <c r="L28" s="664">
        <v>82.57999999999997</v>
      </c>
      <c r="M28" s="664">
        <v>1</v>
      </c>
      <c r="N28" s="665">
        <v>82.57999999999997</v>
      </c>
    </row>
    <row r="29" spans="1:14" ht="14.4" customHeight="1" x14ac:dyDescent="0.3">
      <c r="A29" s="660" t="s">
        <v>529</v>
      </c>
      <c r="B29" s="661" t="s">
        <v>530</v>
      </c>
      <c r="C29" s="662" t="s">
        <v>539</v>
      </c>
      <c r="D29" s="663" t="s">
        <v>749</v>
      </c>
      <c r="E29" s="662" t="s">
        <v>551</v>
      </c>
      <c r="F29" s="663" t="s">
        <v>753</v>
      </c>
      <c r="G29" s="662" t="s">
        <v>552</v>
      </c>
      <c r="H29" s="662" t="s">
        <v>644</v>
      </c>
      <c r="I29" s="662" t="s">
        <v>644</v>
      </c>
      <c r="J29" s="662" t="s">
        <v>645</v>
      </c>
      <c r="K29" s="662" t="s">
        <v>646</v>
      </c>
      <c r="L29" s="664">
        <v>171.59999999999997</v>
      </c>
      <c r="M29" s="664">
        <v>2</v>
      </c>
      <c r="N29" s="665">
        <v>343.19999999999993</v>
      </c>
    </row>
    <row r="30" spans="1:14" ht="14.4" customHeight="1" x14ac:dyDescent="0.3">
      <c r="A30" s="660" t="s">
        <v>529</v>
      </c>
      <c r="B30" s="661" t="s">
        <v>530</v>
      </c>
      <c r="C30" s="662" t="s">
        <v>539</v>
      </c>
      <c r="D30" s="663" t="s">
        <v>749</v>
      </c>
      <c r="E30" s="662" t="s">
        <v>551</v>
      </c>
      <c r="F30" s="663" t="s">
        <v>753</v>
      </c>
      <c r="G30" s="662" t="s">
        <v>552</v>
      </c>
      <c r="H30" s="662" t="s">
        <v>647</v>
      </c>
      <c r="I30" s="662" t="s">
        <v>647</v>
      </c>
      <c r="J30" s="662" t="s">
        <v>645</v>
      </c>
      <c r="K30" s="662" t="s">
        <v>648</v>
      </c>
      <c r="L30" s="664">
        <v>92.949999999999989</v>
      </c>
      <c r="M30" s="664">
        <v>2</v>
      </c>
      <c r="N30" s="665">
        <v>185.89999999999998</v>
      </c>
    </row>
    <row r="31" spans="1:14" ht="14.4" customHeight="1" x14ac:dyDescent="0.3">
      <c r="A31" s="660" t="s">
        <v>529</v>
      </c>
      <c r="B31" s="661" t="s">
        <v>530</v>
      </c>
      <c r="C31" s="662" t="s">
        <v>539</v>
      </c>
      <c r="D31" s="663" t="s">
        <v>749</v>
      </c>
      <c r="E31" s="662" t="s">
        <v>551</v>
      </c>
      <c r="F31" s="663" t="s">
        <v>753</v>
      </c>
      <c r="G31" s="662" t="s">
        <v>552</v>
      </c>
      <c r="H31" s="662" t="s">
        <v>553</v>
      </c>
      <c r="I31" s="662" t="s">
        <v>554</v>
      </c>
      <c r="J31" s="662" t="s">
        <v>555</v>
      </c>
      <c r="K31" s="662" t="s">
        <v>556</v>
      </c>
      <c r="L31" s="664">
        <v>87.029498719095002</v>
      </c>
      <c r="M31" s="664">
        <v>2</v>
      </c>
      <c r="N31" s="665">
        <v>174.05899743819</v>
      </c>
    </row>
    <row r="32" spans="1:14" ht="14.4" customHeight="1" x14ac:dyDescent="0.3">
      <c r="A32" s="660" t="s">
        <v>529</v>
      </c>
      <c r="B32" s="661" t="s">
        <v>530</v>
      </c>
      <c r="C32" s="662" t="s">
        <v>539</v>
      </c>
      <c r="D32" s="663" t="s">
        <v>749</v>
      </c>
      <c r="E32" s="662" t="s">
        <v>551</v>
      </c>
      <c r="F32" s="663" t="s">
        <v>753</v>
      </c>
      <c r="G32" s="662" t="s">
        <v>552</v>
      </c>
      <c r="H32" s="662" t="s">
        <v>649</v>
      </c>
      <c r="I32" s="662" t="s">
        <v>650</v>
      </c>
      <c r="J32" s="662" t="s">
        <v>651</v>
      </c>
      <c r="K32" s="662" t="s">
        <v>652</v>
      </c>
      <c r="L32" s="664">
        <v>96.819497447522764</v>
      </c>
      <c r="M32" s="664">
        <v>1</v>
      </c>
      <c r="N32" s="665">
        <v>96.819497447522764</v>
      </c>
    </row>
    <row r="33" spans="1:14" ht="14.4" customHeight="1" x14ac:dyDescent="0.3">
      <c r="A33" s="660" t="s">
        <v>529</v>
      </c>
      <c r="B33" s="661" t="s">
        <v>530</v>
      </c>
      <c r="C33" s="662" t="s">
        <v>539</v>
      </c>
      <c r="D33" s="663" t="s">
        <v>749</v>
      </c>
      <c r="E33" s="662" t="s">
        <v>551</v>
      </c>
      <c r="F33" s="663" t="s">
        <v>753</v>
      </c>
      <c r="G33" s="662" t="s">
        <v>552</v>
      </c>
      <c r="H33" s="662" t="s">
        <v>653</v>
      </c>
      <c r="I33" s="662" t="s">
        <v>654</v>
      </c>
      <c r="J33" s="662" t="s">
        <v>655</v>
      </c>
      <c r="K33" s="662" t="s">
        <v>656</v>
      </c>
      <c r="L33" s="664">
        <v>98.971239881798994</v>
      </c>
      <c r="M33" s="664">
        <v>20</v>
      </c>
      <c r="N33" s="665">
        <v>1979.4247976359798</v>
      </c>
    </row>
    <row r="34" spans="1:14" ht="14.4" customHeight="1" x14ac:dyDescent="0.3">
      <c r="A34" s="660" t="s">
        <v>529</v>
      </c>
      <c r="B34" s="661" t="s">
        <v>530</v>
      </c>
      <c r="C34" s="662" t="s">
        <v>539</v>
      </c>
      <c r="D34" s="663" t="s">
        <v>749</v>
      </c>
      <c r="E34" s="662" t="s">
        <v>551</v>
      </c>
      <c r="F34" s="663" t="s">
        <v>753</v>
      </c>
      <c r="G34" s="662" t="s">
        <v>552</v>
      </c>
      <c r="H34" s="662" t="s">
        <v>657</v>
      </c>
      <c r="I34" s="662" t="s">
        <v>658</v>
      </c>
      <c r="J34" s="662" t="s">
        <v>659</v>
      </c>
      <c r="K34" s="662" t="s">
        <v>660</v>
      </c>
      <c r="L34" s="664">
        <v>27.75</v>
      </c>
      <c r="M34" s="664">
        <v>20</v>
      </c>
      <c r="N34" s="665">
        <v>555</v>
      </c>
    </row>
    <row r="35" spans="1:14" ht="14.4" customHeight="1" x14ac:dyDescent="0.3">
      <c r="A35" s="660" t="s">
        <v>529</v>
      </c>
      <c r="B35" s="661" t="s">
        <v>530</v>
      </c>
      <c r="C35" s="662" t="s">
        <v>539</v>
      </c>
      <c r="D35" s="663" t="s">
        <v>749</v>
      </c>
      <c r="E35" s="662" t="s">
        <v>551</v>
      </c>
      <c r="F35" s="663" t="s">
        <v>753</v>
      </c>
      <c r="G35" s="662" t="s">
        <v>552</v>
      </c>
      <c r="H35" s="662" t="s">
        <v>661</v>
      </c>
      <c r="I35" s="662" t="s">
        <v>662</v>
      </c>
      <c r="J35" s="662" t="s">
        <v>663</v>
      </c>
      <c r="K35" s="662" t="s">
        <v>556</v>
      </c>
      <c r="L35" s="664">
        <v>123.94000000000003</v>
      </c>
      <c r="M35" s="664">
        <v>1</v>
      </c>
      <c r="N35" s="665">
        <v>123.94000000000003</v>
      </c>
    </row>
    <row r="36" spans="1:14" ht="14.4" customHeight="1" x14ac:dyDescent="0.3">
      <c r="A36" s="660" t="s">
        <v>529</v>
      </c>
      <c r="B36" s="661" t="s">
        <v>530</v>
      </c>
      <c r="C36" s="662" t="s">
        <v>539</v>
      </c>
      <c r="D36" s="663" t="s">
        <v>749</v>
      </c>
      <c r="E36" s="662" t="s">
        <v>551</v>
      </c>
      <c r="F36" s="663" t="s">
        <v>753</v>
      </c>
      <c r="G36" s="662" t="s">
        <v>552</v>
      </c>
      <c r="H36" s="662" t="s">
        <v>664</v>
      </c>
      <c r="I36" s="662" t="s">
        <v>665</v>
      </c>
      <c r="J36" s="662" t="s">
        <v>666</v>
      </c>
      <c r="K36" s="662" t="s">
        <v>667</v>
      </c>
      <c r="L36" s="664">
        <v>359.38000000000005</v>
      </c>
      <c r="M36" s="664">
        <v>1</v>
      </c>
      <c r="N36" s="665">
        <v>359.38000000000005</v>
      </c>
    </row>
    <row r="37" spans="1:14" ht="14.4" customHeight="1" x14ac:dyDescent="0.3">
      <c r="A37" s="660" t="s">
        <v>529</v>
      </c>
      <c r="B37" s="661" t="s">
        <v>530</v>
      </c>
      <c r="C37" s="662" t="s">
        <v>539</v>
      </c>
      <c r="D37" s="663" t="s">
        <v>749</v>
      </c>
      <c r="E37" s="662" t="s">
        <v>551</v>
      </c>
      <c r="F37" s="663" t="s">
        <v>753</v>
      </c>
      <c r="G37" s="662" t="s">
        <v>552</v>
      </c>
      <c r="H37" s="662" t="s">
        <v>668</v>
      </c>
      <c r="I37" s="662" t="s">
        <v>669</v>
      </c>
      <c r="J37" s="662" t="s">
        <v>670</v>
      </c>
      <c r="K37" s="662" t="s">
        <v>671</v>
      </c>
      <c r="L37" s="664">
        <v>52.17</v>
      </c>
      <c r="M37" s="664">
        <v>1</v>
      </c>
      <c r="N37" s="665">
        <v>52.17</v>
      </c>
    </row>
    <row r="38" spans="1:14" ht="14.4" customHeight="1" x14ac:dyDescent="0.3">
      <c r="A38" s="660" t="s">
        <v>529</v>
      </c>
      <c r="B38" s="661" t="s">
        <v>530</v>
      </c>
      <c r="C38" s="662" t="s">
        <v>539</v>
      </c>
      <c r="D38" s="663" t="s">
        <v>749</v>
      </c>
      <c r="E38" s="662" t="s">
        <v>551</v>
      </c>
      <c r="F38" s="663" t="s">
        <v>753</v>
      </c>
      <c r="G38" s="662" t="s">
        <v>552</v>
      </c>
      <c r="H38" s="662" t="s">
        <v>585</v>
      </c>
      <c r="I38" s="662" t="s">
        <v>586</v>
      </c>
      <c r="J38" s="662" t="s">
        <v>587</v>
      </c>
      <c r="K38" s="662" t="s">
        <v>588</v>
      </c>
      <c r="L38" s="664">
        <v>33.119999999999997</v>
      </c>
      <c r="M38" s="664">
        <v>1</v>
      </c>
      <c r="N38" s="665">
        <v>33.119999999999997</v>
      </c>
    </row>
    <row r="39" spans="1:14" ht="14.4" customHeight="1" x14ac:dyDescent="0.3">
      <c r="A39" s="660" t="s">
        <v>529</v>
      </c>
      <c r="B39" s="661" t="s">
        <v>530</v>
      </c>
      <c r="C39" s="662" t="s">
        <v>539</v>
      </c>
      <c r="D39" s="663" t="s">
        <v>749</v>
      </c>
      <c r="E39" s="662" t="s">
        <v>551</v>
      </c>
      <c r="F39" s="663" t="s">
        <v>753</v>
      </c>
      <c r="G39" s="662" t="s">
        <v>552</v>
      </c>
      <c r="H39" s="662" t="s">
        <v>672</v>
      </c>
      <c r="I39" s="662" t="s">
        <v>673</v>
      </c>
      <c r="J39" s="662" t="s">
        <v>674</v>
      </c>
      <c r="K39" s="662" t="s">
        <v>675</v>
      </c>
      <c r="L39" s="664">
        <v>79.880000000000067</v>
      </c>
      <c r="M39" s="664">
        <v>1</v>
      </c>
      <c r="N39" s="665">
        <v>79.880000000000067</v>
      </c>
    </row>
    <row r="40" spans="1:14" ht="14.4" customHeight="1" x14ac:dyDescent="0.3">
      <c r="A40" s="660" t="s">
        <v>529</v>
      </c>
      <c r="B40" s="661" t="s">
        <v>530</v>
      </c>
      <c r="C40" s="662" t="s">
        <v>539</v>
      </c>
      <c r="D40" s="663" t="s">
        <v>749</v>
      </c>
      <c r="E40" s="662" t="s">
        <v>551</v>
      </c>
      <c r="F40" s="663" t="s">
        <v>753</v>
      </c>
      <c r="G40" s="662" t="s">
        <v>552</v>
      </c>
      <c r="H40" s="662" t="s">
        <v>676</v>
      </c>
      <c r="I40" s="662" t="s">
        <v>216</v>
      </c>
      <c r="J40" s="662" t="s">
        <v>677</v>
      </c>
      <c r="K40" s="662"/>
      <c r="L40" s="664">
        <v>76.603451195887956</v>
      </c>
      <c r="M40" s="664">
        <v>3</v>
      </c>
      <c r="N40" s="665">
        <v>229.81035358766388</v>
      </c>
    </row>
    <row r="41" spans="1:14" ht="14.4" customHeight="1" x14ac:dyDescent="0.3">
      <c r="A41" s="660" t="s">
        <v>529</v>
      </c>
      <c r="B41" s="661" t="s">
        <v>530</v>
      </c>
      <c r="C41" s="662" t="s">
        <v>539</v>
      </c>
      <c r="D41" s="663" t="s">
        <v>749</v>
      </c>
      <c r="E41" s="662" t="s">
        <v>551</v>
      </c>
      <c r="F41" s="663" t="s">
        <v>753</v>
      </c>
      <c r="G41" s="662" t="s">
        <v>552</v>
      </c>
      <c r="H41" s="662" t="s">
        <v>678</v>
      </c>
      <c r="I41" s="662" t="s">
        <v>679</v>
      </c>
      <c r="J41" s="662" t="s">
        <v>680</v>
      </c>
      <c r="K41" s="662" t="s">
        <v>681</v>
      </c>
      <c r="L41" s="664">
        <v>31.860000000000003</v>
      </c>
      <c r="M41" s="664">
        <v>1</v>
      </c>
      <c r="N41" s="665">
        <v>31.860000000000003</v>
      </c>
    </row>
    <row r="42" spans="1:14" ht="14.4" customHeight="1" x14ac:dyDescent="0.3">
      <c r="A42" s="660" t="s">
        <v>529</v>
      </c>
      <c r="B42" s="661" t="s">
        <v>530</v>
      </c>
      <c r="C42" s="662" t="s">
        <v>539</v>
      </c>
      <c r="D42" s="663" t="s">
        <v>749</v>
      </c>
      <c r="E42" s="662" t="s">
        <v>551</v>
      </c>
      <c r="F42" s="663" t="s">
        <v>753</v>
      </c>
      <c r="G42" s="662" t="s">
        <v>625</v>
      </c>
      <c r="H42" s="662" t="s">
        <v>682</v>
      </c>
      <c r="I42" s="662" t="s">
        <v>683</v>
      </c>
      <c r="J42" s="662" t="s">
        <v>684</v>
      </c>
      <c r="K42" s="662" t="s">
        <v>685</v>
      </c>
      <c r="L42" s="664">
        <v>50.61</v>
      </c>
      <c r="M42" s="664">
        <v>1</v>
      </c>
      <c r="N42" s="665">
        <v>50.61</v>
      </c>
    </row>
    <row r="43" spans="1:14" ht="14.4" customHeight="1" x14ac:dyDescent="0.3">
      <c r="A43" s="660" t="s">
        <v>529</v>
      </c>
      <c r="B43" s="661" t="s">
        <v>530</v>
      </c>
      <c r="C43" s="662" t="s">
        <v>539</v>
      </c>
      <c r="D43" s="663" t="s">
        <v>749</v>
      </c>
      <c r="E43" s="662" t="s">
        <v>551</v>
      </c>
      <c r="F43" s="663" t="s">
        <v>753</v>
      </c>
      <c r="G43" s="662" t="s">
        <v>625</v>
      </c>
      <c r="H43" s="662" t="s">
        <v>686</v>
      </c>
      <c r="I43" s="662" t="s">
        <v>687</v>
      </c>
      <c r="J43" s="662" t="s">
        <v>688</v>
      </c>
      <c r="K43" s="662" t="s">
        <v>689</v>
      </c>
      <c r="L43" s="664">
        <v>133.60005890451458</v>
      </c>
      <c r="M43" s="664">
        <v>1</v>
      </c>
      <c r="N43" s="665">
        <v>133.60005890451458</v>
      </c>
    </row>
    <row r="44" spans="1:14" ht="14.4" customHeight="1" x14ac:dyDescent="0.3">
      <c r="A44" s="660" t="s">
        <v>529</v>
      </c>
      <c r="B44" s="661" t="s">
        <v>530</v>
      </c>
      <c r="C44" s="662" t="s">
        <v>539</v>
      </c>
      <c r="D44" s="663" t="s">
        <v>749</v>
      </c>
      <c r="E44" s="662" t="s">
        <v>690</v>
      </c>
      <c r="F44" s="663" t="s">
        <v>754</v>
      </c>
      <c r="G44" s="662" t="s">
        <v>552</v>
      </c>
      <c r="H44" s="662" t="s">
        <v>691</v>
      </c>
      <c r="I44" s="662" t="s">
        <v>691</v>
      </c>
      <c r="J44" s="662" t="s">
        <v>692</v>
      </c>
      <c r="K44" s="662" t="s">
        <v>693</v>
      </c>
      <c r="L44" s="664">
        <v>1914</v>
      </c>
      <c r="M44" s="664">
        <v>15</v>
      </c>
      <c r="N44" s="665">
        <v>28710</v>
      </c>
    </row>
    <row r="45" spans="1:14" ht="14.4" customHeight="1" x14ac:dyDescent="0.3">
      <c r="A45" s="660" t="s">
        <v>529</v>
      </c>
      <c r="B45" s="661" t="s">
        <v>530</v>
      </c>
      <c r="C45" s="662" t="s">
        <v>542</v>
      </c>
      <c r="D45" s="663" t="s">
        <v>750</v>
      </c>
      <c r="E45" s="662" t="s">
        <v>551</v>
      </c>
      <c r="F45" s="663" t="s">
        <v>753</v>
      </c>
      <c r="G45" s="662" t="s">
        <v>552</v>
      </c>
      <c r="H45" s="662" t="s">
        <v>694</v>
      </c>
      <c r="I45" s="662" t="s">
        <v>695</v>
      </c>
      <c r="J45" s="662" t="s">
        <v>696</v>
      </c>
      <c r="K45" s="662" t="s">
        <v>697</v>
      </c>
      <c r="L45" s="664">
        <v>48.77</v>
      </c>
      <c r="M45" s="664">
        <v>1</v>
      </c>
      <c r="N45" s="665">
        <v>48.77</v>
      </c>
    </row>
    <row r="46" spans="1:14" ht="14.4" customHeight="1" x14ac:dyDescent="0.3">
      <c r="A46" s="660" t="s">
        <v>529</v>
      </c>
      <c r="B46" s="661" t="s">
        <v>530</v>
      </c>
      <c r="C46" s="662" t="s">
        <v>545</v>
      </c>
      <c r="D46" s="663" t="s">
        <v>751</v>
      </c>
      <c r="E46" s="662" t="s">
        <v>551</v>
      </c>
      <c r="F46" s="663" t="s">
        <v>753</v>
      </c>
      <c r="G46" s="662" t="s">
        <v>552</v>
      </c>
      <c r="H46" s="662" t="s">
        <v>647</v>
      </c>
      <c r="I46" s="662" t="s">
        <v>647</v>
      </c>
      <c r="J46" s="662" t="s">
        <v>645</v>
      </c>
      <c r="K46" s="662" t="s">
        <v>648</v>
      </c>
      <c r="L46" s="664">
        <v>92.949999999999989</v>
      </c>
      <c r="M46" s="664">
        <v>5</v>
      </c>
      <c r="N46" s="665">
        <v>464.74999999999994</v>
      </c>
    </row>
    <row r="47" spans="1:14" ht="14.4" customHeight="1" x14ac:dyDescent="0.3">
      <c r="A47" s="660" t="s">
        <v>529</v>
      </c>
      <c r="B47" s="661" t="s">
        <v>530</v>
      </c>
      <c r="C47" s="662" t="s">
        <v>545</v>
      </c>
      <c r="D47" s="663" t="s">
        <v>751</v>
      </c>
      <c r="E47" s="662" t="s">
        <v>551</v>
      </c>
      <c r="F47" s="663" t="s">
        <v>753</v>
      </c>
      <c r="G47" s="662" t="s">
        <v>552</v>
      </c>
      <c r="H47" s="662" t="s">
        <v>698</v>
      </c>
      <c r="I47" s="662" t="s">
        <v>698</v>
      </c>
      <c r="J47" s="662" t="s">
        <v>645</v>
      </c>
      <c r="K47" s="662" t="s">
        <v>699</v>
      </c>
      <c r="L47" s="664">
        <v>95.624999999999972</v>
      </c>
      <c r="M47" s="664">
        <v>10</v>
      </c>
      <c r="N47" s="665">
        <v>956.24999999999977</v>
      </c>
    </row>
    <row r="48" spans="1:14" ht="14.4" customHeight="1" x14ac:dyDescent="0.3">
      <c r="A48" s="660" t="s">
        <v>529</v>
      </c>
      <c r="B48" s="661" t="s">
        <v>530</v>
      </c>
      <c r="C48" s="662" t="s">
        <v>545</v>
      </c>
      <c r="D48" s="663" t="s">
        <v>751</v>
      </c>
      <c r="E48" s="662" t="s">
        <v>551</v>
      </c>
      <c r="F48" s="663" t="s">
        <v>753</v>
      </c>
      <c r="G48" s="662" t="s">
        <v>552</v>
      </c>
      <c r="H48" s="662" t="s">
        <v>553</v>
      </c>
      <c r="I48" s="662" t="s">
        <v>554</v>
      </c>
      <c r="J48" s="662" t="s">
        <v>555</v>
      </c>
      <c r="K48" s="662" t="s">
        <v>556</v>
      </c>
      <c r="L48" s="664">
        <v>87.029749359547509</v>
      </c>
      <c r="M48" s="664">
        <v>2</v>
      </c>
      <c r="N48" s="665">
        <v>174.05949871909502</v>
      </c>
    </row>
    <row r="49" spans="1:14" ht="14.4" customHeight="1" x14ac:dyDescent="0.3">
      <c r="A49" s="660" t="s">
        <v>529</v>
      </c>
      <c r="B49" s="661" t="s">
        <v>530</v>
      </c>
      <c r="C49" s="662" t="s">
        <v>545</v>
      </c>
      <c r="D49" s="663" t="s">
        <v>751</v>
      </c>
      <c r="E49" s="662" t="s">
        <v>551</v>
      </c>
      <c r="F49" s="663" t="s">
        <v>753</v>
      </c>
      <c r="G49" s="662" t="s">
        <v>552</v>
      </c>
      <c r="H49" s="662" t="s">
        <v>653</v>
      </c>
      <c r="I49" s="662" t="s">
        <v>654</v>
      </c>
      <c r="J49" s="662" t="s">
        <v>655</v>
      </c>
      <c r="K49" s="662" t="s">
        <v>656</v>
      </c>
      <c r="L49" s="664">
        <v>100.35242251402353</v>
      </c>
      <c r="M49" s="664">
        <v>10</v>
      </c>
      <c r="N49" s="665">
        <v>1003.5242251402353</v>
      </c>
    </row>
    <row r="50" spans="1:14" ht="14.4" customHeight="1" x14ac:dyDescent="0.3">
      <c r="A50" s="660" t="s">
        <v>529</v>
      </c>
      <c r="B50" s="661" t="s">
        <v>530</v>
      </c>
      <c r="C50" s="662" t="s">
        <v>545</v>
      </c>
      <c r="D50" s="663" t="s">
        <v>751</v>
      </c>
      <c r="E50" s="662" t="s">
        <v>551</v>
      </c>
      <c r="F50" s="663" t="s">
        <v>753</v>
      </c>
      <c r="G50" s="662" t="s">
        <v>552</v>
      </c>
      <c r="H50" s="662" t="s">
        <v>700</v>
      </c>
      <c r="I50" s="662" t="s">
        <v>701</v>
      </c>
      <c r="J50" s="662" t="s">
        <v>702</v>
      </c>
      <c r="K50" s="662" t="s">
        <v>703</v>
      </c>
      <c r="L50" s="664">
        <v>375.79859055733738</v>
      </c>
      <c r="M50" s="664">
        <v>4</v>
      </c>
      <c r="N50" s="665">
        <v>1503.1943622293495</v>
      </c>
    </row>
    <row r="51" spans="1:14" ht="14.4" customHeight="1" x14ac:dyDescent="0.3">
      <c r="A51" s="660" t="s">
        <v>529</v>
      </c>
      <c r="B51" s="661" t="s">
        <v>530</v>
      </c>
      <c r="C51" s="662" t="s">
        <v>545</v>
      </c>
      <c r="D51" s="663" t="s">
        <v>751</v>
      </c>
      <c r="E51" s="662" t="s">
        <v>551</v>
      </c>
      <c r="F51" s="663" t="s">
        <v>753</v>
      </c>
      <c r="G51" s="662" t="s">
        <v>552</v>
      </c>
      <c r="H51" s="662" t="s">
        <v>704</v>
      </c>
      <c r="I51" s="662" t="s">
        <v>705</v>
      </c>
      <c r="J51" s="662" t="s">
        <v>706</v>
      </c>
      <c r="K51" s="662" t="s">
        <v>707</v>
      </c>
      <c r="L51" s="664">
        <v>118.18999999999998</v>
      </c>
      <c r="M51" s="664">
        <v>1</v>
      </c>
      <c r="N51" s="665">
        <v>118.18999999999998</v>
      </c>
    </row>
    <row r="52" spans="1:14" ht="14.4" customHeight="1" x14ac:dyDescent="0.3">
      <c r="A52" s="660" t="s">
        <v>529</v>
      </c>
      <c r="B52" s="661" t="s">
        <v>530</v>
      </c>
      <c r="C52" s="662" t="s">
        <v>545</v>
      </c>
      <c r="D52" s="663" t="s">
        <v>751</v>
      </c>
      <c r="E52" s="662" t="s">
        <v>551</v>
      </c>
      <c r="F52" s="663" t="s">
        <v>753</v>
      </c>
      <c r="G52" s="662" t="s">
        <v>552</v>
      </c>
      <c r="H52" s="662" t="s">
        <v>708</v>
      </c>
      <c r="I52" s="662" t="s">
        <v>708</v>
      </c>
      <c r="J52" s="662" t="s">
        <v>645</v>
      </c>
      <c r="K52" s="662" t="s">
        <v>709</v>
      </c>
      <c r="L52" s="664">
        <v>196.87503911346329</v>
      </c>
      <c r="M52" s="664">
        <v>10</v>
      </c>
      <c r="N52" s="665">
        <v>1968.7503911346328</v>
      </c>
    </row>
    <row r="53" spans="1:14" ht="14.4" customHeight="1" x14ac:dyDescent="0.3">
      <c r="A53" s="660" t="s">
        <v>529</v>
      </c>
      <c r="B53" s="661" t="s">
        <v>530</v>
      </c>
      <c r="C53" s="662" t="s">
        <v>545</v>
      </c>
      <c r="D53" s="663" t="s">
        <v>751</v>
      </c>
      <c r="E53" s="662" t="s">
        <v>551</v>
      </c>
      <c r="F53" s="663" t="s">
        <v>753</v>
      </c>
      <c r="G53" s="662" t="s">
        <v>552</v>
      </c>
      <c r="H53" s="662" t="s">
        <v>668</v>
      </c>
      <c r="I53" s="662" t="s">
        <v>669</v>
      </c>
      <c r="J53" s="662" t="s">
        <v>670</v>
      </c>
      <c r="K53" s="662" t="s">
        <v>671</v>
      </c>
      <c r="L53" s="664">
        <v>52.17</v>
      </c>
      <c r="M53" s="664">
        <v>1</v>
      </c>
      <c r="N53" s="665">
        <v>52.17</v>
      </c>
    </row>
    <row r="54" spans="1:14" ht="14.4" customHeight="1" x14ac:dyDescent="0.3">
      <c r="A54" s="660" t="s">
        <v>529</v>
      </c>
      <c r="B54" s="661" t="s">
        <v>530</v>
      </c>
      <c r="C54" s="662" t="s">
        <v>545</v>
      </c>
      <c r="D54" s="663" t="s">
        <v>751</v>
      </c>
      <c r="E54" s="662" t="s">
        <v>551</v>
      </c>
      <c r="F54" s="663" t="s">
        <v>753</v>
      </c>
      <c r="G54" s="662" t="s">
        <v>552</v>
      </c>
      <c r="H54" s="662" t="s">
        <v>710</v>
      </c>
      <c r="I54" s="662" t="s">
        <v>711</v>
      </c>
      <c r="J54" s="662" t="s">
        <v>712</v>
      </c>
      <c r="K54" s="662" t="s">
        <v>713</v>
      </c>
      <c r="L54" s="664">
        <v>89.554216009854258</v>
      </c>
      <c r="M54" s="664">
        <v>90</v>
      </c>
      <c r="N54" s="665">
        <v>8059.8794408868835</v>
      </c>
    </row>
    <row r="55" spans="1:14" ht="14.4" customHeight="1" x14ac:dyDescent="0.3">
      <c r="A55" s="660" t="s">
        <v>529</v>
      </c>
      <c r="B55" s="661" t="s">
        <v>530</v>
      </c>
      <c r="C55" s="662" t="s">
        <v>545</v>
      </c>
      <c r="D55" s="663" t="s">
        <v>751</v>
      </c>
      <c r="E55" s="662" t="s">
        <v>551</v>
      </c>
      <c r="F55" s="663" t="s">
        <v>753</v>
      </c>
      <c r="G55" s="662" t="s">
        <v>552</v>
      </c>
      <c r="H55" s="662" t="s">
        <v>714</v>
      </c>
      <c r="I55" s="662" t="s">
        <v>715</v>
      </c>
      <c r="J55" s="662" t="s">
        <v>716</v>
      </c>
      <c r="K55" s="662" t="s">
        <v>717</v>
      </c>
      <c r="L55" s="664">
        <v>35.805</v>
      </c>
      <c r="M55" s="664">
        <v>120</v>
      </c>
      <c r="N55" s="665">
        <v>4296.6000000000004</v>
      </c>
    </row>
    <row r="56" spans="1:14" ht="14.4" customHeight="1" x14ac:dyDescent="0.3">
      <c r="A56" s="660" t="s">
        <v>529</v>
      </c>
      <c r="B56" s="661" t="s">
        <v>530</v>
      </c>
      <c r="C56" s="662" t="s">
        <v>545</v>
      </c>
      <c r="D56" s="663" t="s">
        <v>751</v>
      </c>
      <c r="E56" s="662" t="s">
        <v>551</v>
      </c>
      <c r="F56" s="663" t="s">
        <v>753</v>
      </c>
      <c r="G56" s="662" t="s">
        <v>625</v>
      </c>
      <c r="H56" s="662" t="s">
        <v>718</v>
      </c>
      <c r="I56" s="662" t="s">
        <v>719</v>
      </c>
      <c r="J56" s="662" t="s">
        <v>720</v>
      </c>
      <c r="K56" s="662" t="s">
        <v>721</v>
      </c>
      <c r="L56" s="664">
        <v>58.799998394912514</v>
      </c>
      <c r="M56" s="664">
        <v>1</v>
      </c>
      <c r="N56" s="665">
        <v>58.799998394912514</v>
      </c>
    </row>
    <row r="57" spans="1:14" ht="14.4" customHeight="1" x14ac:dyDescent="0.3">
      <c r="A57" s="660" t="s">
        <v>529</v>
      </c>
      <c r="B57" s="661" t="s">
        <v>530</v>
      </c>
      <c r="C57" s="662" t="s">
        <v>545</v>
      </c>
      <c r="D57" s="663" t="s">
        <v>751</v>
      </c>
      <c r="E57" s="662" t="s">
        <v>551</v>
      </c>
      <c r="F57" s="663" t="s">
        <v>753</v>
      </c>
      <c r="G57" s="662" t="s">
        <v>625</v>
      </c>
      <c r="H57" s="662" t="s">
        <v>722</v>
      </c>
      <c r="I57" s="662" t="s">
        <v>723</v>
      </c>
      <c r="J57" s="662" t="s">
        <v>724</v>
      </c>
      <c r="K57" s="662" t="s">
        <v>725</v>
      </c>
      <c r="L57" s="664">
        <v>363.9763458154323</v>
      </c>
      <c r="M57" s="664">
        <v>2</v>
      </c>
      <c r="N57" s="665">
        <v>727.95269163086459</v>
      </c>
    </row>
    <row r="58" spans="1:14" ht="14.4" customHeight="1" x14ac:dyDescent="0.3">
      <c r="A58" s="660" t="s">
        <v>529</v>
      </c>
      <c r="B58" s="661" t="s">
        <v>530</v>
      </c>
      <c r="C58" s="662" t="s">
        <v>545</v>
      </c>
      <c r="D58" s="663" t="s">
        <v>751</v>
      </c>
      <c r="E58" s="662" t="s">
        <v>690</v>
      </c>
      <c r="F58" s="663" t="s">
        <v>754</v>
      </c>
      <c r="G58" s="662" t="s">
        <v>552</v>
      </c>
      <c r="H58" s="662" t="s">
        <v>726</v>
      </c>
      <c r="I58" s="662" t="s">
        <v>727</v>
      </c>
      <c r="J58" s="662" t="s">
        <v>728</v>
      </c>
      <c r="K58" s="662" t="s">
        <v>729</v>
      </c>
      <c r="L58" s="664">
        <v>0</v>
      </c>
      <c r="M58" s="664">
        <v>0</v>
      </c>
      <c r="N58" s="665">
        <v>-4.5474735088646412E-13</v>
      </c>
    </row>
    <row r="59" spans="1:14" ht="14.4" customHeight="1" x14ac:dyDescent="0.3">
      <c r="A59" s="660" t="s">
        <v>529</v>
      </c>
      <c r="B59" s="661" t="s">
        <v>530</v>
      </c>
      <c r="C59" s="662" t="s">
        <v>545</v>
      </c>
      <c r="D59" s="663" t="s">
        <v>751</v>
      </c>
      <c r="E59" s="662" t="s">
        <v>690</v>
      </c>
      <c r="F59" s="663" t="s">
        <v>754</v>
      </c>
      <c r="G59" s="662" t="s">
        <v>552</v>
      </c>
      <c r="H59" s="662" t="s">
        <v>730</v>
      </c>
      <c r="I59" s="662" t="s">
        <v>731</v>
      </c>
      <c r="J59" s="662" t="s">
        <v>732</v>
      </c>
      <c r="K59" s="662" t="s">
        <v>733</v>
      </c>
      <c r="L59" s="664">
        <v>1892.0439999999996</v>
      </c>
      <c r="M59" s="664">
        <v>90</v>
      </c>
      <c r="N59" s="665">
        <v>170283.95999999996</v>
      </c>
    </row>
    <row r="60" spans="1:14" ht="14.4" customHeight="1" x14ac:dyDescent="0.3">
      <c r="A60" s="660" t="s">
        <v>529</v>
      </c>
      <c r="B60" s="661" t="s">
        <v>530</v>
      </c>
      <c r="C60" s="662" t="s">
        <v>545</v>
      </c>
      <c r="D60" s="663" t="s">
        <v>751</v>
      </c>
      <c r="E60" s="662" t="s">
        <v>690</v>
      </c>
      <c r="F60" s="663" t="s">
        <v>754</v>
      </c>
      <c r="G60" s="662" t="s">
        <v>552</v>
      </c>
      <c r="H60" s="662" t="s">
        <v>691</v>
      </c>
      <c r="I60" s="662" t="s">
        <v>691</v>
      </c>
      <c r="J60" s="662" t="s">
        <v>692</v>
      </c>
      <c r="K60" s="662" t="s">
        <v>693</v>
      </c>
      <c r="L60" s="664">
        <v>1914</v>
      </c>
      <c r="M60" s="664">
        <v>10</v>
      </c>
      <c r="N60" s="665">
        <v>19140</v>
      </c>
    </row>
    <row r="61" spans="1:14" ht="14.4" customHeight="1" x14ac:dyDescent="0.3">
      <c r="A61" s="660" t="s">
        <v>529</v>
      </c>
      <c r="B61" s="661" t="s">
        <v>530</v>
      </c>
      <c r="C61" s="662" t="s">
        <v>545</v>
      </c>
      <c r="D61" s="663" t="s">
        <v>751</v>
      </c>
      <c r="E61" s="662" t="s">
        <v>690</v>
      </c>
      <c r="F61" s="663" t="s">
        <v>754</v>
      </c>
      <c r="G61" s="662" t="s">
        <v>552</v>
      </c>
      <c r="H61" s="662" t="s">
        <v>734</v>
      </c>
      <c r="I61" s="662" t="s">
        <v>735</v>
      </c>
      <c r="J61" s="662" t="s">
        <v>736</v>
      </c>
      <c r="K61" s="662" t="s">
        <v>737</v>
      </c>
      <c r="L61" s="664">
        <v>752.84278210880188</v>
      </c>
      <c r="M61" s="664">
        <v>40</v>
      </c>
      <c r="N61" s="665">
        <v>30113.711284352074</v>
      </c>
    </row>
    <row r="62" spans="1:14" ht="14.4" customHeight="1" x14ac:dyDescent="0.3">
      <c r="A62" s="660" t="s">
        <v>529</v>
      </c>
      <c r="B62" s="661" t="s">
        <v>530</v>
      </c>
      <c r="C62" s="662" t="s">
        <v>545</v>
      </c>
      <c r="D62" s="663" t="s">
        <v>751</v>
      </c>
      <c r="E62" s="662" t="s">
        <v>690</v>
      </c>
      <c r="F62" s="663" t="s">
        <v>754</v>
      </c>
      <c r="G62" s="662" t="s">
        <v>552</v>
      </c>
      <c r="H62" s="662" t="s">
        <v>738</v>
      </c>
      <c r="I62" s="662" t="s">
        <v>739</v>
      </c>
      <c r="J62" s="662" t="s">
        <v>732</v>
      </c>
      <c r="K62" s="662" t="s">
        <v>740</v>
      </c>
      <c r="L62" s="664">
        <v>946.03300000000002</v>
      </c>
      <c r="M62" s="664">
        <v>40</v>
      </c>
      <c r="N62" s="665">
        <v>37841.32</v>
      </c>
    </row>
    <row r="63" spans="1:14" ht="14.4" customHeight="1" x14ac:dyDescent="0.3">
      <c r="A63" s="660" t="s">
        <v>529</v>
      </c>
      <c r="B63" s="661" t="s">
        <v>530</v>
      </c>
      <c r="C63" s="662" t="s">
        <v>545</v>
      </c>
      <c r="D63" s="663" t="s">
        <v>751</v>
      </c>
      <c r="E63" s="662" t="s">
        <v>690</v>
      </c>
      <c r="F63" s="663" t="s">
        <v>754</v>
      </c>
      <c r="G63" s="662" t="s">
        <v>625</v>
      </c>
      <c r="H63" s="662" t="s">
        <v>741</v>
      </c>
      <c r="I63" s="662" t="s">
        <v>742</v>
      </c>
      <c r="J63" s="662" t="s">
        <v>743</v>
      </c>
      <c r="K63" s="662" t="s">
        <v>733</v>
      </c>
      <c r="L63" s="664">
        <v>2089.3522025210086</v>
      </c>
      <c r="M63" s="664">
        <v>400</v>
      </c>
      <c r="N63" s="665">
        <v>835740.88100840349</v>
      </c>
    </row>
    <row r="64" spans="1:14" ht="14.4" customHeight="1" thickBot="1" x14ac:dyDescent="0.35">
      <c r="A64" s="666" t="s">
        <v>529</v>
      </c>
      <c r="B64" s="667" t="s">
        <v>530</v>
      </c>
      <c r="C64" s="668" t="s">
        <v>548</v>
      </c>
      <c r="D64" s="669" t="s">
        <v>752</v>
      </c>
      <c r="E64" s="668" t="s">
        <v>744</v>
      </c>
      <c r="F64" s="669" t="s">
        <v>755</v>
      </c>
      <c r="G64" s="668" t="s">
        <v>552</v>
      </c>
      <c r="H64" s="668" t="s">
        <v>745</v>
      </c>
      <c r="I64" s="668" t="s">
        <v>745</v>
      </c>
      <c r="J64" s="668" t="s">
        <v>746</v>
      </c>
      <c r="K64" s="668" t="s">
        <v>747</v>
      </c>
      <c r="L64" s="670">
        <v>19022.896666666667</v>
      </c>
      <c r="M64" s="670">
        <v>12</v>
      </c>
      <c r="N64" s="671">
        <v>228274.76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16384" width="8.88671875" style="254"/>
  </cols>
  <sheetData>
    <row r="1" spans="1:6" ht="37.200000000000003" customHeight="1" thickBot="1" x14ac:dyDescent="0.4">
      <c r="A1" s="515" t="s">
        <v>208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336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162</v>
      </c>
      <c r="C3" s="518"/>
      <c r="D3" s="519" t="s">
        <v>161</v>
      </c>
      <c r="E3" s="518"/>
      <c r="F3" s="105" t="s">
        <v>3</v>
      </c>
    </row>
    <row r="4" spans="1:6" ht="14.4" customHeight="1" thickBot="1" x14ac:dyDescent="0.35">
      <c r="A4" s="672" t="s">
        <v>186</v>
      </c>
      <c r="B4" s="673" t="s">
        <v>14</v>
      </c>
      <c r="C4" s="674" t="s">
        <v>2</v>
      </c>
      <c r="D4" s="673" t="s">
        <v>14</v>
      </c>
      <c r="E4" s="674" t="s">
        <v>2</v>
      </c>
      <c r="F4" s="675" t="s">
        <v>14</v>
      </c>
    </row>
    <row r="5" spans="1:6" ht="14.4" customHeight="1" x14ac:dyDescent="0.3">
      <c r="A5" s="686" t="s">
        <v>756</v>
      </c>
      <c r="B5" s="658"/>
      <c r="C5" s="676">
        <v>0</v>
      </c>
      <c r="D5" s="658">
        <v>686.81730941114347</v>
      </c>
      <c r="E5" s="676">
        <v>1</v>
      </c>
      <c r="F5" s="659">
        <v>686.81730941114347</v>
      </c>
    </row>
    <row r="6" spans="1:6" ht="14.4" customHeight="1" x14ac:dyDescent="0.3">
      <c r="A6" s="687" t="s">
        <v>757</v>
      </c>
      <c r="B6" s="664"/>
      <c r="C6" s="677">
        <v>0</v>
      </c>
      <c r="D6" s="664">
        <v>836527.63369842933</v>
      </c>
      <c r="E6" s="677">
        <v>1</v>
      </c>
      <c r="F6" s="665">
        <v>836527.63369842933</v>
      </c>
    </row>
    <row r="7" spans="1:6" ht="14.4" customHeight="1" thickBot="1" x14ac:dyDescent="0.35">
      <c r="A7" s="688" t="s">
        <v>758</v>
      </c>
      <c r="B7" s="679"/>
      <c r="C7" s="680">
        <v>0</v>
      </c>
      <c r="D7" s="679">
        <v>184.2100589045146</v>
      </c>
      <c r="E7" s="680">
        <v>1</v>
      </c>
      <c r="F7" s="681">
        <v>184.2100589045146</v>
      </c>
    </row>
    <row r="8" spans="1:6" ht="14.4" customHeight="1" thickBot="1" x14ac:dyDescent="0.35">
      <c r="A8" s="682" t="s">
        <v>3</v>
      </c>
      <c r="B8" s="683"/>
      <c r="C8" s="684">
        <v>0</v>
      </c>
      <c r="D8" s="683">
        <v>837398.66106674494</v>
      </c>
      <c r="E8" s="684">
        <v>1</v>
      </c>
      <c r="F8" s="685">
        <v>837398.66106674494</v>
      </c>
    </row>
    <row r="9" spans="1:6" ht="14.4" customHeight="1" thickBot="1" x14ac:dyDescent="0.35"/>
    <row r="10" spans="1:6" ht="14.4" customHeight="1" x14ac:dyDescent="0.3">
      <c r="A10" s="686" t="s">
        <v>759</v>
      </c>
      <c r="B10" s="658"/>
      <c r="C10" s="676">
        <v>0</v>
      </c>
      <c r="D10" s="658">
        <v>727.95269163086459</v>
      </c>
      <c r="E10" s="676">
        <v>1</v>
      </c>
      <c r="F10" s="659">
        <v>727.95269163086459</v>
      </c>
    </row>
    <row r="11" spans="1:6" ht="14.4" customHeight="1" x14ac:dyDescent="0.3">
      <c r="A11" s="687" t="s">
        <v>760</v>
      </c>
      <c r="B11" s="664"/>
      <c r="C11" s="677">
        <v>0</v>
      </c>
      <c r="D11" s="664">
        <v>50.61</v>
      </c>
      <c r="E11" s="677">
        <v>1</v>
      </c>
      <c r="F11" s="665">
        <v>50.61</v>
      </c>
    </row>
    <row r="12" spans="1:6" ht="14.4" customHeight="1" x14ac:dyDescent="0.3">
      <c r="A12" s="687" t="s">
        <v>761</v>
      </c>
      <c r="B12" s="664"/>
      <c r="C12" s="677">
        <v>0</v>
      </c>
      <c r="D12" s="664">
        <v>133.60005890451458</v>
      </c>
      <c r="E12" s="677">
        <v>1</v>
      </c>
      <c r="F12" s="665">
        <v>133.60005890451458</v>
      </c>
    </row>
    <row r="13" spans="1:6" ht="14.4" customHeight="1" x14ac:dyDescent="0.3">
      <c r="A13" s="687" t="s">
        <v>762</v>
      </c>
      <c r="B13" s="664"/>
      <c r="C13" s="677">
        <v>0</v>
      </c>
      <c r="D13" s="664">
        <v>213.72865654033421</v>
      </c>
      <c r="E13" s="677">
        <v>1</v>
      </c>
      <c r="F13" s="665">
        <v>213.72865654033421</v>
      </c>
    </row>
    <row r="14" spans="1:6" ht="14.4" customHeight="1" x14ac:dyDescent="0.3">
      <c r="A14" s="687" t="s">
        <v>763</v>
      </c>
      <c r="B14" s="664"/>
      <c r="C14" s="677">
        <v>0</v>
      </c>
      <c r="D14" s="664">
        <v>835740.88100840349</v>
      </c>
      <c r="E14" s="677">
        <v>1</v>
      </c>
      <c r="F14" s="665">
        <v>835740.88100840349</v>
      </c>
    </row>
    <row r="15" spans="1:6" ht="14.4" customHeight="1" x14ac:dyDescent="0.3">
      <c r="A15" s="687" t="s">
        <v>764</v>
      </c>
      <c r="B15" s="664"/>
      <c r="C15" s="677">
        <v>0</v>
      </c>
      <c r="D15" s="664">
        <v>473.0886528708092</v>
      </c>
      <c r="E15" s="677">
        <v>1</v>
      </c>
      <c r="F15" s="665">
        <v>473.0886528708092</v>
      </c>
    </row>
    <row r="16" spans="1:6" ht="14.4" customHeight="1" thickBot="1" x14ac:dyDescent="0.35">
      <c r="A16" s="688" t="s">
        <v>765</v>
      </c>
      <c r="B16" s="679"/>
      <c r="C16" s="680">
        <v>0</v>
      </c>
      <c r="D16" s="679">
        <v>58.799998394912514</v>
      </c>
      <c r="E16" s="680">
        <v>1</v>
      </c>
      <c r="F16" s="681">
        <v>58.799998394912514</v>
      </c>
    </row>
    <row r="17" spans="1:6" ht="14.4" customHeight="1" thickBot="1" x14ac:dyDescent="0.35">
      <c r="A17" s="682" t="s">
        <v>3</v>
      </c>
      <c r="B17" s="683"/>
      <c r="C17" s="684">
        <v>0</v>
      </c>
      <c r="D17" s="683">
        <v>837398.66106674494</v>
      </c>
      <c r="E17" s="684">
        <v>1</v>
      </c>
      <c r="F17" s="685">
        <v>837398.66106674494</v>
      </c>
    </row>
  </sheetData>
  <mergeCells count="3">
    <mergeCell ref="A1:F1"/>
    <mergeCell ref="B3:C3"/>
    <mergeCell ref="D3:E3"/>
  </mergeCells>
  <conditionalFormatting sqref="C5:C1048576">
    <cfRule type="cellIs" dxfId="5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2015-04-25T22:58:48Z</dcterms:modified>
</cp:coreProperties>
</file>