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hidePivotFieldList="1" defaultThemeVersion="124226"/>
  <bookViews>
    <workbookView xWindow="4956" yWindow="648" windowWidth="15300" windowHeight="860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Materiál Žádanky" sheetId="402" r:id="rId11"/>
    <sheet name="MŽ Detail" sheetId="403" r:id="rId12"/>
    <sheet name="Osobní náklady" sheetId="419" r:id="rId13"/>
    <sheet name="ON Data" sheetId="418" state="hidden" r:id="rId14"/>
    <sheet name="ZV Vykáz.-A" sheetId="344" r:id="rId15"/>
    <sheet name="ZV Vykáz.-A Detail" sheetId="345" r:id="rId16"/>
  </sheets>
  <definedNames>
    <definedName name="_xlnm._FilterDatabase" localSheetId="5" hidden="1">HV!$A$5:$A$5</definedName>
    <definedName name="_xlnm._FilterDatabase" localSheetId="6" hidden="1">'Léky Žádanky'!$A$3:$G$3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4" hidden="1">'Man Tab'!$A$5:$A$31</definedName>
    <definedName name="_xlnm._FilterDatabase" localSheetId="10" hidden="1">'Materiál Žádanky'!$A$3:$G$3</definedName>
    <definedName name="_xlnm._FilterDatabase" localSheetId="11" hidden="1">'MŽ Detail'!$A$4:$K$4</definedName>
    <definedName name="_xlnm._FilterDatabase" localSheetId="15" hidden="1">'ZV Vykáz.-A Detail'!$A$5:$P$5</definedName>
    <definedName name="doměsíce">'HI Graf'!$C$11</definedName>
  </definedNames>
  <calcPr calcId="145621"/>
</workbook>
</file>

<file path=xl/calcChain.xml><?xml version="1.0" encoding="utf-8"?>
<calcChain xmlns="http://schemas.openxmlformats.org/spreadsheetml/2006/main">
  <c r="A7" i="339" l="1"/>
  <c r="B3" i="418" l="1"/>
  <c r="M6" i="419" l="1"/>
  <c r="I6" i="419"/>
  <c r="E6" i="419"/>
  <c r="B6" i="419"/>
  <c r="L6" i="419"/>
  <c r="H6" i="419"/>
  <c r="D6" i="419"/>
  <c r="F6" i="419"/>
  <c r="K6" i="419"/>
  <c r="G6" i="419"/>
  <c r="C6" i="419"/>
  <c r="J6" i="419"/>
  <c r="E11" i="419"/>
  <c r="E12" i="419"/>
  <c r="E13" i="419"/>
  <c r="E14" i="419"/>
  <c r="E16" i="419"/>
  <c r="E17" i="419"/>
  <c r="E19" i="419"/>
  <c r="E20" i="419"/>
  <c r="B28" i="419"/>
  <c r="B27" i="419"/>
  <c r="B26" i="419"/>
  <c r="B25" i="419"/>
  <c r="E18" i="419" l="1"/>
  <c r="M20" i="419"/>
  <c r="L20" i="419"/>
  <c r="K20" i="419"/>
  <c r="J20" i="419"/>
  <c r="I20" i="419"/>
  <c r="H20" i="419"/>
  <c r="G20" i="419"/>
  <c r="F20" i="419"/>
  <c r="D20" i="419"/>
  <c r="C20" i="419"/>
  <c r="B20" i="419"/>
  <c r="M19" i="419"/>
  <c r="L19" i="419"/>
  <c r="K19" i="419"/>
  <c r="J19" i="419"/>
  <c r="I19" i="419"/>
  <c r="H19" i="419"/>
  <c r="G19" i="419"/>
  <c r="F19" i="419"/>
  <c r="D19" i="419"/>
  <c r="C19" i="419"/>
  <c r="B19" i="419"/>
  <c r="M17" i="419"/>
  <c r="L17" i="419"/>
  <c r="K17" i="419"/>
  <c r="J17" i="419"/>
  <c r="I17" i="419"/>
  <c r="H17" i="419"/>
  <c r="G17" i="419"/>
  <c r="F17" i="419"/>
  <c r="D17" i="419"/>
  <c r="C17" i="419"/>
  <c r="B17" i="419"/>
  <c r="M16" i="419"/>
  <c r="L16" i="419"/>
  <c r="K16" i="419"/>
  <c r="J16" i="419"/>
  <c r="I16" i="419"/>
  <c r="H16" i="419"/>
  <c r="G16" i="419"/>
  <c r="F16" i="419"/>
  <c r="D16" i="419"/>
  <c r="C16" i="419"/>
  <c r="B16" i="419"/>
  <c r="M14" i="419"/>
  <c r="L14" i="419"/>
  <c r="K14" i="419"/>
  <c r="J14" i="419"/>
  <c r="I14" i="419"/>
  <c r="H14" i="419"/>
  <c r="G14" i="419"/>
  <c r="F14" i="419"/>
  <c r="D14" i="419"/>
  <c r="C14" i="419"/>
  <c r="B14" i="419"/>
  <c r="M13" i="419"/>
  <c r="L13" i="419"/>
  <c r="K13" i="419"/>
  <c r="J13" i="419"/>
  <c r="I13" i="419"/>
  <c r="H13" i="419"/>
  <c r="G13" i="419"/>
  <c r="F13" i="419"/>
  <c r="D13" i="419"/>
  <c r="C13" i="419"/>
  <c r="B13" i="419"/>
  <c r="M12" i="419"/>
  <c r="L12" i="419"/>
  <c r="K12" i="419"/>
  <c r="J12" i="419"/>
  <c r="I12" i="419"/>
  <c r="H12" i="419"/>
  <c r="G12" i="419"/>
  <c r="F12" i="419"/>
  <c r="D12" i="419"/>
  <c r="C12" i="419"/>
  <c r="B12" i="419"/>
  <c r="M11" i="419"/>
  <c r="L11" i="419"/>
  <c r="K11" i="419"/>
  <c r="J11" i="419"/>
  <c r="I11" i="419"/>
  <c r="H11" i="419"/>
  <c r="G11" i="419"/>
  <c r="F11" i="419"/>
  <c r="D11" i="419"/>
  <c r="C11" i="419"/>
  <c r="B11" i="419"/>
  <c r="M18" i="419" l="1"/>
  <c r="L18" i="419"/>
  <c r="K18" i="419"/>
  <c r="J18" i="419"/>
  <c r="I18" i="419"/>
  <c r="H18" i="419"/>
  <c r="G18" i="419"/>
  <c r="F18" i="419"/>
  <c r="D18" i="419"/>
  <c r="C18" i="419"/>
  <c r="B18" i="419" l="1"/>
  <c r="O3" i="418" l="1"/>
  <c r="N3" i="418"/>
  <c r="M3" i="418"/>
  <c r="L3" i="418"/>
  <c r="K3" i="418"/>
  <c r="J3" i="418"/>
  <c r="I3" i="418"/>
  <c r="H3" i="418"/>
  <c r="G3" i="418"/>
  <c r="F3" i="418"/>
  <c r="E3" i="418"/>
  <c r="D3" i="418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2" i="414" l="1"/>
  <c r="D7" i="414"/>
  <c r="A15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18" i="414" l="1"/>
  <c r="A16" i="414"/>
  <c r="R3" i="344" l="1"/>
  <c r="Q3" i="344"/>
  <c r="P3" i="344"/>
  <c r="O3" i="344"/>
  <c r="N3" i="344"/>
  <c r="S3" i="344" s="1"/>
  <c r="L3" i="344"/>
  <c r="K3" i="344"/>
  <c r="J3" i="344"/>
  <c r="I3" i="344"/>
  <c r="H3" i="344"/>
  <c r="M3" i="344" s="1"/>
  <c r="F3" i="344"/>
  <c r="E11" i="339" s="1"/>
  <c r="E3" i="344"/>
  <c r="D3" i="344"/>
  <c r="C3" i="344"/>
  <c r="B3" i="344"/>
  <c r="B11" i="339" s="1"/>
  <c r="F11" i="339" l="1"/>
  <c r="G3" i="344"/>
  <c r="D17" i="414" s="1"/>
  <c r="C11" i="339"/>
  <c r="H11" i="339" l="1"/>
  <c r="G11" i="339"/>
  <c r="A17" i="414"/>
  <c r="A12" i="414"/>
  <c r="A8" i="414"/>
  <c r="A7" i="414"/>
  <c r="A13" i="414"/>
  <c r="A4" i="414"/>
  <c r="A6" i="339" l="1"/>
  <c r="A5" i="339"/>
  <c r="D16" i="414"/>
  <c r="C16" i="414"/>
  <c r="D13" i="414"/>
  <c r="D4" i="414"/>
  <c r="D8" i="414" l="1"/>
  <c r="C12" i="414" l="1"/>
  <c r="C7" i="414"/>
  <c r="E17" i="414" l="1"/>
  <c r="E12" i="414"/>
  <c r="E7" i="414"/>
  <c r="E8" i="414"/>
  <c r="A14" i="383" l="1"/>
  <c r="C11" i="340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E12" i="339" l="1"/>
  <c r="C12" i="339"/>
  <c r="B12" i="339"/>
  <c r="F12" i="339" s="1"/>
  <c r="N3" i="345"/>
  <c r="M3" i="345"/>
  <c r="P3" i="345" s="1"/>
  <c r="J3" i="345"/>
  <c r="I3" i="345"/>
  <c r="F3" i="345"/>
  <c r="O3" i="345" s="1"/>
  <c r="E3" i="345"/>
  <c r="M3" i="387"/>
  <c r="K3" i="387" s="1"/>
  <c r="L3" i="387"/>
  <c r="J3" i="387"/>
  <c r="I3" i="387"/>
  <c r="G3" i="387"/>
  <c r="H3" i="387" s="1"/>
  <c r="F3" i="387"/>
  <c r="N3" i="220"/>
  <c r="L3" i="220" s="1"/>
  <c r="D18" i="414"/>
  <c r="C18" i="414"/>
  <c r="F13" i="339" l="1"/>
  <c r="E13" i="339"/>
  <c r="E15" i="339" s="1"/>
  <c r="H12" i="339"/>
  <c r="G12" i="339"/>
  <c r="A11" i="383"/>
  <c r="A4" i="383"/>
  <c r="A21" i="383"/>
  <c r="A20" i="383"/>
  <c r="A17" i="383"/>
  <c r="A16" i="383"/>
  <c r="A15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B15" i="339" s="1"/>
  <c r="C13" i="414"/>
  <c r="D15" i="414"/>
  <c r="C4" i="414"/>
  <c r="H13" i="339" l="1"/>
  <c r="F15" i="339"/>
  <c r="E13" i="414"/>
  <c r="E4" i="414"/>
  <c r="C6" i="340"/>
  <c r="D6" i="340" s="1"/>
  <c r="B4" i="340"/>
  <c r="G13" i="339"/>
  <c r="B13" i="340" l="1"/>
  <c r="B12" i="340"/>
  <c r="G15" i="339"/>
  <c r="H15" i="339"/>
  <c r="C4" i="340"/>
  <c r="E16" i="414"/>
  <c r="E18" i="414"/>
  <c r="D4" i="340"/>
  <c r="E6" i="340"/>
  <c r="C15" i="414"/>
  <c r="E15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 vpravo vyberte požadovanou hodnotu.</t>
        </r>
      </text>
    </comment>
  </commentList>
</comments>
</file>

<file path=xl/sharedStrings.xml><?xml version="1.0" encoding="utf-8"?>
<sst xmlns="http://schemas.openxmlformats.org/spreadsheetml/2006/main" count="4142" uniqueCount="1326">
  <si>
    <t>NS</t>
  </si>
  <si>
    <t>Č. účtu</t>
  </si>
  <si>
    <t>Účet</t>
  </si>
  <si>
    <t>Limit Kč</t>
  </si>
  <si>
    <t>Spotř. Kč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</si>
  <si>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</si>
  <si>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</si>
  <si>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</si>
  <si>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</si>
  <si>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</si>
  <si>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</si>
  <si>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</si>
  <si>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</si>
  <si>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</si>
  <si>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</si>
  <si>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</si>
  <si>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</si>
  <si>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</si>
  <si>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</si>
  <si>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</si>
  <si>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</si>
  <si>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</si>
  <si>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</si>
  <si>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</si>
  <si>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</si>
  <si>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</si>
  <si>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</si>
  <si>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</si>
  <si>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</si>
  <si>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</si>
  <si>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</si>
  <si>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</si>
  <si>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</si>
  <si>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</si>
  <si>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</si>
  <si>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</si>
  <si>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</si>
  <si>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</si>
  <si>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</si>
  <si>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</si>
  <si>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</si>
  <si>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</si>
  <si>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</si>
  <si>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</si>
  <si>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</si>
  <si>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</si>
  <si>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</si>
  <si>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</si>
  <si>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</si>
  <si>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</si>
  <si>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</si>
  <si>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</si>
  <si>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</si>
  <si>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</si>
  <si>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</si>
  <si>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</si>
  <si>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</si>
  <si>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</si>
  <si>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</si>
  <si>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</si>
  <si>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</si>
  <si>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</si>
  <si>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</si>
  <si>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</si>
  <si>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</si>
  <si>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</si>
  <si>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</si>
  <si>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</si>
  <si>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</si>
  <si>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</si>
  <si>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</si>
  <si>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</si>
  <si>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</si>
  <si>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</si>
  <si>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</si>
  <si>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</si>
  <si>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</si>
  <si>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</si>
  <si>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</si>
  <si>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</si>
  <si>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</si>
  <si>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</si>
  <si>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</si>
  <si>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</si>
  <si>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</si>
  <si>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</si>
  <si>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</si>
  <si>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</si>
  <si>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</si>
  <si>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Sml.odb.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</si>
  <si>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</si>
  <si>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</si>
  <si>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</si>
  <si>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</si>
  <si>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</si>
  <si>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</si>
  <si>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</si>
  <si>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</si>
  <si>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</si>
  <si>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</si>
  <si>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</si>
  <si>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</si>
  <si>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</si>
  <si>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</si>
  <si>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</si>
  <si>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</si>
  <si>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</si>
  <si>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</si>
  <si>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</si>
  <si>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</si>
  <si>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</si>
  <si>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</si>
  <si>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</si>
  <si>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</si>
  <si>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</si>
  <si>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</si>
  <si>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</si>
  <si>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</si>
  <si>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</si>
  <si>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</si>
  <si>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</si>
  <si>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Hospodaření zdravotnického pracoviště (v tisících)</t>
  </si>
  <si>
    <t>Spotřeba léčivých přípravků</t>
  </si>
  <si>
    <t>Spotřeba zdravotnického materiálu</t>
  </si>
  <si>
    <t>Přehledové sestavy</t>
  </si>
  <si>
    <t>Akt. měsíc</t>
  </si>
  <si>
    <t>Přečerpáno</t>
  </si>
  <si>
    <t>Kč/ks</t>
  </si>
  <si>
    <t>NS / ATC</t>
  </si>
  <si>
    <t>LŽ PL</t>
  </si>
  <si>
    <t>LŽ PL Detail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</si>
  <si>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</si>
  <si>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</si>
  <si>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</si>
  <si>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</si>
  <si>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</si>
  <si>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</si>
  <si>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</si>
  <si>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</si>
  <si>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</si>
  <si>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Ambulance = vykázané výkony (body) + vykázaný ZUM a ZULP (Kč)</t>
  </si>
  <si>
    <t>Hospitalizace = casemix "DRG total" (dle aktuálního grouperu) vynásobený 30000 Kč</t>
  </si>
  <si>
    <t>Rozpočet výnosů pro rok 2014 je stanoven jako 100% skutečnosti referenčního období (2012)</t>
  </si>
  <si>
    <t>Hospodářský index (Výnosy / Náklady) se hodnotí pouze v případě dodržení rozpočtu nákladů</t>
  </si>
  <si>
    <t>Spotřeba léčivých přípravků - orientační přehled</t>
  </si>
  <si>
    <t>Rozpočet Kč</t>
  </si>
  <si>
    <t>Přehled plnění pozitivniho listu (PL) -
   spotřeba léčivých přípravků dle objemu Kč mimo PL</t>
  </si>
  <si>
    <t>01/2014</t>
  </si>
  <si>
    <t>02/2014</t>
  </si>
  <si>
    <t>03/2014</t>
  </si>
  <si>
    <t>04/2014</t>
  </si>
  <si>
    <t>05/2014</t>
  </si>
  <si>
    <t>06/2014</t>
  </si>
  <si>
    <t>07/2014</t>
  </si>
  <si>
    <t>08/2014</t>
  </si>
  <si>
    <t>09/2014</t>
  </si>
  <si>
    <t>10/2014</t>
  </si>
  <si>
    <t>11/2014</t>
  </si>
  <si>
    <t>12/2014</t>
  </si>
  <si>
    <t>Rozp. 2013            CELKEM</t>
  </si>
  <si>
    <t>Skut. 2013 CELKEM</t>
  </si>
  <si>
    <t>ROZDÍL  Skut. - Rozp. 2013</t>
  </si>
  <si>
    <t>% plnění rozp.2013</t>
  </si>
  <si>
    <t>Rozp.rok 2014</t>
  </si>
  <si>
    <t>Sk.v tis 2014</t>
  </si>
  <si>
    <t>ROZDÍL (Sk.do data - Rozp.do data 2014)</t>
  </si>
  <si>
    <t>% plnění (Skut.do data/Rozp.rok 2014)</t>
  </si>
  <si>
    <t>* Legenda</t>
  </si>
  <si>
    <t>POMĚROVÉ  PLNĚNÍ = Rozpočet na rok 2014 celkem a 1/12  ročního rozpočtu, skutečnost daných měsíců a % plnění načítané skutečnosti do data k poměrné části rozpočtu do data.</t>
  </si>
  <si>
    <t>Pol</t>
  </si>
  <si>
    <t>0</t>
  </si>
  <si>
    <t>101</t>
  </si>
  <si>
    <t>102</t>
  </si>
  <si>
    <t>203</t>
  </si>
  <si>
    <t>305-306</t>
  </si>
  <si>
    <t>407-421</t>
  </si>
  <si>
    <t>522-528</t>
  </si>
  <si>
    <t>629-642</t>
  </si>
  <si>
    <t>743-749</t>
  </si>
  <si>
    <t>930</t>
  </si>
  <si>
    <t>940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</si>
  <si>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</si>
  <si>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</si>
  <si>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</si>
  <si>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</si>
  <si>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</si>
  <si>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</si>
  <si>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</si>
  <si>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</si>
  <si>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</si>
  <si>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</si>
  <si>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</si>
  <si>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</si>
  <si>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</si>
  <si>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</si>
  <si>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dohody</t>
  </si>
  <si>
    <t>lékaři</t>
  </si>
  <si>
    <t>zubní lékaři</t>
  </si>
  <si>
    <t>farmaceuti</t>
  </si>
  <si>
    <t>všeobecné sestry a porodní asistentky</t>
  </si>
  <si>
    <t>zdravot. prac. nelékaři s odb. způsobilostí</t>
  </si>
  <si>
    <t>zdravot. prac. nelékaři s odb. a spec. způsobilostí</t>
  </si>
  <si>
    <t>zdravot. prac. nelékaři pod odb. dohledem nebo přímým vedením</t>
  </si>
  <si>
    <t>jiní odb. prac. nelékaři s odb. způsobilostí a dentisté</t>
  </si>
  <si>
    <t>THP prac.</t>
  </si>
  <si>
    <t>dělníci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</si>
  <si>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</si>
  <si>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</si>
  <si>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</si>
  <si>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</si>
  <si>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</si>
  <si>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</si>
  <si>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</si>
  <si>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</si>
  <si>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</si>
  <si>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</si>
  <si>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NLZP/VŠ nelékaři</t>
  </si>
  <si>
    <t>Měsíc/Rok: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</si>
  <si>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</si>
  <si>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</si>
  <si>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</si>
  <si>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</si>
  <si>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</si>
  <si>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r>
      <t>Zpět na Obsah</t>
    </r>
    <r>
      <rPr>
        <sz val="9"/>
        <rFont val="Calibri"/>
        <family val="2"/>
        <charset val="238"/>
        <scheme val="minor"/>
      </rPr>
      <t xml:space="preserve"> | 1.-2.měsíc | Klinika zubního lékařství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</si>
  <si>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</si>
  <si>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</si>
  <si>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</si>
  <si>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</si>
  <si>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</si>
  <si>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</si>
  <si>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--</t>
  </si>
  <si>
    <t>50109000     cenové odchylky k materiálu</t>
  </si>
  <si>
    <t>50113     Léky a léčiva</t>
  </si>
  <si>
    <t>50113001     léky - paušál+TISS (LEK)</t>
  </si>
  <si>
    <t>50113013     léky (paušál) - antibiotika (LEK)</t>
  </si>
  <si>
    <t>50113190     medicinální plyny</t>
  </si>
  <si>
    <t>50115     Zdravotnické prostředky</t>
  </si>
  <si>
    <t>50115004     implant.umělé těl.náhr.-kovové (s.Z_506)</t>
  </si>
  <si>
    <t>50115020     diagnostika laboratorní-LEK (sk.Z_501)</t>
  </si>
  <si>
    <t>50115040     laboratorní materiál (sk.Z_505)</t>
  </si>
  <si>
    <t>50115050     obvazový materiál (sk.Z_502)</t>
  </si>
  <si>
    <t>50115060     ostatní ZPr - mimo níže uvedené (sk.Z_503)</t>
  </si>
  <si>
    <t>50115064     ostatní ZPr - šicí materiál (sk.Z_529)</t>
  </si>
  <si>
    <t>50115065     ostatní ZPr - vpichovací materiál (sk.Z_530)</t>
  </si>
  <si>
    <t>50115067     ostatní ZPr - rukavice (sk.Z_532)</t>
  </si>
  <si>
    <t>50115090     ostatní ZPr - zubolékařský materiál (sk.Z_509)</t>
  </si>
  <si>
    <t>50116     Potraviny</t>
  </si>
  <si>
    <t>50116099     nápoje - horké dny (daň.neúčinné)</t>
  </si>
  <si>
    <t>50117     Všeobecný materiál</t>
  </si>
  <si>
    <t>50117001     všeobecný materiál (sk.V30,32,33,34,42,43,Z510)</t>
  </si>
  <si>
    <t>50117002     prací a čistící prostř.,drog.zboží (sk.V41)</t>
  </si>
  <si>
    <t>50117003     desinf. prostř. LEK</t>
  </si>
  <si>
    <t>50117004     tiskopisy a kanc.potřeby (sk.V42, 43)</t>
  </si>
  <si>
    <t>50117005     údržbový materiál ZVIT (sk.B36,61,62,64)</t>
  </si>
  <si>
    <t>50117007     údržbový materiál ostatní - sklady (sk.T17)</t>
  </si>
  <si>
    <t>50117009     spotřební materiál k ZPr. (sk.V21)</t>
  </si>
  <si>
    <t>50117011     obalový mat. pro sterilizaci (sk.V20)</t>
  </si>
  <si>
    <t>50117015     IT - spotřební materiál (sk. P37, 48)</t>
  </si>
  <si>
    <t>50117020     všeob.mat. - nábytek (V30) do 1tis.</t>
  </si>
  <si>
    <t>50117022     všeob.mat. - kuchyň tech. (V33) od 1tis do 2999,99</t>
  </si>
  <si>
    <t>50117023     všeob.mat. - kancel.tech. (V34) od 1tis do 2999,99</t>
  </si>
  <si>
    <t>50117024     všeob.mat. - ostatní-vyjímky (V44) od 0,01 do 999,99</t>
  </si>
  <si>
    <t>50118     Náhradní díly</t>
  </si>
  <si>
    <t>50118002     ND - zdravot.techn.(sklad) (sk.Z39)</t>
  </si>
  <si>
    <t>50118003     ND - ostatní techn.(dispečink)</t>
  </si>
  <si>
    <t>50118004     ND - zdravot.techn.(dispečink)</t>
  </si>
  <si>
    <t>50118006     ND - ZVIT (sk.B63)</t>
  </si>
  <si>
    <t>50119     DDHM a textil</t>
  </si>
  <si>
    <t>50119077     OOPP a prádlo pro zaměstnance (sk.T14)</t>
  </si>
  <si>
    <t>50119099     netkaný textil (sk.T18)</t>
  </si>
  <si>
    <t>50119100     jednorázové ochranné pomůcky (sk.T18A)</t>
  </si>
  <si>
    <t>50119101     jednorázový operační materiál (sk.T18B)</t>
  </si>
  <si>
    <t>50119102     jednorázové hygienické potřeby (sk.T18C)</t>
  </si>
  <si>
    <t>50210     Spotřeba energie</t>
  </si>
  <si>
    <t>50210071     elektřina</t>
  </si>
  <si>
    <t>50210072     vodné, stočné</t>
  </si>
  <si>
    <t>50210073     pára</t>
  </si>
  <si>
    <t>50210075     plyn</t>
  </si>
  <si>
    <t>51     Služby</t>
  </si>
  <si>
    <t>51102     Technika a stavby</t>
  </si>
  <si>
    <t>51102021     opravy zdravotnické techniky</t>
  </si>
  <si>
    <t>51102023     opravy ostatní techniky</t>
  </si>
  <si>
    <t>51102024     opravy - správa budov</t>
  </si>
  <si>
    <t>51102025     opravy - hl.energetik</t>
  </si>
  <si>
    <t>51201     Cestovné zaměstnanců-tuzemské</t>
  </si>
  <si>
    <t>51201000     cestovné z mezd</t>
  </si>
  <si>
    <t>51801     Přepravné</t>
  </si>
  <si>
    <t>51801000     přepravné-lab. vzorky,...</t>
  </si>
  <si>
    <t>51802     Spoje</t>
  </si>
  <si>
    <t>51802001     poštovné</t>
  </si>
  <si>
    <t>51802003     spoje - telekom.styk</t>
  </si>
  <si>
    <t>51804     Nájemné</t>
  </si>
  <si>
    <t>51804004     popl. za R a TV, veř. produkce</t>
  </si>
  <si>
    <t>51804005     náj. plynových lahví</t>
  </si>
  <si>
    <t>51806     Úklid, odpad, desinf., deratizace</t>
  </si>
  <si>
    <t>51806001     úklid pravidelný</t>
  </si>
  <si>
    <t>51806004     popl. za DDD a ostatní služby</t>
  </si>
  <si>
    <t>51806005     odpad (spalovna)</t>
  </si>
  <si>
    <t>51808     Revize a smluvní servisy majetku</t>
  </si>
  <si>
    <t>51808007     revize, sml.servis - energetik</t>
  </si>
  <si>
    <t>51808008     revize, tech.kontroly, prev.prohl.- OHM</t>
  </si>
  <si>
    <t>51808009     revize, sml.servis PO - OBKR</t>
  </si>
  <si>
    <t>51808013     revize - kalibrace - metrolog</t>
  </si>
  <si>
    <t>51808018     smluvní servis - OHM</t>
  </si>
  <si>
    <t>51874     Ostatní služby</t>
  </si>
  <si>
    <t>51874001     ostatní služby - provozní</t>
  </si>
  <si>
    <t>51874002     služby (ostraha)</t>
  </si>
  <si>
    <t>51874010     ostatní služby - zdravotní</t>
  </si>
  <si>
    <t>51874015     organ.rozvoj (certif., akred.)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</si>
  <si>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</si>
  <si>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</si>
  <si>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</si>
  <si>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</si>
  <si>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</si>
  <si>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</si>
  <si>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</si>
  <si>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</si>
  <si>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</si>
  <si>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</si>
  <si>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</si>
  <si>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</si>
  <si>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</si>
  <si>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</si>
  <si>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</si>
  <si>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</si>
  <si>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</si>
  <si>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</si>
  <si>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54910003     práce výrobní povahy(výroba klíčů,tabulek)</t>
  </si>
  <si>
    <t>54910008     školení, kongresové poplatky tuzemské - lékaři</t>
  </si>
  <si>
    <t>54910010     školení - nezdrav.pracov.</t>
  </si>
  <si>
    <t>54924     Ostatní výplaty fyzickým osobám</t>
  </si>
  <si>
    <t>54924001     odškod.zaměst. - prac.úraz,...</t>
  </si>
  <si>
    <t>54925     Ostatní výplaty fyzickým osobám(OPMČ)</t>
  </si>
  <si>
    <t>54925000     odškodn.-náhr.mzdy zam.(OPMČ)</t>
  </si>
  <si>
    <t>54972     Školení, kongres.popl.tuzemské - lékaři (pouze OPMČ)</t>
  </si>
  <si>
    <t>54972000     školení, kongres.popl.tuzemské - lékaři 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</si>
  <si>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</si>
  <si>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</si>
  <si>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</si>
  <si>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</si>
  <si>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</si>
  <si>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55110005     odpisy DHM - ostatní z odpisů</t>
  </si>
  <si>
    <t>55110014     odpisy DHM - zdravot.techn. z dotací</t>
  </si>
  <si>
    <t>55120     ZC vyřazeného DM</t>
  </si>
  <si>
    <t>55120004     ZC DHM - zdravot.techn. z odpisů</t>
  </si>
  <si>
    <t>558     Náklady z drobného dlouhodobého majetku</t>
  </si>
  <si>
    <t>55801     DDHM zdravotnický a laboratorní</t>
  </si>
  <si>
    <t>55801001     DDHM - zdravotnické přístroje (sk.N_525)</t>
  </si>
  <si>
    <t>55801002     DDHM - zdravotnické nástroje (sk.Z_515)</t>
  </si>
  <si>
    <t>55802     DDHM - provozní</t>
  </si>
  <si>
    <t>55802002     DDHM - ostatní provozní technika (sk.V_35)</t>
  </si>
  <si>
    <t>55805     DDHM - inventář</t>
  </si>
  <si>
    <t>55805002     DDHM - nábytek (sk.V_31)</t>
  </si>
  <si>
    <t>55806     DDHM ostatní</t>
  </si>
  <si>
    <t>55806001     DDHM - ostatní, razítka (sk.V_47, V_112)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</si>
  <si>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</si>
  <si>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</si>
  <si>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</si>
  <si>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</si>
  <si>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</si>
  <si>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60210323     zdr.služby - státní orgány</t>
  </si>
  <si>
    <t>60210354     zdr.služby - cizinci</t>
  </si>
  <si>
    <t>60210359     zdr.služby - tuzemci (plastika atd. ...)</t>
  </si>
  <si>
    <t>60228     Zdr. výkony - VZP sledov.položky    OZPI</t>
  </si>
  <si>
    <t>60228109     výkony stomatologie</t>
  </si>
  <si>
    <t>60228191     výkony za cizince (mimo EHS)</t>
  </si>
  <si>
    <t>60229     Zdr. výkony - ost. ZP sled.položky  OZPI</t>
  </si>
  <si>
    <t>60229208     výkony + mater. - ZP na výkon</t>
  </si>
  <si>
    <t>60229209     výkony stomatologie</t>
  </si>
  <si>
    <t>64     Jiné provozní výnosy</t>
  </si>
  <si>
    <t>648     Čerpání fondů</t>
  </si>
  <si>
    <t>64804     Čerpání FRM</t>
  </si>
  <si>
    <t>64804221     čerp. FRM - opravy ZT</t>
  </si>
  <si>
    <t>64804223     čerp. FRM - opravy ost. techn.</t>
  </si>
  <si>
    <t>64804224     čerp. FRM - údržba OSB</t>
  </si>
  <si>
    <t>64804225     čerp. FRM - údržba OHE</t>
  </si>
  <si>
    <t>649     Ostatní výnosy z činnosti</t>
  </si>
  <si>
    <t>64908     Ostatní výnosy z činnosti</t>
  </si>
  <si>
    <t>64908000     rozdíly v zaokrouhlení</t>
  </si>
  <si>
    <t>64908050     náhrady od pojišť. (zaměstn.)</t>
  </si>
  <si>
    <t>64924     Ostatní služby - mimo zdrav.výkony  FAKTURACE</t>
  </si>
  <si>
    <t>64924442     telekom.služby, soukr. hovory</t>
  </si>
  <si>
    <t>64924459     školení, stáže, odb. semináře, konference</t>
  </si>
  <si>
    <t>64924460     foto při UZ a ost. služby</t>
  </si>
  <si>
    <t>7     Účtová třída 7 - Vnitropodnikové účetnictví - náklady</t>
  </si>
  <si>
    <t>79     Vnitropodnikové náklady</t>
  </si>
  <si>
    <t>79902     VPN - ZVIT technická údržba</t>
  </si>
  <si>
    <t>79902000     výkony ZVIT - technická údržba</t>
  </si>
  <si>
    <t>79903     VPN - doprava</t>
  </si>
  <si>
    <t>79903000     výkony dopravy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</si>
  <si>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</si>
  <si>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</si>
  <si>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</si>
  <si>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</si>
  <si>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</si>
  <si>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</si>
  <si>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79950     VPN - správní režie</t>
  </si>
  <si>
    <t>79950001     režie HTS</t>
  </si>
  <si>
    <t>24</t>
  </si>
  <si>
    <t/>
  </si>
  <si>
    <t>Klinika zubního lékařství</t>
  </si>
  <si>
    <t>50113001</t>
  </si>
  <si>
    <t>Lékárna - léčiva</t>
  </si>
  <si>
    <t>50113013</t>
  </si>
  <si>
    <t>Lékárna - antibiotika</t>
  </si>
  <si>
    <t>SumaKL</t>
  </si>
  <si>
    <t>2421</t>
  </si>
  <si>
    <t>Klinika zubního lékařství, ambulance</t>
  </si>
  <si>
    <t>SumaNS</t>
  </si>
  <si>
    <t>mezeraNS</t>
  </si>
  <si>
    <t>O</t>
  </si>
  <si>
    <t>100362</t>
  </si>
  <si>
    <t>362</t>
  </si>
  <si>
    <t>ADRENALIN LECIVA</t>
  </si>
  <si>
    <t>INJ 5X1ML/1MG</t>
  </si>
  <si>
    <t>100498</t>
  </si>
  <si>
    <t>498</t>
  </si>
  <si>
    <t>MAGNESIUM SULFURICUM BIOTIKA</t>
  </si>
  <si>
    <t>INJ 5X10ML 10%</t>
  </si>
  <si>
    <t>102479</t>
  </si>
  <si>
    <t>2479</t>
  </si>
  <si>
    <t>DITHIADEN</t>
  </si>
  <si>
    <t>TBL 20X2MG</t>
  </si>
  <si>
    <t>152266</t>
  </si>
  <si>
    <t>52266</t>
  </si>
  <si>
    <t>INFADOLAN</t>
  </si>
  <si>
    <t>DRM UNG 1X30GM</t>
  </si>
  <si>
    <t>166555</t>
  </si>
  <si>
    <t>66555</t>
  </si>
  <si>
    <t>MAGNOSOLV</t>
  </si>
  <si>
    <t>GRA 30X6.1GM(SACKY)</t>
  </si>
  <si>
    <t>395294</t>
  </si>
  <si>
    <t>180306</t>
  </si>
  <si>
    <t>TANTUM VERDE</t>
  </si>
  <si>
    <t>LIQ 1X240ML-PET TR</t>
  </si>
  <si>
    <t>773465</t>
  </si>
  <si>
    <t>Indulona Rakytníková</t>
  </si>
  <si>
    <t>847974</t>
  </si>
  <si>
    <t>125525</t>
  </si>
  <si>
    <t>APO-IBUPROFEN 400 MG</t>
  </si>
  <si>
    <t>POR TBL FLM 30X400MG</t>
  </si>
  <si>
    <t>100394</t>
  </si>
  <si>
    <t>394</t>
  </si>
  <si>
    <t>ATROPIN BIOTIKA 1MG</t>
  </si>
  <si>
    <t>INJ 10X1ML/1MG</t>
  </si>
  <si>
    <t>146125</t>
  </si>
  <si>
    <t>46125</t>
  </si>
  <si>
    <t>LIDOCAIN 10%</t>
  </si>
  <si>
    <t>SPR 1X38GM</t>
  </si>
  <si>
    <t>193109</t>
  </si>
  <si>
    <t>93109</t>
  </si>
  <si>
    <t>SUPRACAIN 4%</t>
  </si>
  <si>
    <t>INJ 10X2ML</t>
  </si>
  <si>
    <t>705608</t>
  </si>
  <si>
    <t>Indulona A/64 ung.100ml modrá</t>
  </si>
  <si>
    <t>900321</t>
  </si>
  <si>
    <t>KL PRIPRAVEK</t>
  </si>
  <si>
    <t>156926</t>
  </si>
  <si>
    <t>56926</t>
  </si>
  <si>
    <t>AQUA PRO INJECTIONE BRAUN</t>
  </si>
  <si>
    <t>INJ SOL 20X10ML-PLA</t>
  </si>
  <si>
    <t>394712</t>
  </si>
  <si>
    <t>IR  AQUA STERILE OPLACH.1x1000 ml ECOTAINER</t>
  </si>
  <si>
    <t>IR OPLACH</t>
  </si>
  <si>
    <t>500701</t>
  </si>
  <si>
    <t>IR  AQUA STERILE OPLACH 1000 ml Pour Bottle Prom.</t>
  </si>
  <si>
    <t>921249</t>
  </si>
  <si>
    <t>KL SOL.FORMALDEHYDI 10%, 200G</t>
  </si>
  <si>
    <t>921230</t>
  </si>
  <si>
    <t>KL VASELINUM ALBUM, 20G</t>
  </si>
  <si>
    <t>921281</t>
  </si>
  <si>
    <t>KL BENZINUM 200g</t>
  </si>
  <si>
    <t>920270</t>
  </si>
  <si>
    <t>KL PERSTERIL 10% 100 G</t>
  </si>
  <si>
    <t>920380</t>
  </si>
  <si>
    <t>KL SOL.HYD.PEROX.3% 100G v sirokohrdle lahvi</t>
  </si>
  <si>
    <t>930671</t>
  </si>
  <si>
    <t>KL CHLORHEXIDINI SOL. 0,1% 300 g</t>
  </si>
  <si>
    <t>v sirokohrdle lahvi</t>
  </si>
  <si>
    <t>180441</t>
  </si>
  <si>
    <t>80441</t>
  </si>
  <si>
    <t>UBISTESIN FORTE</t>
  </si>
  <si>
    <t>INJ SOL 50X1.7ML</t>
  </si>
  <si>
    <t>185793</t>
  </si>
  <si>
    <t>136395</t>
  </si>
  <si>
    <t>SOLCOSERYL DENTAL ADHESIVE</t>
  </si>
  <si>
    <t>STM PST 1X5GM</t>
  </si>
  <si>
    <t>920355</t>
  </si>
  <si>
    <t>KL SOL.BORGLYCEROLI 3% 10 G</t>
  </si>
  <si>
    <t>920376</t>
  </si>
  <si>
    <t>KL SOL.HYD.PEROX.3% 200G v sirokohrdle lahvi</t>
  </si>
  <si>
    <t>920377</t>
  </si>
  <si>
    <t>KL SOL.HYD.PEROX.3% 300G v sirokohrdle lahvi</t>
  </si>
  <si>
    <t>921216</t>
  </si>
  <si>
    <t>KL SOL.IODI PREGL 200g v sirokohrdle lahvi</t>
  </si>
  <si>
    <t>921241</t>
  </si>
  <si>
    <t>KL SOL.ARG.NITR.10% 10G</t>
  </si>
  <si>
    <t>921320</t>
  </si>
  <si>
    <t>KL SOL.HYD.PEROX.3% 10G</t>
  </si>
  <si>
    <t>930417</t>
  </si>
  <si>
    <t>KL SOL.ZINCI CHLOR.10% 10 g</t>
  </si>
  <si>
    <t>930670</t>
  </si>
  <si>
    <t>KL CHLORHEXIDINI SOL. 0,2% 200 g</t>
  </si>
  <si>
    <t>930673</t>
  </si>
  <si>
    <t>KL CHLORHEXIDINI SOL. 0,1% 200g</t>
  </si>
  <si>
    <t>930674</t>
  </si>
  <si>
    <t>KL CHLORNAN SODNÝ 1% 300g v sirokohrdle lahvi</t>
  </si>
  <si>
    <t>841094</t>
  </si>
  <si>
    <t>Corsodyl ustni voda 0,1% 200 ml</t>
  </si>
  <si>
    <t>847638</t>
  </si>
  <si>
    <t>Listerine Total Care 500ml</t>
  </si>
  <si>
    <t>989276</t>
  </si>
  <si>
    <t>CURAPROX CURASEPT ADS310 par.gel 30ml 1%CHX</t>
  </si>
  <si>
    <t>P</t>
  </si>
  <si>
    <t>105951</t>
  </si>
  <si>
    <t>5951</t>
  </si>
  <si>
    <t>AMOKSIKLAV 1G</t>
  </si>
  <si>
    <t>TBL OBD 14X1GM</t>
  </si>
  <si>
    <t>2421 - Klinika zubního lékařství, ambulance</t>
  </si>
  <si>
    <t>J01CR02 - Amoxicilin a enzymový inhibitor</t>
  </si>
  <si>
    <t>J01CR02</t>
  </si>
  <si>
    <t>AMOKSIKLAV 1 G</t>
  </si>
  <si>
    <t>POR TBL FLM 14X1GM</t>
  </si>
  <si>
    <t>Přehled plnění pozitivního listu - spotřeba léčivých přípravků - orientační přehled</t>
  </si>
  <si>
    <t>50115050</t>
  </si>
  <si>
    <t>502 SZM obvazový (112 02 040)</t>
  </si>
  <si>
    <t>50115060</t>
  </si>
  <si>
    <t>503 SZM ostatní zdravotnický (112 02 100)</t>
  </si>
  <si>
    <t>50115090</t>
  </si>
  <si>
    <t>509 SZM zubolékařský (112 02 110)</t>
  </si>
  <si>
    <t>50115064</t>
  </si>
  <si>
    <t>529 SZM šicí materiál (112 02 106)</t>
  </si>
  <si>
    <t>50115065</t>
  </si>
  <si>
    <t>530 SZM jehly (112 02 107)</t>
  </si>
  <si>
    <t>50115067</t>
  </si>
  <si>
    <t>532 SZM Rukavice (112 02 108)</t>
  </si>
  <si>
    <t>ZA321</t>
  </si>
  <si>
    <t>Kompresa gáza 7,5 cm x 7,5 cm / 100 ks 17 nití, 8 vrstev 06002</t>
  </si>
  <si>
    <t>ZA446</t>
  </si>
  <si>
    <t>Vata buničitá přířezy 20 x 30 cm 1230200129</t>
  </si>
  <si>
    <t>ZA451</t>
  </si>
  <si>
    <t>Náplast omniplast 5 cm x 9,2 m 9004540 (900429)</t>
  </si>
  <si>
    <t>ZA554</t>
  </si>
  <si>
    <t>Krytí hypro-sorb R 10 x 10 x 10 mm bal. á 10 ks 006</t>
  </si>
  <si>
    <t>ZA603</t>
  </si>
  <si>
    <t>Kompresa gáza 7,5 x 7,5 cm / 2 ks sterilní karton á 1000 ks 26005</t>
  </si>
  <si>
    <t>ZA633</t>
  </si>
  <si>
    <t>Štětička malá nest.,bal 50 ks, 620003541</t>
  </si>
  <si>
    <t>ZB084</t>
  </si>
  <si>
    <t>Náplast transpore 2,50 cm x 9,14 m 1527-1</t>
  </si>
  <si>
    <t>ZB404</t>
  </si>
  <si>
    <t>Náplast cosmos 8 cm x 1m 5403353</t>
  </si>
  <si>
    <t>ZC100</t>
  </si>
  <si>
    <t>Vata buničitá dělená 2 role / 500 ks 40 x 50 mm 1230200310</t>
  </si>
  <si>
    <t>ZA613</t>
  </si>
  <si>
    <t>Drenáž ústní sterilní 1 x 8 cm 0368</t>
  </si>
  <si>
    <t>ZC917</t>
  </si>
  <si>
    <t>Krytí hypro-sorb F 20 x 30 mm HY 2030/2</t>
  </si>
  <si>
    <t>ZA486</t>
  </si>
  <si>
    <t>Krytí mastný tyl jelonet   5 x 5 cm á 50 ks 7403</t>
  </si>
  <si>
    <t>ZL999</t>
  </si>
  <si>
    <t>Rychloobvaz 8 x 4 cm / 3 ks ( pro obj. 1 kus = 3 náplasti) 001445510</t>
  </si>
  <si>
    <t>ZA727</t>
  </si>
  <si>
    <t>Kontejner 30 ml sterilní 331690251750</t>
  </si>
  <si>
    <t>ZA738</t>
  </si>
  <si>
    <t>Filtr mini spike zelený 4550242</t>
  </si>
  <si>
    <t>ZA787</t>
  </si>
  <si>
    <t>Stříkačka injekční 10 ml 4606108V</t>
  </si>
  <si>
    <t>ZA789</t>
  </si>
  <si>
    <t>Stříkačka injekční   2 ml 4606027V</t>
  </si>
  <si>
    <t>ZA790</t>
  </si>
  <si>
    <t>Stříkačka injekční   5 ml 4606051V</t>
  </si>
  <si>
    <t>ZB830</t>
  </si>
  <si>
    <t>Zrcátko zubní - zvětšovací 397122510020</t>
  </si>
  <si>
    <t>ZC752</t>
  </si>
  <si>
    <t>Čepelka skalpelová 15 BB515</t>
  </si>
  <si>
    <t>ZD568</t>
  </si>
  <si>
    <t>Kleště laboratorní 117520700</t>
  </si>
  <si>
    <t>ZD945</t>
  </si>
  <si>
    <t>Filtr bakteriální a virový 1544</t>
  </si>
  <si>
    <t>ZF159</t>
  </si>
  <si>
    <t>Nádoba na kontaminovaný odpad 1 l 15-0002</t>
  </si>
  <si>
    <t>ZI179</t>
  </si>
  <si>
    <t>Zkumavka s mediem+ flovakovaný tampon eSwab růžový 490CE.A</t>
  </si>
  <si>
    <t>ZB681</t>
  </si>
  <si>
    <t xml:space="preserve">Návlek na fix.tyčinku k OPG bal. á 200 ks 6644-IMG                              </t>
  </si>
  <si>
    <t>ZD131</t>
  </si>
  <si>
    <t>Čepelka skalpelová 12 BB512</t>
  </si>
  <si>
    <t>ZB587</t>
  </si>
  <si>
    <t>Vzduchovod nosní PVC 8,0/10 579210</t>
  </si>
  <si>
    <t>ZF549</t>
  </si>
  <si>
    <t>Náústek s filtrem výměnný k plynu Entonox 1043178</t>
  </si>
  <si>
    <t>ZD068</t>
  </si>
  <si>
    <t>Opaquer IPS-InLine/PoM A-D A2 IV593161</t>
  </si>
  <si>
    <t>ZB234</t>
  </si>
  <si>
    <t>Maska na ambuvak s nafuk. polštářkem vel. 5 H-102025</t>
  </si>
  <si>
    <t>ZB933</t>
  </si>
  <si>
    <t>Štětečky aplikační, á 400 ks, SD8100123</t>
  </si>
  <si>
    <t>ZC233</t>
  </si>
  <si>
    <t>Implantát D3.7 BIO/L14 0451:3</t>
  </si>
  <si>
    <t>ZC234</t>
  </si>
  <si>
    <t>Implantát D3.7 BIO/L12 0351:3</t>
  </si>
  <si>
    <t>ZC237</t>
  </si>
  <si>
    <t>Implantát D5.1 BIO/L12 3551:3</t>
  </si>
  <si>
    <t>ZC300</t>
  </si>
  <si>
    <t>Pasta Depural Neo 4816210</t>
  </si>
  <si>
    <t>ZC301</t>
  </si>
  <si>
    <t>Ypeen 800g dóza 100066</t>
  </si>
  <si>
    <t>ZC306</t>
  </si>
  <si>
    <t>Adhesor orig. 80g N-1</t>
  </si>
  <si>
    <t>ZC307</t>
  </si>
  <si>
    <t>Adhesor orig. 80g N-2</t>
  </si>
  <si>
    <t>ZC313</t>
  </si>
  <si>
    <t>Repin 800g orig. 4241110</t>
  </si>
  <si>
    <t>ZC319</t>
  </si>
  <si>
    <t>Papír artikulační modročerv. l 12x10lis 102</t>
  </si>
  <si>
    <t>ZC325</t>
  </si>
  <si>
    <t>Gel Etching 4122505</t>
  </si>
  <si>
    <t>ZC357</t>
  </si>
  <si>
    <t>Superacryl plus Z a 500 gr pl 4328414</t>
  </si>
  <si>
    <t>ZC373</t>
  </si>
  <si>
    <t>Sprej cognoscin orig. 120 g 1IX1140</t>
  </si>
  <si>
    <t>ZC405</t>
  </si>
  <si>
    <t>Pilíř Attachment kulový classic D3.7/d3.7/L2 22432:3</t>
  </si>
  <si>
    <t>ZC432</t>
  </si>
  <si>
    <t>Kořenová výplň AH 26 60621101</t>
  </si>
  <si>
    <t>ZC441</t>
  </si>
  <si>
    <t>Sádra marmodent 0208/25 á 25 kg</t>
  </si>
  <si>
    <t>ZC450</t>
  </si>
  <si>
    <t>Sádra efektor otisk 25 kg 4251135</t>
  </si>
  <si>
    <t>ZC453</t>
  </si>
  <si>
    <t>Prime-bond 60667240</t>
  </si>
  <si>
    <t>ZC455</t>
  </si>
  <si>
    <t>Kartáček nylon do kolénka BT260.23N</t>
  </si>
  <si>
    <t>ZC456</t>
  </si>
  <si>
    <t>Savka UH 709, á 100 ks, 00709</t>
  </si>
  <si>
    <t>ZC462</t>
  </si>
  <si>
    <t>Písek Interalox 250 620000122</t>
  </si>
  <si>
    <t>ZC481</t>
  </si>
  <si>
    <t>Siloflex plus catal. 60 g 4213310</t>
  </si>
  <si>
    <t>ZC516</t>
  </si>
  <si>
    <t>Čep papírový 1507</t>
  </si>
  <si>
    <t>ZC518</t>
  </si>
  <si>
    <t xml:space="preserve">Kromopan 100 450 g, 1/X2710 </t>
  </si>
  <si>
    <t>ZC519</t>
  </si>
  <si>
    <t>Elastic Cromo 4221305</t>
  </si>
  <si>
    <t>ZC527</t>
  </si>
  <si>
    <t>Sádra alabastr. 0301/25 á 25 kg</t>
  </si>
  <si>
    <t>ZC533</t>
  </si>
  <si>
    <t>Relyx temp NE001</t>
  </si>
  <si>
    <t>ZC921</t>
  </si>
  <si>
    <t>Pružina open v cívce 100-751</t>
  </si>
  <si>
    <t>ZC928</t>
  </si>
  <si>
    <t>Protahováček Hedstrém 073 025 015</t>
  </si>
  <si>
    <t>ZD126</t>
  </si>
  <si>
    <t>Pistole DC na amalgam zah.45°</t>
  </si>
  <si>
    <t>ZD161</t>
  </si>
  <si>
    <t>Matrice classic eliptická 7932.3</t>
  </si>
  <si>
    <t>ZD351</t>
  </si>
  <si>
    <t>Speedex Universal Aktivator IX4990</t>
  </si>
  <si>
    <t>ZD387</t>
  </si>
  <si>
    <t>Gumička ligovací elast.ligatury Safe-T-Ties 400-417</t>
  </si>
  <si>
    <t>ZD528</t>
  </si>
  <si>
    <t>Zuby primodent zadní PO610</t>
  </si>
  <si>
    <t>ZD543</t>
  </si>
  <si>
    <t>Speedex Light Body IX4980</t>
  </si>
  <si>
    <t>ZD680</t>
  </si>
  <si>
    <t>Aqua cem, fix.materiál pro zub.náhrady 88115</t>
  </si>
  <si>
    <t>ZD767</t>
  </si>
  <si>
    <t>Aquasil soft Putty01</t>
  </si>
  <si>
    <t>ZE025</t>
  </si>
  <si>
    <t>Zuby primodent přední PO609</t>
  </si>
  <si>
    <t>ZE060</t>
  </si>
  <si>
    <t>Drát NiTi 012 upper oval form III 101-430</t>
  </si>
  <si>
    <t>ZE067</t>
  </si>
  <si>
    <t>Gumička ligovací 400-408</t>
  </si>
  <si>
    <t>ZE584</t>
  </si>
  <si>
    <t>Aquasil ultra XLV/regular set 678781</t>
  </si>
  <si>
    <t>ZE673</t>
  </si>
  <si>
    <t>Drát NiTi 17 x 25 101-444</t>
  </si>
  <si>
    <t>ZE730</t>
  </si>
  <si>
    <t>Implantát D4.4 BIO-ACCEL/L10 0221:3</t>
  </si>
  <si>
    <t>ZE738</t>
  </si>
  <si>
    <t>Řetízek elast. čirý-light 400-317LF</t>
  </si>
  <si>
    <t>ZE739</t>
  </si>
  <si>
    <t>Řetízek elast. čirý-light 400-316LF</t>
  </si>
  <si>
    <t>ZF061</t>
  </si>
  <si>
    <t>Drát NiTi 012 101-431</t>
  </si>
  <si>
    <t>ZF135</t>
  </si>
  <si>
    <t>Fréza malá 999-6000</t>
  </si>
  <si>
    <t>ZF496</t>
  </si>
  <si>
    <t>Drát NiTi 018 101-436</t>
  </si>
  <si>
    <t>ZG557</t>
  </si>
  <si>
    <t>Zámky keramické signature (sada=6ks) Q3010</t>
  </si>
  <si>
    <t>ZG693</t>
  </si>
  <si>
    <t>Desky bazální - horní transparentní bal.á 50 ks 90 02 525</t>
  </si>
  <si>
    <t>ZG937</t>
  </si>
  <si>
    <t>Pistole amalgámová 0025170</t>
  </si>
  <si>
    <t>ZH223</t>
  </si>
  <si>
    <t>Membrána combi-pack 16 x 22 mm DGD460309016</t>
  </si>
  <si>
    <t>ZI144</t>
  </si>
  <si>
    <t>Pilíř Attachment kulový classic D3.7/d3.7/L3 23432:3</t>
  </si>
  <si>
    <t>ZI638</t>
  </si>
  <si>
    <t>Koncovka odsávací Sugritip-micro, á 20 ks 402048</t>
  </si>
  <si>
    <t>ZI807</t>
  </si>
  <si>
    <t>Implantát D4.4 BIO-ACCEL/L12 0321:3</t>
  </si>
  <si>
    <t>ZI808</t>
  </si>
  <si>
    <t>Biodentine biokompatibilní materiál 15 x 0,7 g 530387</t>
  </si>
  <si>
    <t>ZI810</t>
  </si>
  <si>
    <t>Nit elastická kulatá hrubá J0388</t>
  </si>
  <si>
    <t>ZI891</t>
  </si>
  <si>
    <t>Gumička ligovací á 30 ks 400-445</t>
  </si>
  <si>
    <t>ZI927</t>
  </si>
  <si>
    <t>Amalgám YDM velikost 1 YDM-I/400</t>
  </si>
  <si>
    <t>ZL509</t>
  </si>
  <si>
    <t>Cement provizorní adhesor TC NE 9026849</t>
  </si>
  <si>
    <t>ZL520</t>
  </si>
  <si>
    <t>Materiál kostní výplňový R.T.R. 0056610</t>
  </si>
  <si>
    <t>ZL577</t>
  </si>
  <si>
    <t>Sprej Kavo 4119640KA</t>
  </si>
  <si>
    <t>ZB881</t>
  </si>
  <si>
    <t>Implantát D2.9 SB/L12 02101:3</t>
  </si>
  <si>
    <t>ZC332</t>
  </si>
  <si>
    <t>Matrice Hawe Kerr 399A</t>
  </si>
  <si>
    <t>ZC371</t>
  </si>
  <si>
    <t>Klínek mezizubní (oranž.), á 100 ks, 00116</t>
  </si>
  <si>
    <t>ZC443</t>
  </si>
  <si>
    <t>Kroužek molárový horní 6+ H/PR 878-101 až 136</t>
  </si>
  <si>
    <t>ZC457</t>
  </si>
  <si>
    <t>Solitine (Kerr) 60084</t>
  </si>
  <si>
    <t>ZC480</t>
  </si>
  <si>
    <t>Siloflex plus light 200 g 4213210</t>
  </si>
  <si>
    <t>ZC570</t>
  </si>
  <si>
    <t>Kavitan LC A2 4113411</t>
  </si>
  <si>
    <t>ZC920</t>
  </si>
  <si>
    <t>Zámky elite medium twin set. 022 707-398</t>
  </si>
  <si>
    <t>ZD118</t>
  </si>
  <si>
    <t>Interim Stand pěn.vložky 0658697</t>
  </si>
  <si>
    <t>ZD133</t>
  </si>
  <si>
    <t>Hmota otiskovací kettenbach 0137221</t>
  </si>
  <si>
    <t>ZD288</t>
  </si>
  <si>
    <t>Fólie Erkoflex 4 mm/120 mm ER581240</t>
  </si>
  <si>
    <t>ZD357</t>
  </si>
  <si>
    <t>Papír artikulační modročerv. U 6x10 lis. 103</t>
  </si>
  <si>
    <t>ZD386</t>
  </si>
  <si>
    <t>Orthocryl lig.čiré 500 161-100</t>
  </si>
  <si>
    <t>ZD391</t>
  </si>
  <si>
    <t>Drát NiTi 014 upper oval form III 101-432</t>
  </si>
  <si>
    <t>ZD392</t>
  </si>
  <si>
    <t>Drát NiTi 014 lower oval form III 101-433</t>
  </si>
  <si>
    <t>ZD393</t>
  </si>
  <si>
    <t>Drát NiTi 016 upper oval form III 101-434</t>
  </si>
  <si>
    <t>ZD531</t>
  </si>
  <si>
    <t xml:space="preserve">Superacryl plus PLV. 500 g </t>
  </si>
  <si>
    <t>ZD789</t>
  </si>
  <si>
    <t>Clip clip /voco/prov.výplňový materiál 1284</t>
  </si>
  <si>
    <t>ZE062</t>
  </si>
  <si>
    <t>Drát ocelový 16 x 22 101-412</t>
  </si>
  <si>
    <t>ZE063</t>
  </si>
  <si>
    <t>Drát ocelový 17 x 25 101-414</t>
  </si>
  <si>
    <t>ZE064</t>
  </si>
  <si>
    <t>Drát ocelový 18 x 25 101-418</t>
  </si>
  <si>
    <t>ZF063</t>
  </si>
  <si>
    <t>Drát ocelový 16 x 22 101-413</t>
  </si>
  <si>
    <t>ZF064</t>
  </si>
  <si>
    <t>Drát ocelový 17 x 25 101-415</t>
  </si>
  <si>
    <t>ZF065</t>
  </si>
  <si>
    <t>Drát ocelový 18 x 25 101-419</t>
  </si>
  <si>
    <t>ZF313</t>
  </si>
  <si>
    <t>Opticor flow barva A3 4000009</t>
  </si>
  <si>
    <t>ZF457</t>
  </si>
  <si>
    <t>Guttasolw 15 ml</t>
  </si>
  <si>
    <t>ZF484</t>
  </si>
  <si>
    <t>Drát NiTi 018 101-437</t>
  </si>
  <si>
    <t>ZF690</t>
  </si>
  <si>
    <t>Drát NiTi 016 lower oval form III 101-435</t>
  </si>
  <si>
    <t>ZF691</t>
  </si>
  <si>
    <t>Drát NiTi 16 x 22 upper oval form III 101-442</t>
  </si>
  <si>
    <t>ZG144</t>
  </si>
  <si>
    <t>Materiál výplňový do kořenových kanálků AH Plus 5302253</t>
  </si>
  <si>
    <t>ZG386</t>
  </si>
  <si>
    <t>Sprej CAD/CAM 50 ml 9002655</t>
  </si>
  <si>
    <t>ZG402</t>
  </si>
  <si>
    <t>Orthocryl Neon modrý á 1 kg 160-003-00</t>
  </si>
  <si>
    <t>ZG841</t>
  </si>
  <si>
    <t>Cement výplňový skloionomerní bal. á 50 ks 0298198</t>
  </si>
  <si>
    <t>ZH467</t>
  </si>
  <si>
    <t>Sprej KaVo Quattrocare á 6 ks 0411.7720</t>
  </si>
  <si>
    <t>ZH729</t>
  </si>
  <si>
    <t>Šroubovák imbus ruční dlouhý hex 1.4/L21/L35 2524.3</t>
  </si>
  <si>
    <t>ZI519</t>
  </si>
  <si>
    <t>Pilíř přímý standard D3.7/d4.8/L2 2132.2</t>
  </si>
  <si>
    <t>ZI929</t>
  </si>
  <si>
    <t>Čep papírový ProTaper F2 á 180 ks 0488682</t>
  </si>
  <si>
    <t>ZJ751</t>
  </si>
  <si>
    <t>Protahováček H-File 073 031 015</t>
  </si>
  <si>
    <t>ZK418</t>
  </si>
  <si>
    <t>Zámky silver star slot 22 sada 710-398</t>
  </si>
  <si>
    <t>ZK605</t>
  </si>
  <si>
    <t>Kanyla RMO FLI 46 A08745</t>
  </si>
  <si>
    <t>ZK606</t>
  </si>
  <si>
    <t>Kanyla RMO FLI 27 A08737</t>
  </si>
  <si>
    <t>ZK608</t>
  </si>
  <si>
    <t>Kanyla RMO FLI 26 A08735</t>
  </si>
  <si>
    <t>ZK609</t>
  </si>
  <si>
    <t>Kanyla RMO FLI 36 A08744</t>
  </si>
  <si>
    <t>ZK611</t>
  </si>
  <si>
    <t>Kanyla RMO FLI 47 A08747</t>
  </si>
  <si>
    <t>ZK616</t>
  </si>
  <si>
    <t>Kanyla RMO FLI 16 A08734</t>
  </si>
  <si>
    <t>ZL447</t>
  </si>
  <si>
    <t>Matrice Hawe adapt 1207581207</t>
  </si>
  <si>
    <t>ZL487</t>
  </si>
  <si>
    <t>Pásky brousící kovové 4 x 0,10 mm bal. á 12 ks SU304</t>
  </si>
  <si>
    <t>ZL488</t>
  </si>
  <si>
    <t>Pásky brousící kovové 6 x 0,10 mm bal. á 12 ks 1SU306</t>
  </si>
  <si>
    <t>ZL587</t>
  </si>
  <si>
    <t>Blána na koferdam nic tone rubber nam medium 13227</t>
  </si>
  <si>
    <t>ZL703</t>
  </si>
  <si>
    <t>Opaquer A4 á 3g IV593164</t>
  </si>
  <si>
    <t>ZL704</t>
  </si>
  <si>
    <t>Opaquer D2 á 3g IV593173</t>
  </si>
  <si>
    <t>ZB277</t>
  </si>
  <si>
    <t>Pronikač K-File 063 025 015</t>
  </si>
  <si>
    <t>ZB842</t>
  </si>
  <si>
    <t>Upravovač voskových valů 69600010</t>
  </si>
  <si>
    <t>ZL796</t>
  </si>
  <si>
    <t>Vlákno zubní Oral-Satin Tape 0498822</t>
  </si>
  <si>
    <t>ZL797</t>
  </si>
  <si>
    <t>Vlákno retrakční Ultrapak  sada 509230</t>
  </si>
  <si>
    <t>ZL834</t>
  </si>
  <si>
    <t>Implantát astra tech 24963</t>
  </si>
  <si>
    <t>ZC827</t>
  </si>
  <si>
    <t>Implantát D4.4 BIO-ACCEL/L14 0421:3</t>
  </si>
  <si>
    <t>ZD077</t>
  </si>
  <si>
    <t>Spofacryl orig.100g A 3,5</t>
  </si>
  <si>
    <t>ZE061</t>
  </si>
  <si>
    <t>Drát NiTi 18 x 25 101-449</t>
  </si>
  <si>
    <t>ZF489</t>
  </si>
  <si>
    <t>Drát NiTi 18 x 25 101-448</t>
  </si>
  <si>
    <t>ZI098</t>
  </si>
  <si>
    <t>Protahováček H-File 073 025 030</t>
  </si>
  <si>
    <t>ZL243</t>
  </si>
  <si>
    <t>Pilíř estetický angulovaný plus D3.7/d4.0/15°/L1 15192</t>
  </si>
  <si>
    <t>ZL894</t>
  </si>
  <si>
    <t>Aplikátor M+W MicroTips modrý 0200507</t>
  </si>
  <si>
    <t>ZC446</t>
  </si>
  <si>
    <t>Kroužek molárový horní +7 H/LV  887-001 až 036</t>
  </si>
  <si>
    <t>ZG111</t>
  </si>
  <si>
    <t>Kroužky molárové dolní 6-  D/PR  880-001 až 036</t>
  </si>
  <si>
    <t>ZK252</t>
  </si>
  <si>
    <t>Zeta Plus 900 ml 003-540107</t>
  </si>
  <si>
    <t>ZB638</t>
  </si>
  <si>
    <t>Protahováček Hedstrém 073 025 010</t>
  </si>
  <si>
    <t>ZI099</t>
  </si>
  <si>
    <t>Protahováček H-File 073 025 035</t>
  </si>
  <si>
    <t>ZL893</t>
  </si>
  <si>
    <t>Aplikátor M+W MicroTips žluté 0200506</t>
  </si>
  <si>
    <t>ZL944</t>
  </si>
  <si>
    <t>Vlákno M + W zubní 0000876</t>
  </si>
  <si>
    <t>ZG296</t>
  </si>
  <si>
    <t>OptiBond FL 0036191</t>
  </si>
  <si>
    <t>ZG952</t>
  </si>
  <si>
    <t>Guma leštící stargloss pro opracování keramiky špička růžová EDR2030</t>
  </si>
  <si>
    <t>ZG861</t>
  </si>
  <si>
    <t>Gumička ligovací á 30 ks 400-430</t>
  </si>
  <si>
    <t>ZE068</t>
  </si>
  <si>
    <t>Gumička ligovací 400-410</t>
  </si>
  <si>
    <t>ZH722</t>
  </si>
  <si>
    <t>Matrice Fender Wedge 58122XS</t>
  </si>
  <si>
    <t>ZL955</t>
  </si>
  <si>
    <t>Deep dentin A3 á 20 g IV593212</t>
  </si>
  <si>
    <t>ZD338</t>
  </si>
  <si>
    <t>Opaquer IPS-InLine/PoM A-D A 3 IV593162</t>
  </si>
  <si>
    <t>ZM094</t>
  </si>
  <si>
    <t>Lepidlo light bond 3 FI  primer LBS3F</t>
  </si>
  <si>
    <t>ZD444</t>
  </si>
  <si>
    <t>Opaquer IPS-InLine/PoM A-D A3,5 IV593163</t>
  </si>
  <si>
    <t>ZE181</t>
  </si>
  <si>
    <t>Fólie erkodur 1,0 x 120 mm ER521210</t>
  </si>
  <si>
    <t>ZG863</t>
  </si>
  <si>
    <t>Gumička ligovací á 30 ks 400-427</t>
  </si>
  <si>
    <t>ZF102</t>
  </si>
  <si>
    <t>Kanyla Opti-MIM 901-464NF</t>
  </si>
  <si>
    <t>ZM212</t>
  </si>
  <si>
    <t>Drát vícepramenný 17 x 25 Braided 100-372</t>
  </si>
  <si>
    <t>ZM213</t>
  </si>
  <si>
    <t>Drát vícepramenný 18 x 25 Braided 100-373</t>
  </si>
  <si>
    <t>ZE101</t>
  </si>
  <si>
    <t>Kanyla Opti-MIM 901-463NF</t>
  </si>
  <si>
    <t>ZE100</t>
  </si>
  <si>
    <t>Kanyla Opti-MIM 901-453NF</t>
  </si>
  <si>
    <t>ZF487</t>
  </si>
  <si>
    <t>Gumička ligovací 400-440</t>
  </si>
  <si>
    <t>ZC408</t>
  </si>
  <si>
    <t>Protahováček Hedstrém 073 025 020</t>
  </si>
  <si>
    <t>ZD389</t>
  </si>
  <si>
    <t>Gumička ligovací elast.ligatury Safe-T-Ties á 30 ks 400-438</t>
  </si>
  <si>
    <t>ZF101</t>
  </si>
  <si>
    <t>Kanyla Opti-MIM 901-454NF</t>
  </si>
  <si>
    <t>ZC423</t>
  </si>
  <si>
    <t>Klínek mezizubní 6 velikostí 00115</t>
  </si>
  <si>
    <t>ZE625</t>
  </si>
  <si>
    <t>Aktivátor matrice classic 8932.3</t>
  </si>
  <si>
    <t>ZI564</t>
  </si>
  <si>
    <t>Šroubovák inbus ruční extraorální hex 1.4 2924.3</t>
  </si>
  <si>
    <t>ZE626</t>
  </si>
  <si>
    <t>Deaktivátor matrice classic 9932.3</t>
  </si>
  <si>
    <t>ZF017</t>
  </si>
  <si>
    <t>Pilíř přímý standard D3.7/d3.7/L1 bez 8hranu 112.3</t>
  </si>
  <si>
    <t>ZI100</t>
  </si>
  <si>
    <t>Protahováček H-File 073 025 040</t>
  </si>
  <si>
    <t>ZE620</t>
  </si>
  <si>
    <t>Kapna otiskovací D3.7(D2.9) 133.3</t>
  </si>
  <si>
    <t>ZD986</t>
  </si>
  <si>
    <t>Superpont Vita 100g 620003503</t>
  </si>
  <si>
    <t>ZH886</t>
  </si>
  <si>
    <t>Pilíř přímý standard D3.7/d4.8/L3 3132.3</t>
  </si>
  <si>
    <t>ZI090</t>
  </si>
  <si>
    <t>Čep papírový 558 04% 20</t>
  </si>
  <si>
    <t>ZG442</t>
  </si>
  <si>
    <t>Fréza křížová břit HM166RX0212055F</t>
  </si>
  <si>
    <t>ZH111</t>
  </si>
  <si>
    <t>Čep 06 dentaclean papírový sada 15-40 9019134</t>
  </si>
  <si>
    <t>ZI092</t>
  </si>
  <si>
    <t>Čep papírový 558 04% 25</t>
  </si>
  <si>
    <t>ZD280</t>
  </si>
  <si>
    <t>Enamel Micerium dentin CHFUD</t>
  </si>
  <si>
    <t>ZD038</t>
  </si>
  <si>
    <t>Pronikač K-Reamer 397144517492</t>
  </si>
  <si>
    <t>ZC097</t>
  </si>
  <si>
    <t>Micerium univ.sklovina UE ,á 5 ks, CHRUE</t>
  </si>
  <si>
    <t>ZA940</t>
  </si>
  <si>
    <t>Opal effect orange á 20g IV593271</t>
  </si>
  <si>
    <t>ZE622</t>
  </si>
  <si>
    <t>Implantát univerzální manipulační D3.7 513.3</t>
  </si>
  <si>
    <t>ZM145</t>
  </si>
  <si>
    <t>Sada plastových modelů pilířů Standard a pilířů estetických Plus 1807.00</t>
  </si>
  <si>
    <t>ZD039</t>
  </si>
  <si>
    <t>Opaquer B3 á 3g IV593167</t>
  </si>
  <si>
    <t>ZD465</t>
  </si>
  <si>
    <t>Pilník K-File 397144518762</t>
  </si>
  <si>
    <t>ZB924</t>
  </si>
  <si>
    <t>Margin D2/D3 á 20 g IV593207</t>
  </si>
  <si>
    <t>ZD233</t>
  </si>
  <si>
    <t>Opaquer Liquid á 15 ml IV593345</t>
  </si>
  <si>
    <t>ZG721</t>
  </si>
  <si>
    <t>Zavaděcí nástroj locator 08393</t>
  </si>
  <si>
    <t>ZB626</t>
  </si>
  <si>
    <t>Guma leštící /bílá/ 9526V 204 G6</t>
  </si>
  <si>
    <t>ZC193</t>
  </si>
  <si>
    <t>Poresorb-TCP 1.0 g/1.2 ml 1,0-2,0 m 41:2</t>
  </si>
  <si>
    <t>ZB984</t>
  </si>
  <si>
    <t>Pátradlo zubní lomené-krátké 397133510040</t>
  </si>
  <si>
    <t>ZC468</t>
  </si>
  <si>
    <t>Kleště k odstranění kořenových kanálků 117510600</t>
  </si>
  <si>
    <t>ZB567</t>
  </si>
  <si>
    <t>Margin A 3,5 á 20 g IV593197</t>
  </si>
  <si>
    <t>ZG655</t>
  </si>
  <si>
    <t>Pilíř estetický angulovaný plus D3.7/d5.4/15°/L1 515192</t>
  </si>
  <si>
    <t>ZB410</t>
  </si>
  <si>
    <t>Proužek diamantový Jiffy 9001 662 bal./10ks</t>
  </si>
  <si>
    <t>ZD946</t>
  </si>
  <si>
    <t>Zavaděč pilíře krátký D3.7(D2.9)/L5/L17 7113.3</t>
  </si>
  <si>
    <t>ZF588</t>
  </si>
  <si>
    <t>Gates 050 ,á 6 ks, 180.15.204.050</t>
  </si>
  <si>
    <t>ZE581</t>
  </si>
  <si>
    <t>Signum - insulating gel á 10g HK64706307</t>
  </si>
  <si>
    <t>ZC479</t>
  </si>
  <si>
    <t>Siloflex plus putty 1350 g 4213110</t>
  </si>
  <si>
    <t>ZC444</t>
  </si>
  <si>
    <t>Kroužek molárový horní +6 H/LV  879-101 až 136</t>
  </si>
  <si>
    <t>ZD415</t>
  </si>
  <si>
    <t>Amalgám kapslový č.2 YDM-I600</t>
  </si>
  <si>
    <t>ZD124</t>
  </si>
  <si>
    <t>Caries detector 152010</t>
  </si>
  <si>
    <t>ZD214</t>
  </si>
  <si>
    <t>Speedex komplet 620003520</t>
  </si>
  <si>
    <t>ZD140</t>
  </si>
  <si>
    <t>Pájka univerz.stříbrná - 700°C 380-604-50</t>
  </si>
  <si>
    <t>ZG539</t>
  </si>
  <si>
    <t>Roztok Gingiva liquid 540213</t>
  </si>
  <si>
    <t>ZI906</t>
  </si>
  <si>
    <t>Disk dia.superflex-červený ED350.514.220</t>
  </si>
  <si>
    <t>ZG949</t>
  </si>
  <si>
    <t>Guma leštící stargloss pro opracování keramiky disk modrý EDR1520</t>
  </si>
  <si>
    <t>ZC004</t>
  </si>
  <si>
    <t>orthocryl lig. červený 250 ml 161-127</t>
  </si>
  <si>
    <t>ZC529</t>
  </si>
  <si>
    <t>Kavitan LC VARNISCH 4113280</t>
  </si>
  <si>
    <t>ZB135</t>
  </si>
  <si>
    <t>Páska separační bal. á 12 ks 400047</t>
  </si>
  <si>
    <t>ZC496</t>
  </si>
  <si>
    <t>Pronikač K-Reamer 397144517752</t>
  </si>
  <si>
    <t>ZH069</t>
  </si>
  <si>
    <t>Pilíř estetický angulovaný plus D3.7/d5.4/25°/L1 515202</t>
  </si>
  <si>
    <t>ZC335</t>
  </si>
  <si>
    <t>Kavitan condicioner 15 g 4113291</t>
  </si>
  <si>
    <t>ZC361</t>
  </si>
  <si>
    <t>Kazeta se stojánkem pro sadu Wizard 139500420</t>
  </si>
  <si>
    <t>ZC304</t>
  </si>
  <si>
    <t>Stomaflex varnish /lak/ 140 g 4817330</t>
  </si>
  <si>
    <t>ZB506</t>
  </si>
  <si>
    <t>Opal effect brown á 20g IV593272</t>
  </si>
  <si>
    <t>ZG950</t>
  </si>
  <si>
    <t>Guma leštící stargloss pro opracování keramiky špička modrá EDR2020</t>
  </si>
  <si>
    <t>ZC400</t>
  </si>
  <si>
    <t>Opticor flow 2 G A2</t>
  </si>
  <si>
    <t>ZG518</t>
  </si>
  <si>
    <t>Návlek na senzor RVG  bal. á 500ks 582024</t>
  </si>
  <si>
    <t>ZC314</t>
  </si>
  <si>
    <t>Dycal Dentin 611.06.501 720471</t>
  </si>
  <si>
    <t>ZH114</t>
  </si>
  <si>
    <t>Čep gutaperčový ProTaper F2 0488676</t>
  </si>
  <si>
    <t>ZE618</t>
  </si>
  <si>
    <t>Člen otiskovací D3.7/d4.8 1533.3</t>
  </si>
  <si>
    <t>ZG694</t>
  </si>
  <si>
    <t>Desky bazální - dolní transparentní bal.á 50 ks 90 02 526</t>
  </si>
  <si>
    <t>ZD524</t>
  </si>
  <si>
    <t>Čep vodící střední 302</t>
  </si>
  <si>
    <t>ZL045</t>
  </si>
  <si>
    <t>Implantát astra tech TX 4.0 S 24942</t>
  </si>
  <si>
    <t>ZE575</t>
  </si>
  <si>
    <t>Opaquer IPS-InLine C2 á 3g IV593170</t>
  </si>
  <si>
    <t>ZH080</t>
  </si>
  <si>
    <t>Kamínek na Zirkonoxid-úzký váleček Z638</t>
  </si>
  <si>
    <t>ZC555</t>
  </si>
  <si>
    <t>Vosk měkký modelovací ceradent 4411115</t>
  </si>
  <si>
    <t>ZL959</t>
  </si>
  <si>
    <t>Dentin A 3 á 20 g IV593228</t>
  </si>
  <si>
    <t>ZF589</t>
  </si>
  <si>
    <t>Gates 070 ,á 6 ks, 180.15.204.070</t>
  </si>
  <si>
    <t>ZI140</t>
  </si>
  <si>
    <t>Kleště M+W Endo-Ex 0040 694</t>
  </si>
  <si>
    <t>ZL446</t>
  </si>
  <si>
    <t>Matrice Hawe adapt 1208581208</t>
  </si>
  <si>
    <t>ZD497</t>
  </si>
  <si>
    <t>Váleček vhojovací D3.7/d5.2/L4 822.3</t>
  </si>
  <si>
    <t>ZI930</t>
  </si>
  <si>
    <t>Čep papírový ProTaper F 0488681</t>
  </si>
  <si>
    <t>ZA359</t>
  </si>
  <si>
    <t>Brousek karborund /kulatý/ 603 050 204 3B</t>
  </si>
  <si>
    <t>ZC369</t>
  </si>
  <si>
    <t>Drát kulatý IN0307</t>
  </si>
  <si>
    <t>ZE576</t>
  </si>
  <si>
    <t>Glaze IPS- InLine á 3g IV602384</t>
  </si>
  <si>
    <t>ZC497</t>
  </si>
  <si>
    <t>Pronikač K-Reamer 397144517762</t>
  </si>
  <si>
    <t>ZH085</t>
  </si>
  <si>
    <t>Kamínek na Zirkonoxid-vysoký váleček Z732</t>
  </si>
  <si>
    <t>ZL445</t>
  </si>
  <si>
    <t>Matrice Hawe adapt 1204581204</t>
  </si>
  <si>
    <t>ZC595</t>
  </si>
  <si>
    <t>Margin Sealer á 20 ml IV593402</t>
  </si>
  <si>
    <t>ZD469</t>
  </si>
  <si>
    <t>Sádra-stone orange 0613/25</t>
  </si>
  <si>
    <t>ZC075</t>
  </si>
  <si>
    <t>Margin Build-Up Liquid á 60 g IV593346</t>
  </si>
  <si>
    <t>ZC461</t>
  </si>
  <si>
    <t>Kazeta se stojánkem pro kořenové nástroje 139500640</t>
  </si>
  <si>
    <t>ZL710</t>
  </si>
  <si>
    <t>Implantát astra tech 24952</t>
  </si>
  <si>
    <t>ZG110</t>
  </si>
  <si>
    <t>Kroužky molárové dolní -6  D/LV  881-001 až 036</t>
  </si>
  <si>
    <t>ZF445</t>
  </si>
  <si>
    <t>Váleček vhojovací D3.7/d5.2/L6 3722.3</t>
  </si>
  <si>
    <t>ZL650</t>
  </si>
  <si>
    <t>Speedex Medium IX4986</t>
  </si>
  <si>
    <t>ZI725</t>
  </si>
  <si>
    <t>Separator Ivocron á 30 ml IV3652</t>
  </si>
  <si>
    <t>ZI716</t>
  </si>
  <si>
    <t>Pilíř standard angulovaný D3.7/d4.8/15°/L4 4142.3</t>
  </si>
  <si>
    <t>ZE743</t>
  </si>
  <si>
    <t>Dentin IPS-In Line metalokeramika A 3,5 á 20g IV593229</t>
  </si>
  <si>
    <t>ZH107</t>
  </si>
  <si>
    <t>Čep 0.6 dentaclean gutaperčový 9003571</t>
  </si>
  <si>
    <t>ZE329</t>
  </si>
  <si>
    <t>Implantát astra tech 24943</t>
  </si>
  <si>
    <t>ZJ019</t>
  </si>
  <si>
    <t>Šití chirlac braided violet 2/0 bal. á 24ks PG 0260</t>
  </si>
  <si>
    <t>ZH392</t>
  </si>
  <si>
    <t>Šití safil quick 3/0 bal. á 36 ks C1046030</t>
  </si>
  <si>
    <t>ZB443</t>
  </si>
  <si>
    <t>Šití silkam černý 4/0 bal. á 36 ks C0760137</t>
  </si>
  <si>
    <t>ZA360</t>
  </si>
  <si>
    <t>Jehla sterican 0,5 x 25 mm oranžová 9186158</t>
  </si>
  <si>
    <t>ZA833</t>
  </si>
  <si>
    <t>Jehla injekční 0,8 x   40 mm zelená 4657527</t>
  </si>
  <si>
    <t>ZE993</t>
  </si>
  <si>
    <t>Rukavice operační ansell sensi - touch vel. 6,5 bal. á 40 párů 8050152</t>
  </si>
  <si>
    <t>ZI758</t>
  </si>
  <si>
    <t>Rukavice vinyl bez p. M á 100 ks EFEKTVR03</t>
  </si>
  <si>
    <t>ZK473</t>
  </si>
  <si>
    <t>Rukavice operační latexové s pudrem ansell medigrip plus vel. 6,0 302922</t>
  </si>
  <si>
    <t>ZK475</t>
  </si>
  <si>
    <t>Rukavice operační latexové s pudrem ansell medigrip plus vel. 7,0 302924</t>
  </si>
  <si>
    <t>ZK476</t>
  </si>
  <si>
    <t>Rukavice operační latexové s pudrem ansell medigrip plus vel. 7,5 302925</t>
  </si>
  <si>
    <t>ZK477</t>
  </si>
  <si>
    <t>Rukavice operační latexové s pudrem ansell medigrip plus vel. 8,0 302926</t>
  </si>
  <si>
    <t>ZK093</t>
  </si>
  <si>
    <t>Rukavice latex s p. S kartón 2000 ks 8958864 - povoleno pouze pro ÚČOCH a KZL</t>
  </si>
  <si>
    <t>ZL949</t>
  </si>
  <si>
    <t>Rukavice nitril promedica bez p. L bílé 6N á 100 ks 9399W4</t>
  </si>
  <si>
    <t>ZL948</t>
  </si>
  <si>
    <t>Rukavice nitril promedica bez p. M bílé 6N á 100 ks 9399W3</t>
  </si>
  <si>
    <t>ZM051</t>
  </si>
  <si>
    <t>Rukavice nitril promedica bez p. S bílé 6N á 100 ks 9399W2</t>
  </si>
  <si>
    <t>ZJ594</t>
  </si>
  <si>
    <t>Rukavice nitril Sterling bez p., á 200 ks XS 13938</t>
  </si>
  <si>
    <t>ZK094</t>
  </si>
  <si>
    <t>Rukavice latex s p. M kartón 2000 ks 8955565 - povoleno pouze pro ÚČOCH a KZL</t>
  </si>
  <si>
    <t>ZD517</t>
  </si>
  <si>
    <t>Rukavice latex pudrem XS bal. á 100 ks 01010 - povoleno pouze pro ÚČOCH a KZL</t>
  </si>
  <si>
    <t>Spotřeba zdravotnického materiálu - orientační přehled</t>
  </si>
  <si>
    <t>ON Data</t>
  </si>
  <si>
    <t>014 - Pracoviště praktického zubního lékaře</t>
  </si>
  <si>
    <t>015 - Pracoviště čelistní ortopedie</t>
  </si>
  <si>
    <t xml:space="preserve"> </t>
  </si>
  <si>
    <t>Ambulantní péče znamená, že pacient v den poskytnutí zdravotní péče není hospitalizován ve FNOL</t>
  </si>
  <si>
    <t>Zdravotní výkony vykázané na pracovišti v rámci ambulantní péče *</t>
  </si>
  <si>
    <t>014</t>
  </si>
  <si>
    <t>4</t>
  </si>
  <si>
    <t>0060300</t>
  </si>
  <si>
    <t>0070001</t>
  </si>
  <si>
    <t>0070011</t>
  </si>
  <si>
    <t>0071042</t>
  </si>
  <si>
    <t>0071112</t>
  </si>
  <si>
    <t>0071601</t>
  </si>
  <si>
    <t>0072001</t>
  </si>
  <si>
    <t>0072041</t>
  </si>
  <si>
    <t>0080001</t>
  </si>
  <si>
    <t>0080002</t>
  </si>
  <si>
    <t>0080011</t>
  </si>
  <si>
    <t>0080012</t>
  </si>
  <si>
    <t>0080021</t>
  </si>
  <si>
    <t>0080031</t>
  </si>
  <si>
    <t>0080051</t>
  </si>
  <si>
    <t>0080061</t>
  </si>
  <si>
    <t>0081041</t>
  </si>
  <si>
    <t>0081042</t>
  </si>
  <si>
    <t>0081052</t>
  </si>
  <si>
    <t>0081062</t>
  </si>
  <si>
    <t>0081101</t>
  </si>
  <si>
    <t>0081102</t>
  </si>
  <si>
    <t>0081112</t>
  </si>
  <si>
    <t>0081114</t>
  </si>
  <si>
    <t>0081115</t>
  </si>
  <si>
    <t>0081124</t>
  </si>
  <si>
    <t>0081132</t>
  </si>
  <si>
    <t>0081231</t>
  </si>
  <si>
    <t>0081251</t>
  </si>
  <si>
    <t>0081303</t>
  </si>
  <si>
    <t>0081311</t>
  </si>
  <si>
    <t>0081312</t>
  </si>
  <si>
    <t>0081531</t>
  </si>
  <si>
    <t>0081601</t>
  </si>
  <si>
    <t>0081611</t>
  </si>
  <si>
    <t>0081612</t>
  </si>
  <si>
    <t>0081621</t>
  </si>
  <si>
    <t>0082001</t>
  </si>
  <si>
    <t>0082002</t>
  </si>
  <si>
    <t>0082011</t>
  </si>
  <si>
    <t>0082014</t>
  </si>
  <si>
    <t>0082114</t>
  </si>
  <si>
    <t>0082201</t>
  </si>
  <si>
    <t>0082211</t>
  </si>
  <si>
    <t>0082213</t>
  </si>
  <si>
    <t>0082301</t>
  </si>
  <si>
    <t>0082311</t>
  </si>
  <si>
    <t>0082320</t>
  </si>
  <si>
    <t>0082331</t>
  </si>
  <si>
    <t>0082332</t>
  </si>
  <si>
    <t>0083001</t>
  </si>
  <si>
    <t>0084021</t>
  </si>
  <si>
    <t>0181132</t>
  </si>
  <si>
    <t>0081051</t>
  </si>
  <si>
    <t>0082351</t>
  </si>
  <si>
    <t>0082354</t>
  </si>
  <si>
    <t>0081202</t>
  </si>
  <si>
    <t>0081222</t>
  </si>
  <si>
    <t>V</t>
  </si>
  <si>
    <t>00900</t>
  </si>
  <si>
    <t>KOMPLEXNÍ VYŠETŘENÍ STOMATOLOGEM PŘI REGISTRACI PO</t>
  </si>
  <si>
    <t>00901</t>
  </si>
  <si>
    <t>OPAKOVANÉ KOMPLEXNÍ VYŠETŘENÍ A OŠETŘENÍ REGISTROV</t>
  </si>
  <si>
    <t>00906</t>
  </si>
  <si>
    <t>STOMATOLOGICKÉ OŠETŘENÍ POJIŠTĚNCE DO 6 LET NEBO H</t>
  </si>
  <si>
    <t>00910</t>
  </si>
  <si>
    <t>ZHOTOVENÍ INTRAORÁLNÍHO RENTGENOVÉHO SNÍMKU</t>
  </si>
  <si>
    <t>00911</t>
  </si>
  <si>
    <t>ZHOTOVENÍ EXTRAORÁLNÍHO RENTGENOVÉHO SNÍMKU</t>
  </si>
  <si>
    <t>00915</t>
  </si>
  <si>
    <t>ZHOTOVENÍ TELERENTGENOVÉHO SNÍMKU LBI</t>
  </si>
  <si>
    <t>00916</t>
  </si>
  <si>
    <t>ANESTEZIE NA FORAMEN MANDIBULAE A INFRAORBITALE</t>
  </si>
  <si>
    <t>00920</t>
  </si>
  <si>
    <t>OŠETŘENÍ ZUBNÍHO KAZU - STÁLÝ ZUB - FOTOKOMPOZITNÍ</t>
  </si>
  <si>
    <t>00921</t>
  </si>
  <si>
    <t>OŠETŘENÍ ZUBNÍHO KAZU - STÁLÝ ZUB</t>
  </si>
  <si>
    <t>00925</t>
  </si>
  <si>
    <t>KONZERVATIVNÍ LÉČBA KOMPLIKACÍ ZUBNÍHO KAZU II - S</t>
  </si>
  <si>
    <t>00931</t>
  </si>
  <si>
    <t>KOMPLEXNÍ LÉČBA CHRONICKÝCH ONEMOCNĚNÍ PARODONTU</t>
  </si>
  <si>
    <t>00935</t>
  </si>
  <si>
    <t>SUBGINGIVÁLNÍ OŠETŘENÍ</t>
  </si>
  <si>
    <t>00936</t>
  </si>
  <si>
    <t>ODEBRÁNÍ A ZAJIŠTĚNÍ PŘENOSU TRANSPLANTÁTU</t>
  </si>
  <si>
    <t>00940</t>
  </si>
  <si>
    <t>KOMPLEXNÍ VYŠETŘENÍ A NÁVRH LÉČBY ONEMOCNĚNÍ ÚSTNÍ</t>
  </si>
  <si>
    <t>00941</t>
  </si>
  <si>
    <t>KONTROLNÍ VYŠETŘENÍ A LÉČBA ONEMOCNĚNÍ ÚSTNÍ SLIZN</t>
  </si>
  <si>
    <t>00946</t>
  </si>
  <si>
    <t>00950</t>
  </si>
  <si>
    <t>EXTRAKCE STÁLÉHO ZUBU</t>
  </si>
  <si>
    <t>00951</t>
  </si>
  <si>
    <t>CHIRURGIE TVRDÝCH TKÁNÍ DUTINY ÚSTNÍ MALÉHO ROZSAH</t>
  </si>
  <si>
    <t>00955</t>
  </si>
  <si>
    <t>CHIRURGIE MĚKKÝCH TKÁNÍ DUTINY ÚSTNÍ A JEJÍHO OKOL</t>
  </si>
  <si>
    <t>00956</t>
  </si>
  <si>
    <t>00961</t>
  </si>
  <si>
    <t xml:space="preserve">OŠETŘENÍ KOMPLIKACÍ CHIRURGICKÝCH VÝKONŮ V DUTINĚ </t>
  </si>
  <si>
    <t>00970</t>
  </si>
  <si>
    <t>SEJMUTÍ FIXNÍ NÁHRADY - ZA KAŽDOU PILÍŘOVOU KONSTR</t>
  </si>
  <si>
    <t>00971</t>
  </si>
  <si>
    <t>PROVIZORNÍ OCHRANNÁ KORUNKA</t>
  </si>
  <si>
    <t>09547</t>
  </si>
  <si>
    <t>REGULAČNÍ POPLATEK -- POJIŠTĚNEC OD ÚHRADY POPLATK</t>
  </si>
  <si>
    <t>00974</t>
  </si>
  <si>
    <t>ODEVZDÁNÍ STOMATOLOGICKÉHO VÝROBKU</t>
  </si>
  <si>
    <t>00913</t>
  </si>
  <si>
    <t>ZHOTOVENÍ ORTOPANTOMOGRAMU</t>
  </si>
  <si>
    <t>09543</t>
  </si>
  <si>
    <t>REGULAČNÍ POPLATEK ZA NÁVŠTĚVU -- POPLATEK UHRAZEN</t>
  </si>
  <si>
    <t>00909</t>
  </si>
  <si>
    <t>KLINICKÉ STOMATOLOGICKÉ VYŠETŘENÍ</t>
  </si>
  <si>
    <t>00963</t>
  </si>
  <si>
    <t>INJEKCE I.M., I.V., I.D., S.C.</t>
  </si>
  <si>
    <t>00914</t>
  </si>
  <si>
    <t>VYHODNOCENÍ ORTOPANTOMOGRAMU</t>
  </si>
  <si>
    <t>00953</t>
  </si>
  <si>
    <t>CHIRURGICKÉ OŠETŘOVÁNÍ RETENCE ZUBŮ</t>
  </si>
  <si>
    <t>00934</t>
  </si>
  <si>
    <t>CHIRURGICKÁ LÉČBA ONEMOCNĚNÍ PARODONTU VELKÉHO ROZ</t>
  </si>
  <si>
    <t>99999</t>
  </si>
  <si>
    <t>Nespecifikovany vykon</t>
  </si>
  <si>
    <t>00932</t>
  </si>
  <si>
    <t>LÉČBA CHRONICKÝCH ONEMOCNĚNÍ PARODONTU</t>
  </si>
  <si>
    <t>00917</t>
  </si>
  <si>
    <t>ANESTEZIE INFILTRAČNÍ</t>
  </si>
  <si>
    <t>00973</t>
  </si>
  <si>
    <t>OPRAVA NEBO ÚPRAVA SNÍMATELNÉ NÁHRADY V ORDINACI</t>
  </si>
  <si>
    <t>00949</t>
  </si>
  <si>
    <t>EXTRAKCE DOČASNÉHO ZUBU</t>
  </si>
  <si>
    <t>00923</t>
  </si>
  <si>
    <t>KONZERVATIVNÍ LÉČBA KOMPLIKACÍ ZUBNÍHO KAZU - STÁL</t>
  </si>
  <si>
    <t>00922</t>
  </si>
  <si>
    <t>OŠETŘENÍ ZUBNÍHO KAZU - DOČASNÝ ZUB</t>
  </si>
  <si>
    <t>00907</t>
  </si>
  <si>
    <t>STOMATOLOGICKÉ OŠETŘENÍ  POJIŠTĚNCE OD 6 DO 15 LET</t>
  </si>
  <si>
    <t>00952</t>
  </si>
  <si>
    <t>CHIRURGIE TVRDÝCH TKÁNÍ DUTINY ÚSTNÍ VELKÉHO ROZSA</t>
  </si>
  <si>
    <t>00959</t>
  </si>
  <si>
    <t>INTRAORÁLNÍ INCIZE</t>
  </si>
  <si>
    <t>00938</t>
  </si>
  <si>
    <t>PŘECHODNÉ DLAHY KE STABILIZACI ZUBŮ S OSLABENÝM PA</t>
  </si>
  <si>
    <t>00954</t>
  </si>
  <si>
    <t>KONZERVAČNĚ - CHIRURGICKÁ LÉČBA KOMPLIKACÍ ZUBNÍHO</t>
  </si>
  <si>
    <t>00908</t>
  </si>
  <si>
    <t>AKUTNÍ OŠETŘENÍ A VYŠETŘENÍ NEREGISTROVANÉHO POJIŠ</t>
  </si>
  <si>
    <t>00933</t>
  </si>
  <si>
    <t>CHIRURGICKÁ LÉČBA ONEMOCNĚNÍ PARODONTU MALÉHO ROZS</t>
  </si>
  <si>
    <t>00943</t>
  </si>
  <si>
    <t>MĚŘENÍ GALVANICKÝCH PROUDŮ</t>
  </si>
  <si>
    <t>00947</t>
  </si>
  <si>
    <t>PÉČE O REGISTROVANÉHO POJIŠTĚNCE NAD 18 LET VĚKU I</t>
  </si>
  <si>
    <t>00912</t>
  </si>
  <si>
    <t>NÁPLŇ SLINNÉ ŽLÁZY KONTRASTNÍ LÁTKOU</t>
  </si>
  <si>
    <t>00903</t>
  </si>
  <si>
    <t>VYŽÁDANÉ VYŠETŘENí ODBORNÍKEM NEBO SPECIALISTOU</t>
  </si>
  <si>
    <t>015</t>
  </si>
  <si>
    <t>0074021</t>
  </si>
  <si>
    <t>0076001</t>
  </si>
  <si>
    <t>0076011</t>
  </si>
  <si>
    <t>0076012</t>
  </si>
  <si>
    <t>0076017</t>
  </si>
  <si>
    <t>0076031</t>
  </si>
  <si>
    <t>0076033</t>
  </si>
  <si>
    <t>0076034</t>
  </si>
  <si>
    <t>0076041</t>
  </si>
  <si>
    <t>0076071</t>
  </si>
  <si>
    <t>0076080</t>
  </si>
  <si>
    <t>0076081</t>
  </si>
  <si>
    <t>0080004</t>
  </si>
  <si>
    <t>0086001</t>
  </si>
  <si>
    <t>0086031</t>
  </si>
  <si>
    <t>0086034</t>
  </si>
  <si>
    <t>0086037</t>
  </si>
  <si>
    <t>0086071</t>
  </si>
  <si>
    <t>0086080</t>
  </si>
  <si>
    <t>0086081</t>
  </si>
  <si>
    <t>00981</t>
  </si>
  <si>
    <t>DIAGNOSTIKA ORTODONTICKÝCH ANOMÁLIÍ</t>
  </si>
  <si>
    <t>00984</t>
  </si>
  <si>
    <t>KONTROLA LÉČBY ORTODONTICKÝCH ANOMÁLIÍ JINÝMI POST</t>
  </si>
  <si>
    <t>00985</t>
  </si>
  <si>
    <t xml:space="preserve">UKONČENÍ LÉČBY ORTODONTICKÝCH ANOMÁLIÍ S POUŽITÍM </t>
  </si>
  <si>
    <t>00986</t>
  </si>
  <si>
    <t>KONTROLA VE FÁZI RETENCE NEBO AKTIVNÍ SLEDOVÁNÍ VE</t>
  </si>
  <si>
    <t>00990</t>
  </si>
  <si>
    <t>DIAGNOSTICKÁ PŘESTAVBA ORTODONTICKÉHO MODELU</t>
  </si>
  <si>
    <t>00994</t>
  </si>
  <si>
    <t>ZAHÁJENÍ LÉČBY ORTODONTICKÝCH ANOMÁLIÍ MALÝM FIXNÍ</t>
  </si>
  <si>
    <t>00982</t>
  </si>
  <si>
    <t>ZAHÁJENÍ LÉČBY ORTODONTICKÝCH ANOMÁLIÍ FIXNÍM ORTO</t>
  </si>
  <si>
    <t>00989</t>
  </si>
  <si>
    <t>ANALÝZA ORTODONTICKÝCH MODELŮ</t>
  </si>
  <si>
    <t>00987</t>
  </si>
  <si>
    <t>STANOVENÍ FÁZE RŮSTU</t>
  </si>
  <si>
    <t>00988</t>
  </si>
  <si>
    <t>ANALÝZA TELERENTGENOVÉHO SNÍMKU LBI</t>
  </si>
  <si>
    <t>00983</t>
  </si>
  <si>
    <t xml:space="preserve">KONTROLA LÉČBY ORTODONTICKÝCH ANOMÁLIÍ S POUŽITÍM </t>
  </si>
  <si>
    <t>00993</t>
  </si>
  <si>
    <t>NAVÁZÁNÍ PARCIÁLNÍHO OBLOUKU</t>
  </si>
  <si>
    <t>Zdravotní výkony + ZUM + ZULP vykázané na pracovišti v rámci ambulantní péče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</si>
</sst>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_-* #,##0.00\ &quot;Kč&quot;_-;\-* #,##0.00\ &quot;Kč&quot;_-;_-* &quot;-&quot;??\ &quot;Kč&quot;_-;_-@_-"/>
    <numFmt numFmtId="165" formatCode="#\ ###\ ###\ ##0"/>
    <numFmt numFmtId="167" formatCode="#,##0.0"/>
    <numFmt numFmtId="170" formatCode="#,##0,"/>
    <numFmt numFmtId="172" formatCode="0.000"/>
    <numFmt numFmtId="173" formatCode="#.##0"/>
    <numFmt numFmtId="174" formatCode="#,##0;\-#,##0;"/>
    <numFmt numFmtId="175" formatCode="General;\-General;"/>
    <numFmt numFmtId="176" formatCode="#,##0%"/>
  </numFmts>
  <fonts count="59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1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97">
    <xf numFmtId="0" fontId="0" fillId="0" borderId="0"/>
    <xf numFmtId="0" fontId="25" fillId="0" borderId="0" applyNumberFormat="0" applyFill="0" applyBorder="0" applyAlignment="0" applyProtection="0"/>
    <xf numFmtId="164" fontId="20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458">
    <xf numFmtId="0" fontId="0" fillId="0" borderId="0" xfId="0"/>
    <xf numFmtId="0" fontId="27" fillId="2" borderId="16" xfId="80" applyFont="1" applyFill="1" applyBorder="1"/>
    <xf numFmtId="0" fontId="28" fillId="2" borderId="17" xfId="80" applyFont="1" applyFill="1" applyBorder="1"/>
    <xf numFmtId="3" fontId="28" fillId="2" borderId="18" xfId="80" applyNumberFormat="1" applyFont="1" applyFill="1" applyBorder="1"/>
    <xf numFmtId="0" fontId="28" fillId="4" borderId="17" xfId="80" applyFont="1" applyFill="1" applyBorder="1"/>
    <xf numFmtId="3" fontId="28" fillId="4" borderId="18" xfId="80" applyNumberFormat="1" applyFont="1" applyFill="1" applyBorder="1"/>
    <xf numFmtId="172" fontId="28" fillId="3" borderId="18" xfId="80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3" xfId="80" applyNumberFormat="1" applyFont="1" applyFill="1" applyBorder="1"/>
    <xf numFmtId="3" fontId="27" fillId="5" borderId="7" xfId="80" applyNumberFormat="1" applyFont="1" applyFill="1" applyBorder="1"/>
    <xf numFmtId="3" fontId="27" fillId="5" borderId="11" xfId="80" applyNumberFormat="1" applyFont="1" applyFill="1" applyBorder="1"/>
    <xf numFmtId="0" fontId="27" fillId="5" borderId="0" xfId="80" applyFont="1" applyFill="1"/>
    <xf numFmtId="10" fontId="27" fillId="5" borderId="0" xfId="80" applyNumberFormat="1" applyFont="1" applyFill="1"/>
    <xf numFmtId="0" fontId="37" fillId="2" borderId="32" xfId="0" applyFont="1" applyFill="1" applyBorder="1" applyAlignment="1">
      <alignment vertical="top"/>
    </xf>
    <xf numFmtId="0" fontId="37" fillId="2" borderId="33" xfId="0" applyFont="1" applyFill="1" applyBorder="1" applyAlignment="1">
      <alignment vertical="top"/>
    </xf>
    <xf numFmtId="0" fontId="34" fillId="2" borderId="33" xfId="0" applyFont="1" applyFill="1" applyBorder="1" applyAlignment="1">
      <alignment vertical="top"/>
    </xf>
    <xf numFmtId="0" fontId="38" fillId="2" borderId="33" xfId="0" applyFont="1" applyFill="1" applyBorder="1" applyAlignment="1">
      <alignment vertical="top"/>
    </xf>
    <xf numFmtId="0" fontId="36" fillId="2" borderId="33" xfId="0" applyFont="1" applyFill="1" applyBorder="1" applyAlignment="1">
      <alignment vertical="top"/>
    </xf>
    <xf numFmtId="0" fontId="34" fillId="2" borderId="34" xfId="0" applyFont="1" applyFill="1" applyBorder="1" applyAlignment="1">
      <alignment vertical="top"/>
    </xf>
    <xf numFmtId="0" fontId="37" fillId="2" borderId="7" xfId="0" applyFont="1" applyFill="1" applyBorder="1" applyAlignment="1">
      <alignment horizontal="center" vertical="center"/>
    </xf>
    <xf numFmtId="0" fontId="37" fillId="2" borderId="20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7" fillId="2" borderId="21" xfId="0" applyFont="1" applyFill="1" applyBorder="1" applyAlignment="1">
      <alignment horizontal="center" vertical="center"/>
    </xf>
    <xf numFmtId="0" fontId="38" fillId="2" borderId="20" xfId="0" applyFont="1" applyFill="1" applyBorder="1" applyAlignment="1">
      <alignment horizontal="center" vertical="center" wrapText="1"/>
    </xf>
    <xf numFmtId="0" fontId="38" fillId="2" borderId="22" xfId="0" applyFont="1" applyFill="1" applyBorder="1" applyAlignment="1">
      <alignment horizontal="center" vertical="center" wrapText="1"/>
    </xf>
    <xf numFmtId="0" fontId="36" fillId="2" borderId="22" xfId="0" applyFont="1" applyFill="1" applyBorder="1" applyAlignment="1">
      <alignment horizontal="center" vertical="center" wrapText="1"/>
    </xf>
    <xf numFmtId="3" fontId="27" fillId="5" borderId="3" xfId="80" applyNumberFormat="1" applyFont="1" applyFill="1" applyBorder="1"/>
    <xf numFmtId="3" fontId="27" fillId="5" borderId="28" xfId="80" applyNumberFormat="1" applyFont="1" applyFill="1" applyBorder="1"/>
    <xf numFmtId="3" fontId="27" fillId="5" borderId="24" xfId="80" applyNumberFormat="1" applyFont="1" applyFill="1" applyBorder="1"/>
    <xf numFmtId="3" fontId="27" fillId="5" borderId="8" xfId="80" applyNumberFormat="1" applyFont="1" applyFill="1" applyBorder="1"/>
    <xf numFmtId="3" fontId="27" fillId="5" borderId="9" xfId="80" applyNumberFormat="1" applyFont="1" applyFill="1" applyBorder="1"/>
    <xf numFmtId="3" fontId="27" fillId="5" borderId="12" xfId="80" applyNumberFormat="1" applyFont="1" applyFill="1" applyBorder="1"/>
    <xf numFmtId="3" fontId="27" fillId="5" borderId="13" xfId="80" applyNumberFormat="1" applyFont="1" applyFill="1" applyBorder="1"/>
    <xf numFmtId="3" fontId="28" fillId="2" borderId="26" xfId="80" applyNumberFormat="1" applyFont="1" applyFill="1" applyBorder="1"/>
    <xf numFmtId="3" fontId="28" fillId="2" borderId="19" xfId="80" applyNumberFormat="1" applyFont="1" applyFill="1" applyBorder="1"/>
    <xf numFmtId="3" fontId="28" fillId="4" borderId="26" xfId="80" applyNumberFormat="1" applyFont="1" applyFill="1" applyBorder="1"/>
    <xf numFmtId="3" fontId="28" fillId="4" borderId="19" xfId="80" applyNumberFormat="1" applyFont="1" applyFill="1" applyBorder="1"/>
    <xf numFmtId="172" fontId="28" fillId="3" borderId="26" xfId="80" applyNumberFormat="1" applyFont="1" applyFill="1" applyBorder="1"/>
    <xf numFmtId="172" fontId="28" fillId="3" borderId="19" xfId="80" applyNumberFormat="1" applyFont="1" applyFill="1" applyBorder="1"/>
    <xf numFmtId="0" fontId="31" fillId="2" borderId="24" xfId="80" applyFont="1" applyFill="1" applyBorder="1" applyAlignment="1">
      <alignment horizontal="center"/>
    </xf>
    <xf numFmtId="0" fontId="39" fillId="0" borderId="1" xfId="0" applyFont="1" applyFill="1" applyBorder="1"/>
    <xf numFmtId="0" fontId="39" fillId="0" borderId="2" xfId="0" applyFont="1" applyFill="1" applyBorder="1"/>
    <xf numFmtId="3" fontId="28" fillId="0" borderId="26" xfId="78" applyNumberFormat="1" applyFont="1" applyFill="1" applyBorder="1" applyAlignment="1">
      <alignment horizontal="right"/>
    </xf>
    <xf numFmtId="9" fontId="28" fillId="0" borderId="26" xfId="78" applyNumberFormat="1" applyFont="1" applyFill="1" applyBorder="1" applyAlignment="1">
      <alignment horizontal="right"/>
    </xf>
    <xf numFmtId="3" fontId="28" fillId="0" borderId="19" xfId="78" applyNumberFormat="1" applyFont="1" applyFill="1" applyBorder="1" applyAlignment="1">
      <alignment horizontal="right"/>
    </xf>
    <xf numFmtId="0" fontId="32" fillId="0" borderId="35" xfId="0" applyFont="1" applyFill="1" applyBorder="1" applyAlignment="1"/>
    <xf numFmtId="0" fontId="40" fillId="0" borderId="0" xfId="0" applyFont="1" applyFill="1" applyBorder="1" applyAlignment="1"/>
    <xf numFmtId="3" fontId="33" fillId="0" borderId="6" xfId="0" applyNumberFormat="1" applyFont="1" applyFill="1" applyBorder="1" applyAlignment="1">
      <alignment horizontal="right" vertical="top"/>
    </xf>
    <xf numFmtId="3" fontId="33" fillId="0" borderId="4" xfId="0" applyNumberFormat="1" applyFont="1" applyFill="1" applyBorder="1" applyAlignment="1">
      <alignment horizontal="right" vertical="top"/>
    </xf>
    <xf numFmtId="3" fontId="34" fillId="0" borderId="4" xfId="0" applyNumberFormat="1" applyFont="1" applyFill="1" applyBorder="1" applyAlignment="1">
      <alignment horizontal="right" vertical="top"/>
    </xf>
    <xf numFmtId="3" fontId="33" fillId="0" borderId="10" xfId="0" applyNumberFormat="1" applyFont="1" applyFill="1" applyBorder="1" applyAlignment="1">
      <alignment horizontal="right" vertical="top"/>
    </xf>
    <xf numFmtId="3" fontId="33" fillId="0" borderId="8" xfId="0" applyNumberFormat="1" applyFont="1" applyFill="1" applyBorder="1" applyAlignment="1">
      <alignment horizontal="right" vertical="top"/>
    </xf>
    <xf numFmtId="3" fontId="34" fillId="0" borderId="8" xfId="0" applyNumberFormat="1" applyFont="1" applyFill="1" applyBorder="1" applyAlignment="1">
      <alignment horizontal="right" vertical="top"/>
    </xf>
    <xf numFmtId="3" fontId="35" fillId="0" borderId="10" xfId="0" applyNumberFormat="1" applyFont="1" applyFill="1" applyBorder="1" applyAlignment="1">
      <alignment horizontal="right" vertical="top"/>
    </xf>
    <xf numFmtId="3" fontId="35" fillId="0" borderId="8" xfId="0" applyNumberFormat="1" applyFont="1" applyFill="1" applyBorder="1" applyAlignment="1">
      <alignment horizontal="right" vertical="top"/>
    </xf>
    <xf numFmtId="3" fontId="36" fillId="0" borderId="8" xfId="0" applyNumberFormat="1" applyFont="1" applyFill="1" applyBorder="1" applyAlignment="1">
      <alignment horizontal="right" vertical="top"/>
    </xf>
    <xf numFmtId="3" fontId="33" fillId="0" borderId="31" xfId="0" applyNumberFormat="1" applyFont="1" applyFill="1" applyBorder="1" applyAlignment="1">
      <alignment horizontal="right" vertical="top"/>
    </xf>
    <xf numFmtId="3" fontId="33" fillId="0" borderId="22" xfId="0" applyNumberFormat="1" applyFont="1" applyFill="1" applyBorder="1" applyAlignment="1">
      <alignment horizontal="right" vertical="top"/>
    </xf>
    <xf numFmtId="3" fontId="34" fillId="0" borderId="22" xfId="0" applyNumberFormat="1" applyFont="1" applyFill="1" applyBorder="1" applyAlignment="1">
      <alignment horizontal="right" vertical="top"/>
    </xf>
    <xf numFmtId="0" fontId="6" fillId="0" borderId="0" xfId="81" applyFont="1" applyFill="1"/>
    <xf numFmtId="0" fontId="8" fillId="0" borderId="35" xfId="81" applyFont="1" applyFill="1" applyBorder="1" applyAlignment="1"/>
    <xf numFmtId="0" fontId="29" fillId="0" borderId="0" xfId="49" applyFont="1" applyFill="1"/>
    <xf numFmtId="3" fontId="6" fillId="0" borderId="0" xfId="78" applyNumberFormat="1" applyFont="1" applyFill="1" applyAlignment="1">
      <alignment horizontal="left"/>
    </xf>
    <xf numFmtId="9" fontId="6" fillId="0" borderId="0" xfId="78" applyNumberFormat="1" applyFont="1" applyFill="1"/>
    <xf numFmtId="3" fontId="6" fillId="0" borderId="0" xfId="78" applyNumberFormat="1" applyFont="1" applyFill="1"/>
    <xf numFmtId="165" fontId="3" fillId="0" borderId="57" xfId="53" applyNumberFormat="1" applyFont="1" applyFill="1" applyBorder="1"/>
    <xf numFmtId="9" fontId="3" fillId="0" borderId="57" xfId="53" applyNumberFormat="1" applyFont="1" applyFill="1" applyBorder="1"/>
    <xf numFmtId="0" fontId="32" fillId="0" borderId="29" xfId="0" applyFont="1" applyFill="1" applyBorder="1" applyAlignment="1"/>
    <xf numFmtId="0" fontId="32" fillId="0" borderId="30" xfId="0" applyFont="1" applyFill="1" applyBorder="1" applyAlignment="1"/>
    <xf numFmtId="0" fontId="32" fillId="0" borderId="52" xfId="0" applyFont="1" applyFill="1" applyBorder="1" applyAlignment="1"/>
    <xf numFmtId="0" fontId="28" fillId="2" borderId="25" xfId="78" applyFont="1" applyFill="1" applyBorder="1" applyAlignment="1">
      <alignment horizontal="right"/>
    </xf>
    <xf numFmtId="3" fontId="28" fillId="2" borderId="51" xfId="78" applyNumberFormat="1" applyFont="1" applyFill="1" applyBorder="1"/>
    <xf numFmtId="0" fontId="3" fillId="2" borderId="18" xfId="79" applyFont="1" applyFill="1" applyBorder="1" applyAlignment="1">
      <alignment horizontal="left"/>
    </xf>
    <xf numFmtId="0" fontId="3" fillId="2" borderId="26" xfId="79" applyFont="1" applyFill="1" applyBorder="1" applyAlignment="1">
      <alignment horizontal="left"/>
    </xf>
    <xf numFmtId="0" fontId="3" fillId="2" borderId="55" xfId="53" applyFont="1" applyFill="1" applyBorder="1" applyAlignment="1">
      <alignment horizontal="right"/>
    </xf>
    <xf numFmtId="0" fontId="32" fillId="0" borderId="24" xfId="0" applyFont="1" applyBorder="1" applyAlignment="1"/>
    <xf numFmtId="0" fontId="32" fillId="5" borderId="5" xfId="0" applyFont="1" applyFill="1" applyBorder="1"/>
    <xf numFmtId="0" fontId="32" fillId="5" borderId="9" xfId="0" applyFont="1" applyFill="1" applyBorder="1"/>
    <xf numFmtId="0" fontId="32" fillId="5" borderId="21" xfId="0" applyFont="1" applyFill="1" applyBorder="1"/>
    <xf numFmtId="0" fontId="32" fillId="5" borderId="35" xfId="0" applyFont="1" applyFill="1" applyBorder="1"/>
    <xf numFmtId="0" fontId="32" fillId="5" borderId="41" xfId="0" applyFont="1" applyFill="1" applyBorder="1"/>
    <xf numFmtId="9" fontId="34" fillId="0" borderId="5" xfId="0" applyNumberFormat="1" applyFont="1" applyFill="1" applyBorder="1" applyAlignment="1">
      <alignment horizontal="right" vertical="top"/>
    </xf>
    <xf numFmtId="9" fontId="34" fillId="0" borderId="9" xfId="0" applyNumberFormat="1" applyFont="1" applyFill="1" applyBorder="1" applyAlignment="1">
      <alignment horizontal="right" vertical="top"/>
    </xf>
    <xf numFmtId="9" fontId="36" fillId="0" borderId="9" xfId="0" applyNumberFormat="1" applyFont="1" applyFill="1" applyBorder="1" applyAlignment="1">
      <alignment horizontal="right" vertical="top"/>
    </xf>
    <xf numFmtId="9" fontId="34" fillId="0" borderId="21" xfId="0" applyNumberFormat="1" applyFont="1" applyFill="1" applyBorder="1" applyAlignment="1">
      <alignment horizontal="right" vertical="top"/>
    </xf>
    <xf numFmtId="0" fontId="3" fillId="2" borderId="26" xfId="79" applyFont="1" applyFill="1" applyBorder="1"/>
    <xf numFmtId="0" fontId="3" fillId="2" borderId="26" xfId="53" applyFont="1" applyFill="1" applyBorder="1" applyAlignment="1">
      <alignment horizontal="left"/>
    </xf>
    <xf numFmtId="3" fontId="3" fillId="2" borderId="19" xfId="53" applyNumberFormat="1" applyFont="1" applyFill="1" applyBorder="1" applyAlignment="1">
      <alignment horizontal="left"/>
    </xf>
    <xf numFmtId="3" fontId="31" fillId="0" borderId="28" xfId="53" applyNumberFormat="1" applyFont="1" applyFill="1" applyBorder="1"/>
    <xf numFmtId="3" fontId="31" fillId="0" borderId="24" xfId="53" applyNumberFormat="1" applyFont="1" applyFill="1" applyBorder="1"/>
    <xf numFmtId="0" fontId="28" fillId="0" borderId="2" xfId="78" applyFont="1" applyFill="1" applyBorder="1" applyAlignment="1">
      <alignment horizontal="left"/>
    </xf>
    <xf numFmtId="0" fontId="31" fillId="2" borderId="41" xfId="0" applyFont="1" applyFill="1" applyBorder="1" applyAlignment="1">
      <alignment horizontal="center"/>
    </xf>
    <xf numFmtId="3" fontId="3" fillId="0" borderId="56" xfId="53" applyNumberFormat="1" applyFont="1" applyFill="1" applyBorder="1"/>
    <xf numFmtId="3" fontId="3" fillId="0" borderId="57" xfId="53" applyNumberFormat="1" applyFont="1" applyFill="1" applyBorder="1"/>
    <xf numFmtId="3" fontId="3" fillId="0" borderId="58" xfId="53" applyNumberFormat="1" applyFont="1" applyFill="1" applyBorder="1"/>
    <xf numFmtId="170" fontId="32" fillId="0" borderId="0" xfId="0" applyNumberFormat="1" applyFont="1" applyFill="1"/>
    <xf numFmtId="0" fontId="31" fillId="2" borderId="37" xfId="74" applyFont="1" applyFill="1" applyBorder="1" applyAlignment="1">
      <alignment horizontal="center"/>
    </xf>
    <xf numFmtId="0" fontId="27" fillId="5" borderId="35" xfId="80" applyFont="1" applyFill="1" applyBorder="1"/>
    <xf numFmtId="0" fontId="31" fillId="2" borderId="22" xfId="80" applyFont="1" applyFill="1" applyBorder="1" applyAlignment="1">
      <alignment horizontal="center"/>
    </xf>
    <xf numFmtId="0" fontId="31" fillId="2" borderId="21" xfId="80" applyFont="1" applyFill="1" applyBorder="1" applyAlignment="1">
      <alignment horizontal="center"/>
    </xf>
    <xf numFmtId="0" fontId="32" fillId="0" borderId="0" xfId="0" applyFont="1" applyFill="1" applyBorder="1" applyAlignment="1"/>
    <xf numFmtId="0" fontId="45" fillId="2" borderId="16" xfId="1" applyFont="1" applyFill="1" applyBorder="1"/>
    <xf numFmtId="0" fontId="46" fillId="0" borderId="0" xfId="0" applyFont="1" applyFill="1"/>
    <xf numFmtId="0" fontId="47" fillId="0" borderId="0" xfId="0" applyFont="1" applyFill="1"/>
    <xf numFmtId="0" fontId="47" fillId="0" borderId="0" xfId="0" applyFont="1" applyFill="1" applyBorder="1"/>
    <xf numFmtId="3" fontId="32" fillId="0" borderId="28" xfId="0" applyNumberFormat="1" applyFont="1" applyFill="1" applyBorder="1"/>
    <xf numFmtId="3" fontId="32" fillId="0" borderId="23" xfId="0" applyNumberFormat="1" applyFont="1" applyFill="1" applyBorder="1"/>
    <xf numFmtId="3" fontId="32" fillId="0" borderId="7" xfId="0" applyNumberFormat="1" applyFont="1" applyFill="1" applyBorder="1"/>
    <xf numFmtId="3" fontId="32" fillId="0" borderId="8" xfId="0" applyNumberFormat="1" applyFont="1" applyFill="1" applyBorder="1"/>
    <xf numFmtId="3" fontId="32" fillId="0" borderId="11" xfId="0" applyNumberFormat="1" applyFont="1" applyFill="1" applyBorder="1"/>
    <xf numFmtId="3" fontId="32" fillId="0" borderId="12" xfId="0" applyNumberFormat="1" applyFont="1" applyFill="1" applyBorder="1"/>
    <xf numFmtId="9" fontId="32" fillId="0" borderId="24" xfId="0" applyNumberFormat="1" applyFont="1" applyFill="1" applyBorder="1"/>
    <xf numFmtId="9" fontId="32" fillId="0" borderId="9" xfId="0" applyNumberFormat="1" applyFont="1" applyFill="1" applyBorder="1"/>
    <xf numFmtId="9" fontId="32" fillId="0" borderId="13" xfId="0" applyNumberFormat="1" applyFont="1" applyFill="1" applyBorder="1"/>
    <xf numFmtId="9" fontId="28" fillId="2" borderId="19" xfId="80" applyNumberFormat="1" applyFont="1" applyFill="1" applyBorder="1"/>
    <xf numFmtId="9" fontId="28" fillId="4" borderId="19" xfId="80" applyNumberFormat="1" applyFont="1" applyFill="1" applyBorder="1"/>
    <xf numFmtId="9" fontId="28" fillId="3" borderId="19" xfId="80" applyNumberFormat="1" applyFont="1" applyFill="1" applyBorder="1"/>
    <xf numFmtId="0" fontId="31" fillId="2" borderId="20" xfId="80" applyFont="1" applyFill="1" applyBorder="1" applyAlignment="1">
      <alignment horizontal="center"/>
    </xf>
    <xf numFmtId="49" fontId="37" fillId="2" borderId="8" xfId="0" applyNumberFormat="1" applyFont="1" applyFill="1" applyBorder="1" applyAlignment="1">
      <alignment horizontal="center" vertical="center"/>
    </xf>
    <xf numFmtId="0" fontId="32" fillId="0" borderId="0" xfId="0" applyFont="1" applyFill="1"/>
    <xf numFmtId="0" fontId="32" fillId="0" borderId="41" xfId="0" applyFont="1" applyFill="1" applyBorder="1" applyAlignment="1"/>
    <xf numFmtId="0" fontId="32" fillId="0" borderId="0" xfId="0" applyFont="1" applyFill="1" applyAlignment="1"/>
    <xf numFmtId="0" fontId="45" fillId="4" borderId="32" xfId="1" applyFont="1" applyFill="1" applyBorder="1"/>
    <xf numFmtId="0" fontId="45" fillId="4" borderId="16" xfId="1" applyFont="1" applyFill="1" applyBorder="1"/>
    <xf numFmtId="0" fontId="45" fillId="3" borderId="17" xfId="1" applyFont="1" applyFill="1" applyBorder="1"/>
    <xf numFmtId="0" fontId="48" fillId="0" borderId="0" xfId="0" applyFont="1" applyFill="1" applyBorder="1" applyAlignment="1">
      <alignment vertical="center"/>
    </xf>
    <xf numFmtId="0" fontId="48" fillId="0" borderId="0" xfId="0" applyFont="1" applyFill="1" applyAlignment="1">
      <alignment vertical="center"/>
    </xf>
    <xf numFmtId="0" fontId="32" fillId="2" borderId="28" xfId="0" applyFont="1" applyFill="1" applyBorder="1" applyAlignment="1">
      <alignment horizontal="center" vertical="center"/>
    </xf>
    <xf numFmtId="0" fontId="37" fillId="2" borderId="8" xfId="0" applyFont="1" applyFill="1" applyBorder="1" applyAlignment="1">
      <alignment horizontal="center" vertical="center"/>
    </xf>
    <xf numFmtId="0" fontId="32" fillId="2" borderId="24" xfId="0" applyFont="1" applyFill="1" applyBorder="1" applyAlignment="1">
      <alignment horizontal="center" vertical="center"/>
    </xf>
    <xf numFmtId="0" fontId="38" fillId="2" borderId="8" xfId="0" applyFont="1" applyFill="1" applyBorder="1" applyAlignment="1">
      <alignment horizontal="center" vertical="center" wrapText="1"/>
    </xf>
    <xf numFmtId="165" fontId="31" fillId="2" borderId="23" xfId="53" applyNumberFormat="1" applyFont="1" applyFill="1" applyBorder="1" applyAlignment="1">
      <alignment horizontal="right"/>
    </xf>
    <xf numFmtId="0" fontId="45" fillId="3" borderId="7" xfId="1" applyFont="1" applyFill="1" applyBorder="1"/>
    <xf numFmtId="0" fontId="45" fillId="3" borderId="3" xfId="1" applyFont="1" applyFill="1" applyBorder="1"/>
    <xf numFmtId="0" fontId="45" fillId="6" borderId="3" xfId="1" applyFont="1" applyFill="1" applyBorder="1"/>
    <xf numFmtId="0" fontId="45" fillId="6" borderId="50" xfId="1" applyFont="1" applyFill="1" applyBorder="1"/>
    <xf numFmtId="0" fontId="45" fillId="2" borderId="3" xfId="1" applyFont="1" applyFill="1" applyBorder="1"/>
    <xf numFmtId="0" fontId="45" fillId="4" borderId="3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4" xfId="0" applyNumberFormat="1" applyFont="1" applyFill="1" applyBorder="1"/>
    <xf numFmtId="3" fontId="39" fillId="2" borderId="46" xfId="0" applyNumberFormat="1" applyFont="1" applyFill="1" applyBorder="1"/>
    <xf numFmtId="9" fontId="39" fillId="2" borderId="51" xfId="0" applyNumberFormat="1" applyFont="1" applyFill="1" applyBorder="1"/>
    <xf numFmtId="0" fontId="49" fillId="2" borderId="17" xfId="1" applyFont="1" applyFill="1" applyBorder="1" applyAlignment="1"/>
    <xf numFmtId="0" fontId="32" fillId="2" borderId="27" xfId="0" applyFont="1" applyFill="1" applyBorder="1" applyAlignment="1"/>
    <xf numFmtId="3" fontId="32" fillId="2" borderId="26" xfId="0" applyNumberFormat="1" applyFont="1" applyFill="1" applyBorder="1" applyAlignment="1"/>
    <xf numFmtId="9" fontId="32" fillId="2" borderId="19" xfId="0" applyNumberFormat="1" applyFont="1" applyFill="1" applyBorder="1" applyAlignment="1"/>
    <xf numFmtId="0" fontId="39" fillId="2" borderId="48" xfId="0" applyFont="1" applyFill="1" applyBorder="1" applyAlignment="1"/>
    <xf numFmtId="0" fontId="32" fillId="0" borderId="6" xfId="0" applyFont="1" applyBorder="1" applyAlignment="1"/>
    <xf numFmtId="3" fontId="32" fillId="0" borderId="4" xfId="0" applyNumberFormat="1" applyFont="1" applyBorder="1" applyAlignment="1"/>
    <xf numFmtId="9" fontId="32" fillId="0" borderId="9" xfId="0" applyNumberFormat="1" applyFont="1" applyBorder="1" applyAlignment="1"/>
    <xf numFmtId="0" fontId="29" fillId="2" borderId="33" xfId="1" applyFont="1" applyFill="1" applyBorder="1" applyAlignment="1">
      <alignment horizontal="left" indent="2"/>
    </xf>
    <xf numFmtId="0" fontId="32" fillId="0" borderId="10" xfId="0" applyFont="1" applyBorder="1" applyAlignment="1"/>
    <xf numFmtId="3" fontId="32" fillId="0" borderId="8" xfId="0" applyNumberFormat="1" applyFont="1" applyBorder="1" applyAlignment="1"/>
    <xf numFmtId="0" fontId="45" fillId="2" borderId="33" xfId="1" applyFont="1" applyFill="1" applyBorder="1" applyAlignment="1">
      <alignment horizontal="left" indent="4"/>
    </xf>
    <xf numFmtId="9" fontId="32" fillId="0" borderId="8" xfId="0" applyNumberFormat="1" applyFont="1" applyBorder="1" applyAlignment="1"/>
    <xf numFmtId="0" fontId="32" fillId="2" borderId="33" xfId="0" applyFont="1" applyFill="1" applyBorder="1" applyAlignment="1">
      <alignment horizontal="left" indent="2"/>
    </xf>
    <xf numFmtId="0" fontId="31" fillId="2" borderId="33" xfId="1" applyFont="1" applyFill="1" applyBorder="1" applyAlignment="1"/>
    <xf numFmtId="0" fontId="45" fillId="2" borderId="33" xfId="1" applyFont="1" applyFill="1" applyBorder="1" applyAlignment="1">
      <alignment horizontal="left" indent="2"/>
    </xf>
    <xf numFmtId="0" fontId="49" fillId="2" borderId="33" xfId="1" applyFont="1" applyFill="1" applyBorder="1" applyAlignment="1"/>
    <xf numFmtId="0" fontId="32" fillId="0" borderId="31" xfId="0" applyFont="1" applyBorder="1" applyAlignment="1"/>
    <xf numFmtId="3" fontId="32" fillId="0" borderId="22" xfId="0" applyNumberFormat="1" applyFont="1" applyBorder="1" applyAlignment="1"/>
    <xf numFmtId="9" fontId="32" fillId="0" borderId="21" xfId="0" applyNumberFormat="1" applyFont="1" applyBorder="1" applyAlignment="1"/>
    <xf numFmtId="0" fontId="39" fillId="0" borderId="35" xfId="0" applyFont="1" applyFill="1" applyBorder="1" applyAlignment="1">
      <alignment horizontal="left" indent="2"/>
    </xf>
    <xf numFmtId="0" fontId="32" fillId="0" borderId="35" xfId="0" applyFont="1" applyBorder="1" applyAlignment="1"/>
    <xf numFmtId="3" fontId="32" fillId="0" borderId="35" xfId="0" applyNumberFormat="1" applyFont="1" applyBorder="1" applyAlignment="1"/>
    <xf numFmtId="9" fontId="32" fillId="0" borderId="35" xfId="0" applyNumberFormat="1" applyFont="1" applyBorder="1" applyAlignment="1"/>
    <xf numFmtId="0" fontId="49" fillId="4" borderId="17" xfId="1" applyFont="1" applyFill="1" applyBorder="1" applyAlignment="1">
      <alignment horizontal="left"/>
    </xf>
    <xf numFmtId="0" fontId="32" fillId="4" borderId="27" xfId="0" applyFont="1" applyFill="1" applyBorder="1" applyAlignment="1"/>
    <xf numFmtId="3" fontId="32" fillId="4" borderId="26" xfId="0" applyNumberFormat="1" applyFont="1" applyFill="1" applyBorder="1" applyAlignment="1"/>
    <xf numFmtId="9" fontId="32" fillId="4" borderId="19" xfId="0" applyNumberFormat="1" applyFont="1" applyFill="1" applyBorder="1" applyAlignment="1"/>
    <xf numFmtId="0" fontId="49" fillId="4" borderId="48" xfId="1" applyFont="1" applyFill="1" applyBorder="1" applyAlignment="1">
      <alignment horizontal="left"/>
    </xf>
    <xf numFmtId="0" fontId="45" fillId="4" borderId="33" xfId="1" applyFont="1" applyFill="1" applyBorder="1" applyAlignment="1">
      <alignment horizontal="left" indent="2"/>
    </xf>
    <xf numFmtId="0" fontId="49" fillId="4" borderId="33" xfId="1" applyFont="1" applyFill="1" applyBorder="1" applyAlignment="1">
      <alignment horizontal="left"/>
    </xf>
    <xf numFmtId="0" fontId="32" fillId="4" borderId="34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1" xfId="0" applyNumberFormat="1" applyFont="1" applyBorder="1" applyAlignment="1"/>
    <xf numFmtId="0" fontId="39" fillId="3" borderId="17" xfId="0" applyFont="1" applyFill="1" applyBorder="1" applyAlignment="1"/>
    <xf numFmtId="0" fontId="32" fillId="3" borderId="27" xfId="0" applyFont="1" applyFill="1" applyBorder="1" applyAlignment="1"/>
    <xf numFmtId="3" fontId="32" fillId="3" borderId="26" xfId="0" applyNumberFormat="1" applyFont="1" applyFill="1" applyBorder="1" applyAlignment="1"/>
    <xf numFmtId="9" fontId="32" fillId="3" borderId="19" xfId="0" applyNumberFormat="1" applyFont="1" applyFill="1" applyBorder="1" applyAlignment="1"/>
    <xf numFmtId="0" fontId="40" fillId="0" borderId="0" xfId="0" applyFont="1" applyFill="1"/>
    <xf numFmtId="16" fontId="40" fillId="0" borderId="0" xfId="0" quotePrefix="1" applyNumberFormat="1" applyFont="1" applyFill="1"/>
    <xf numFmtId="0" fontId="40" fillId="0" borderId="0" xfId="0" quotePrefix="1" applyFont="1" applyFill="1"/>
    <xf numFmtId="172" fontId="40" fillId="0" borderId="0" xfId="0" applyNumberFormat="1" applyFont="1" applyFill="1"/>
    <xf numFmtId="173" fontId="40" fillId="0" borderId="0" xfId="0" applyNumberFormat="1" applyFont="1" applyFill="1"/>
    <xf numFmtId="3" fontId="40" fillId="0" borderId="0" xfId="0" applyNumberFormat="1" applyFont="1" applyFill="1"/>
    <xf numFmtId="0" fontId="7" fillId="0" borderId="0" xfId="80" applyFont="1" applyFill="1"/>
    <xf numFmtId="0" fontId="50" fillId="0" borderId="35" xfId="80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5" fontId="32" fillId="0" borderId="0" xfId="0" applyNumberFormat="1" applyFont="1" applyFill="1"/>
    <xf numFmtId="9" fontId="32" fillId="0" borderId="0" xfId="0" applyNumberFormat="1" applyFont="1" applyFill="1"/>
    <xf numFmtId="165" fontId="27" fillId="0" borderId="0" xfId="78" applyNumberFormat="1" applyFont="1" applyFill="1" applyBorder="1" applyAlignment="1"/>
    <xf numFmtId="3" fontId="27" fillId="0" borderId="0" xfId="78" applyNumberFormat="1" applyFont="1" applyFill="1" applyBorder="1" applyAlignment="1"/>
    <xf numFmtId="165" fontId="32" fillId="0" borderId="0" xfId="0" applyNumberFormat="1" applyFont="1" applyFill="1" applyAlignment="1">
      <alignment horizontal="right"/>
    </xf>
    <xf numFmtId="3" fontId="6" fillId="0" borderId="0" xfId="78" applyNumberFormat="1" applyFont="1" applyFill="1" applyBorder="1" applyAlignment="1"/>
    <xf numFmtId="9" fontId="6" fillId="0" borderId="0" xfId="78" applyNumberFormat="1" applyFont="1" applyFill="1" applyBorder="1" applyAlignment="1"/>
    <xf numFmtId="0" fontId="39" fillId="2" borderId="25" xfId="0" applyFont="1" applyFill="1" applyBorder="1" applyAlignment="1">
      <alignment horizontal="right"/>
    </xf>
    <xf numFmtId="170" fontId="39" fillId="0" borderId="18" xfId="0" applyNumberFormat="1" applyFont="1" applyFill="1" applyBorder="1" applyAlignment="1"/>
    <xf numFmtId="170" fontId="39" fillId="0" borderId="26" xfId="0" applyNumberFormat="1" applyFont="1" applyFill="1" applyBorder="1" applyAlignment="1"/>
    <xf numFmtId="9" fontId="39" fillId="0" borderId="19" xfId="0" applyNumberFormat="1" applyFont="1" applyFill="1" applyBorder="1" applyAlignment="1"/>
    <xf numFmtId="170" fontId="39" fillId="0" borderId="27" xfId="0" applyNumberFormat="1" applyFont="1" applyFill="1" applyBorder="1" applyAlignment="1"/>
    <xf numFmtId="9" fontId="39" fillId="0" borderId="43" xfId="0" applyNumberFormat="1" applyFont="1" applyFill="1" applyBorder="1" applyAlignment="1"/>
    <xf numFmtId="3" fontId="32" fillId="0" borderId="41" xfId="0" applyNumberFormat="1" applyFont="1" applyFill="1" applyBorder="1" applyAlignment="1"/>
    <xf numFmtId="9" fontId="32" fillId="0" borderId="41" xfId="0" applyNumberFormat="1" applyFont="1" applyFill="1" applyBorder="1" applyAlignment="1"/>
    <xf numFmtId="3" fontId="0" fillId="0" borderId="0" xfId="0" applyNumberFormat="1"/>
    <xf numFmtId="3" fontId="0" fillId="7" borderId="61" xfId="0" applyNumberFormat="1" applyFont="1" applyFill="1" applyBorder="1"/>
    <xf numFmtId="3" fontId="52" fillId="8" borderId="62" xfId="0" applyNumberFormat="1" applyFont="1" applyFill="1" applyBorder="1"/>
    <xf numFmtId="3" fontId="52" fillId="8" borderId="61" xfId="0" applyNumberFormat="1" applyFont="1" applyFill="1" applyBorder="1"/>
    <xf numFmtId="0" fontId="53" fillId="0" borderId="0" xfId="1" applyFont="1" applyFill="1"/>
    <xf numFmtId="3" fontId="51" fillId="0" borderId="0" xfId="26" applyNumberFormat="1" applyFont="1" applyFill="1" applyBorder="1" applyAlignment="1"/>
    <xf numFmtId="3" fontId="39" fillId="2" borderId="65" xfId="0" applyNumberFormat="1" applyFont="1" applyFill="1" applyBorder="1" applyAlignment="1">
      <alignment horizontal="center" vertical="center"/>
    </xf>
    <xf numFmtId="0" fontId="39" fillId="2" borderId="66" xfId="0" applyFont="1" applyFill="1" applyBorder="1" applyAlignment="1">
      <alignment horizontal="center" vertical="center"/>
    </xf>
    <xf numFmtId="0" fontId="39" fillId="2" borderId="67" xfId="0" applyFont="1" applyFill="1" applyBorder="1" applyAlignment="1">
      <alignment horizontal="center" vertical="center"/>
    </xf>
    <xf numFmtId="3" fontId="54" fillId="2" borderId="68" xfId="0" applyNumberFormat="1" applyFont="1" applyFill="1" applyBorder="1" applyAlignment="1">
      <alignment horizontal="center" vertical="center" wrapText="1"/>
    </xf>
    <xf numFmtId="0" fontId="54" fillId="2" borderId="69" xfId="0" applyFont="1" applyFill="1" applyBorder="1" applyAlignment="1">
      <alignment horizontal="center" vertical="center" wrapText="1"/>
    </xf>
    <xf numFmtId="0" fontId="54" fillId="2" borderId="70" xfId="0" applyFont="1" applyFill="1" applyBorder="1" applyAlignment="1">
      <alignment horizontal="center" vertical="center" wrapText="1"/>
    </xf>
    <xf numFmtId="0" fontId="39" fillId="2" borderId="71" xfId="0" applyFont="1" applyFill="1" applyBorder="1" applyAlignment="1"/>
    <xf numFmtId="0" fontId="39" fillId="2" borderId="73" xfId="0" applyFont="1" applyFill="1" applyBorder="1" applyAlignment="1">
      <alignment horizontal="left" indent="1"/>
    </xf>
    <xf numFmtId="0" fontId="39" fillId="2" borderId="79" xfId="0" applyFont="1" applyFill="1" applyBorder="1" applyAlignment="1">
      <alignment horizontal="left" indent="1"/>
    </xf>
    <xf numFmtId="0" fontId="39" fillId="4" borderId="71" xfId="0" applyFont="1" applyFill="1" applyBorder="1" applyAlignment="1"/>
    <xf numFmtId="0" fontId="39" fillId="4" borderId="73" xfId="0" applyFont="1" applyFill="1" applyBorder="1" applyAlignment="1">
      <alignment horizontal="left" indent="1"/>
    </xf>
    <xf numFmtId="0" fontId="39" fillId="4" borderId="84" xfId="0" applyFont="1" applyFill="1" applyBorder="1" applyAlignment="1">
      <alignment horizontal="left" indent="1"/>
    </xf>
    <xf numFmtId="0" fontId="32" fillId="2" borderId="73" xfId="0" quotePrefix="1" applyFont="1" applyFill="1" applyBorder="1" applyAlignment="1">
      <alignment horizontal="left" indent="2"/>
    </xf>
    <xf numFmtId="0" fontId="32" fillId="2" borderId="79" xfId="0" quotePrefix="1" applyFont="1" applyFill="1" applyBorder="1" applyAlignment="1">
      <alignment horizontal="left" indent="2"/>
    </xf>
    <xf numFmtId="0" fontId="39" fillId="2" borderId="71" xfId="0" applyFont="1" applyFill="1" applyBorder="1" applyAlignment="1">
      <alignment horizontal="left" indent="1"/>
    </xf>
    <xf numFmtId="0" fontId="39" fillId="2" borderId="84" xfId="0" applyFont="1" applyFill="1" applyBorder="1" applyAlignment="1">
      <alignment horizontal="left" indent="1"/>
    </xf>
    <xf numFmtId="0" fontId="39" fillId="4" borderId="79" xfId="0" applyFont="1" applyFill="1" applyBorder="1" applyAlignment="1">
      <alignment horizontal="left" indent="1"/>
    </xf>
    <xf numFmtId="0" fontId="32" fillId="0" borderId="89" xfId="0" applyFont="1" applyBorder="1"/>
    <xf numFmtId="3" fontId="32" fillId="0" borderId="89" xfId="0" applyNumberFormat="1" applyFont="1" applyBorder="1"/>
    <xf numFmtId="0" fontId="39" fillId="4" borderId="63" xfId="0" applyFont="1" applyFill="1" applyBorder="1" applyAlignment="1">
      <alignment horizontal="center" vertical="center"/>
    </xf>
    <xf numFmtId="0" fontId="39" fillId="4" borderId="52" xfId="0" applyFont="1" applyFill="1" applyBorder="1" applyAlignment="1">
      <alignment horizontal="center" vertical="center"/>
    </xf>
    <xf numFmtId="0" fontId="0" fillId="0" borderId="0" xfId="0" applyNumberFormat="1"/>
    <xf numFmtId="3" fontId="39" fillId="2" borderId="88" xfId="0" applyNumberFormat="1" applyFont="1" applyFill="1" applyBorder="1" applyAlignment="1">
      <alignment horizontal="center" vertical="center"/>
    </xf>
    <xf numFmtId="3" fontId="54" fillId="2" borderId="86" xfId="0" applyNumberFormat="1" applyFont="1" applyFill="1" applyBorder="1" applyAlignment="1">
      <alignment horizontal="center" vertical="center" wrapText="1"/>
    </xf>
    <xf numFmtId="174" fontId="39" fillId="4" borderId="72" xfId="0" applyNumberFormat="1" applyFont="1" applyFill="1" applyBorder="1" applyAlignment="1"/>
    <xf numFmtId="174" fontId="39" fillId="4" borderId="65" xfId="0" applyNumberFormat="1" applyFont="1" applyFill="1" applyBorder="1" applyAlignment="1"/>
    <xf numFmtId="174" fontId="39" fillId="4" borderId="66" xfId="0" applyNumberFormat="1" applyFont="1" applyFill="1" applyBorder="1" applyAlignment="1"/>
    <xf numFmtId="174" fontId="39" fillId="4" borderId="67" xfId="0" applyNumberFormat="1" applyFont="1" applyFill="1" applyBorder="1" applyAlignment="1"/>
    <xf numFmtId="174" fontId="39" fillId="0" borderId="74" xfId="0" applyNumberFormat="1" applyFont="1" applyBorder="1"/>
    <xf numFmtId="174" fontId="32" fillId="0" borderId="78" xfId="0" applyNumberFormat="1" applyFont="1" applyBorder="1"/>
    <xf numFmtId="174" fontId="32" fillId="0" borderId="76" xfId="0" applyNumberFormat="1" applyFont="1" applyBorder="1"/>
    <xf numFmtId="174" fontId="32" fillId="0" borderId="77" xfId="0" applyNumberFormat="1" applyFont="1" applyBorder="1"/>
    <xf numFmtId="174" fontId="39" fillId="0" borderId="85" xfId="0" applyNumberFormat="1" applyFont="1" applyBorder="1"/>
    <xf numFmtId="174" fontId="32" fillId="0" borderId="86" xfId="0" applyNumberFormat="1" applyFont="1" applyBorder="1"/>
    <xf numFmtId="174" fontId="32" fillId="0" borderId="69" xfId="0" applyNumberFormat="1" applyFont="1" applyBorder="1"/>
    <xf numFmtId="174" fontId="32" fillId="0" borderId="70" xfId="0" applyNumberFormat="1" applyFont="1" applyBorder="1"/>
    <xf numFmtId="174" fontId="39" fillId="2" borderId="87" xfId="0" applyNumberFormat="1" applyFont="1" applyFill="1" applyBorder="1" applyAlignment="1"/>
    <xf numFmtId="174" fontId="39" fillId="2" borderId="65" xfId="0" applyNumberFormat="1" applyFont="1" applyFill="1" applyBorder="1" applyAlignment="1"/>
    <xf numFmtId="174" fontId="39" fillId="2" borderId="66" xfId="0" applyNumberFormat="1" applyFont="1" applyFill="1" applyBorder="1" applyAlignment="1"/>
    <xf numFmtId="174" fontId="39" fillId="2" borderId="67" xfId="0" applyNumberFormat="1" applyFont="1" applyFill="1" applyBorder="1" applyAlignment="1"/>
    <xf numFmtId="174" fontId="39" fillId="0" borderId="80" xfId="0" applyNumberFormat="1" applyFont="1" applyBorder="1"/>
    <xf numFmtId="174" fontId="32" fillId="0" borderId="81" xfId="0" applyNumberFormat="1" applyFont="1" applyBorder="1"/>
    <xf numFmtId="174" fontId="32" fillId="0" borderId="82" xfId="0" applyNumberFormat="1" applyFont="1" applyBorder="1"/>
    <xf numFmtId="174" fontId="32" fillId="0" borderId="83" xfId="0" applyNumberFormat="1" applyFont="1" applyBorder="1"/>
    <xf numFmtId="174" fontId="39" fillId="0" borderId="72" xfId="0" applyNumberFormat="1" applyFont="1" applyBorder="1"/>
    <xf numFmtId="174" fontId="32" fillId="0" borderId="88" xfId="0" applyNumberFormat="1" applyFont="1" applyBorder="1"/>
    <xf numFmtId="174" fontId="32" fillId="0" borderId="66" xfId="0" applyNumberFormat="1" applyFont="1" applyBorder="1"/>
    <xf numFmtId="174" fontId="32" fillId="0" borderId="67" xfId="0" applyNumberFormat="1" applyFont="1" applyBorder="1"/>
    <xf numFmtId="174" fontId="32" fillId="0" borderId="75" xfId="0" applyNumberFormat="1" applyFont="1" applyBorder="1"/>
    <xf numFmtId="174" fontId="32" fillId="0" borderId="68" xfId="0" applyNumberFormat="1" applyFont="1" applyBorder="1"/>
    <xf numFmtId="175" fontId="39" fillId="2" borderId="72" xfId="0" applyNumberFormat="1" applyFont="1" applyFill="1" applyBorder="1" applyAlignment="1"/>
    <xf numFmtId="175" fontId="32" fillId="2" borderId="65" xfId="0" applyNumberFormat="1" applyFont="1" applyFill="1" applyBorder="1" applyAlignment="1"/>
    <xf numFmtId="175" fontId="32" fillId="2" borderId="66" xfId="0" applyNumberFormat="1" applyFont="1" applyFill="1" applyBorder="1" applyAlignment="1"/>
    <xf numFmtId="175" fontId="32" fillId="2" borderId="67" xfId="0" applyNumberFormat="1" applyFont="1" applyFill="1" applyBorder="1" applyAlignment="1"/>
    <xf numFmtId="175" fontId="39" fillId="0" borderId="74" xfId="0" applyNumberFormat="1" applyFont="1" applyBorder="1"/>
    <xf numFmtId="175" fontId="32" fillId="0" borderId="75" xfId="0" applyNumberFormat="1" applyFont="1" applyBorder="1"/>
    <xf numFmtId="175" fontId="32" fillId="0" borderId="76" xfId="0" applyNumberFormat="1" applyFont="1" applyBorder="1"/>
    <xf numFmtId="175" fontId="32" fillId="0" borderId="77" xfId="0" applyNumberFormat="1" applyFont="1" applyBorder="1"/>
    <xf numFmtId="175" fontId="32" fillId="0" borderId="78" xfId="0" applyNumberFormat="1" applyFont="1" applyBorder="1"/>
    <xf numFmtId="175" fontId="39" fillId="0" borderId="80" xfId="0" applyNumberFormat="1" applyFont="1" applyBorder="1"/>
    <xf numFmtId="175" fontId="32" fillId="0" borderId="81" xfId="0" applyNumberFormat="1" applyFont="1" applyBorder="1"/>
    <xf numFmtId="175" fontId="32" fillId="0" borderId="82" xfId="0" applyNumberFormat="1" applyFont="1" applyBorder="1"/>
    <xf numFmtId="175" fontId="32" fillId="0" borderId="83" xfId="0" applyNumberFormat="1" applyFont="1" applyBorder="1"/>
    <xf numFmtId="0" fontId="25" fillId="2" borderId="16" xfId="1" applyFill="1" applyBorder="1"/>
    <xf numFmtId="0" fontId="56" fillId="0" borderId="0" xfId="0" applyFont="1" applyAlignment="1">
      <alignment horizontal="left" vertical="center" indent="1"/>
    </xf>
    <xf numFmtId="0" fontId="56" fillId="0" borderId="0" xfId="0" applyFont="1" applyAlignment="1">
      <alignment vertical="center"/>
    </xf>
    <xf numFmtId="0" fontId="0" fillId="0" borderId="0" xfId="0" applyAlignment="1"/>
    <xf numFmtId="0" fontId="39" fillId="3" borderId="25" xfId="0" applyFont="1" applyFill="1" applyBorder="1" applyAlignment="1"/>
    <xf numFmtId="0" fontId="32" fillId="0" borderId="36" xfId="0" applyFont="1" applyBorder="1" applyAlignment="1"/>
    <xf numFmtId="0" fontId="39" fillId="2" borderId="25" xfId="0" applyFont="1" applyFill="1" applyBorder="1" applyAlignment="1"/>
    <xf numFmtId="0" fontId="39" fillId="4" borderId="25" xfId="0" applyFont="1" applyFill="1" applyBorder="1" applyAlignment="1"/>
    <xf numFmtId="0" fontId="41" fillId="0" borderId="1" xfId="0" applyFont="1" applyFill="1" applyBorder="1" applyAlignment="1"/>
    <xf numFmtId="0" fontId="41" fillId="0" borderId="1" xfId="0" applyFont="1" applyBorder="1" applyAlignment="1"/>
    <xf numFmtId="0" fontId="30" fillId="5" borderId="15" xfId="80" applyFont="1" applyFill="1" applyBorder="1" applyAlignment="1">
      <alignment horizontal="center" vertical="center"/>
    </xf>
    <xf numFmtId="0" fontId="40" fillId="0" borderId="2" xfId="0" applyFont="1" applyBorder="1" applyAlignment="1">
      <alignment horizontal="center" vertical="center"/>
    </xf>
    <xf numFmtId="0" fontId="31" fillId="2" borderId="39" xfId="80" applyFont="1" applyFill="1" applyBorder="1" applyAlignment="1">
      <alignment horizontal="center"/>
    </xf>
    <xf numFmtId="0" fontId="31" fillId="2" borderId="40" xfId="80" applyFont="1" applyFill="1" applyBorder="1" applyAlignment="1">
      <alignment horizontal="center"/>
    </xf>
    <xf numFmtId="0" fontId="31" fillId="2" borderId="37" xfId="80" applyFont="1" applyFill="1" applyBorder="1" applyAlignment="1">
      <alignment horizontal="center"/>
    </xf>
    <xf numFmtId="0" fontId="31" fillId="2" borderId="59" xfId="80" applyFont="1" applyFill="1" applyBorder="1" applyAlignment="1">
      <alignment horizontal="center"/>
    </xf>
    <xf numFmtId="0" fontId="31" fillId="2" borderId="38" xfId="80" applyFont="1" applyFill="1" applyBorder="1" applyAlignment="1">
      <alignment horizontal="center"/>
    </xf>
    <xf numFmtId="0" fontId="2" fillId="0" borderId="1" xfId="0" applyFont="1" applyFill="1" applyBorder="1" applyAlignment="1"/>
    <xf numFmtId="0" fontId="38" fillId="2" borderId="23" xfId="0" applyFont="1" applyFill="1" applyBorder="1" applyAlignment="1">
      <alignment horizontal="center" vertical="center"/>
    </xf>
    <xf numFmtId="0" fontId="32" fillId="2" borderId="28" xfId="0" applyFont="1" applyFill="1" applyBorder="1" applyAlignment="1">
      <alignment horizontal="center" vertical="center"/>
    </xf>
    <xf numFmtId="0" fontId="37" fillId="2" borderId="8" xfId="0" applyFont="1" applyFill="1" applyBorder="1" applyAlignment="1">
      <alignment horizontal="center" vertical="center"/>
    </xf>
    <xf numFmtId="0" fontId="32" fillId="2" borderId="9" xfId="0" applyFont="1" applyFill="1" applyBorder="1" applyAlignment="1">
      <alignment horizontal="center" vertical="center"/>
    </xf>
    <xf numFmtId="0" fontId="5" fillId="0" borderId="1" xfId="0" applyFont="1" applyFill="1" applyBorder="1" applyAlignment="1"/>
    <xf numFmtId="0" fontId="32" fillId="2" borderId="7" xfId="0" applyFont="1" applyFill="1" applyBorder="1" applyAlignment="1">
      <alignment horizontal="center" vertical="center"/>
    </xf>
    <xf numFmtId="0" fontId="32" fillId="2" borderId="8" xfId="0" applyFont="1" applyFill="1" applyBorder="1" applyAlignment="1">
      <alignment horizontal="center" vertical="center"/>
    </xf>
    <xf numFmtId="0" fontId="38" fillId="2" borderId="28" xfId="0" applyFont="1" applyFill="1" applyBorder="1" applyAlignment="1">
      <alignment horizontal="center" vertical="center"/>
    </xf>
    <xf numFmtId="0" fontId="32" fillId="2" borderId="24" xfId="0" applyFont="1" applyFill="1" applyBorder="1" applyAlignment="1">
      <alignment horizontal="center" vertical="center"/>
    </xf>
    <xf numFmtId="0" fontId="38" fillId="2" borderId="8" xfId="0" applyFont="1" applyFill="1" applyBorder="1" applyAlignment="1">
      <alignment horizontal="center" vertical="center" wrapText="1"/>
    </xf>
    <xf numFmtId="0" fontId="32" fillId="2" borderId="22" xfId="0" applyFont="1" applyFill="1" applyBorder="1" applyAlignment="1">
      <alignment horizontal="center" vertical="center" wrapText="1"/>
    </xf>
    <xf numFmtId="0" fontId="36" fillId="2" borderId="8" xfId="0" applyFont="1" applyFill="1" applyBorder="1" applyAlignment="1">
      <alignment horizontal="center" vertical="center" wrapText="1"/>
    </xf>
    <xf numFmtId="0" fontId="36" fillId="2" borderId="9" xfId="0" applyFont="1" applyFill="1" applyBorder="1" applyAlignment="1">
      <alignment horizontal="center" vertical="center" wrapText="1"/>
    </xf>
    <xf numFmtId="0" fontId="32" fillId="2" borderId="21" xfId="0" applyFont="1" applyFill="1" applyBorder="1" applyAlignment="1">
      <alignment horizontal="center" vertical="center" wrapText="1"/>
    </xf>
    <xf numFmtId="0" fontId="2" fillId="0" borderId="1" xfId="14" applyFont="1" applyFill="1" applyBorder="1" applyAlignment="1"/>
    <xf numFmtId="0" fontId="41" fillId="0" borderId="1" xfId="14" applyFont="1" applyFill="1" applyBorder="1" applyAlignment="1"/>
    <xf numFmtId="165" fontId="31" fillId="0" borderId="0" xfId="53" applyNumberFormat="1" applyFont="1" applyFill="1" applyBorder="1" applyAlignment="1">
      <alignment horizontal="center"/>
    </xf>
    <xf numFmtId="165" fontId="29" fillId="0" borderId="0" xfId="79" applyNumberFormat="1" applyFont="1" applyFill="1" applyBorder="1" applyAlignment="1">
      <alignment horizontal="center"/>
    </xf>
    <xf numFmtId="165" fontId="31" fillId="2" borderId="23" xfId="53" applyNumberFormat="1" applyFont="1" applyFill="1" applyBorder="1" applyAlignment="1">
      <alignment horizontal="right"/>
    </xf>
    <xf numFmtId="165" fontId="29" fillId="2" borderId="28" xfId="79" applyNumberFormat="1" applyFont="1" applyFill="1" applyBorder="1" applyAlignment="1">
      <alignment horizontal="right"/>
    </xf>
    <xf numFmtId="165" fontId="42" fillId="0" borderId="1" xfId="14" applyNumberFormat="1" applyFont="1" applyFill="1" applyBorder="1" applyAlignment="1"/>
    <xf numFmtId="0" fontId="5" fillId="0" borderId="1" xfId="14" applyFont="1" applyFill="1" applyBorder="1" applyAlignment="1">
      <alignment wrapText="1"/>
    </xf>
    <xf numFmtId="0" fontId="5" fillId="0" borderId="1" xfId="14" applyFont="1" applyFill="1" applyBorder="1" applyAlignment="1"/>
    <xf numFmtId="3" fontId="28" fillId="2" borderId="53" xfId="78" applyNumberFormat="1" applyFont="1" applyFill="1" applyBorder="1" applyAlignment="1">
      <alignment horizontal="left"/>
    </xf>
    <xf numFmtId="0" fontId="32" fillId="2" borderId="45" xfId="0" applyFont="1" applyFill="1" applyBorder="1" applyAlignment="1"/>
    <xf numFmtId="3" fontId="28" fillId="2" borderId="47" xfId="78" applyNumberFormat="1" applyFont="1" applyFill="1" applyBorder="1" applyAlignment="1"/>
    <xf numFmtId="0" fontId="39" fillId="2" borderId="53" xfId="0" applyFont="1" applyFill="1" applyBorder="1" applyAlignment="1">
      <alignment horizontal="left"/>
    </xf>
    <xf numFmtId="0" fontId="32" fillId="2" borderId="41" xfId="0" applyFont="1" applyFill="1" applyBorder="1" applyAlignment="1">
      <alignment horizontal="left"/>
    </xf>
    <xf numFmtId="0" fontId="32" fillId="2" borderId="45" xfId="0" applyFont="1" applyFill="1" applyBorder="1" applyAlignment="1">
      <alignment horizontal="left"/>
    </xf>
    <xf numFmtId="0" fontId="39" fillId="2" borderId="47" xfId="0" applyFont="1" applyFill="1" applyBorder="1" applyAlignment="1">
      <alignment horizontal="left"/>
    </xf>
    <xf numFmtId="3" fontId="39" fillId="2" borderId="47" xfId="0" applyNumberFormat="1" applyFont="1" applyFill="1" applyBorder="1" applyAlignment="1">
      <alignment horizontal="left"/>
    </xf>
    <xf numFmtId="3" fontId="32" fillId="2" borderId="42" xfId="0" applyNumberFormat="1" applyFont="1" applyFill="1" applyBorder="1" applyAlignment="1">
      <alignment horizontal="left"/>
    </xf>
    <xf numFmtId="174" fontId="32" fillId="0" borderId="91" xfId="0" applyNumberFormat="1" applyFont="1" applyBorder="1" applyAlignment="1"/>
    <xf numFmtId="174" fontId="32" fillId="0" borderId="86" xfId="0" applyNumberFormat="1" applyFont="1" applyBorder="1" applyAlignment="1"/>
    <xf numFmtId="174" fontId="32" fillId="0" borderId="69" xfId="0" applyNumberFormat="1" applyFont="1" applyBorder="1" applyAlignment="1"/>
    <xf numFmtId="0" fontId="2" fillId="0" borderId="1" xfId="26" applyFont="1" applyFill="1" applyBorder="1" applyAlignment="1"/>
    <xf numFmtId="0" fontId="0" fillId="0" borderId="1" xfId="0" applyBorder="1" applyAlignment="1"/>
    <xf numFmtId="167" fontId="39" fillId="2" borderId="64" xfId="0" applyNumberFormat="1" applyFont="1" applyFill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174" fontId="32" fillId="0" borderId="90" xfId="0" applyNumberFormat="1" applyFont="1" applyBorder="1" applyAlignment="1"/>
    <xf numFmtId="174" fontId="32" fillId="0" borderId="78" xfId="0" applyNumberFormat="1" applyFont="1" applyBorder="1" applyAlignment="1"/>
    <xf numFmtId="174" fontId="32" fillId="0" borderId="76" xfId="0" applyNumberFormat="1" applyFont="1" applyBorder="1" applyAlignment="1"/>
    <xf numFmtId="174" fontId="39" fillId="4" borderId="92" xfId="0" applyNumberFormat="1" applyFont="1" applyFill="1" applyBorder="1" applyAlignment="1">
      <alignment horizontal="center"/>
    </xf>
    <xf numFmtId="174" fontId="39" fillId="4" borderId="88" xfId="0" applyNumberFormat="1" applyFont="1" applyFill="1" applyBorder="1" applyAlignment="1">
      <alignment horizontal="center"/>
    </xf>
    <xf numFmtId="174" fontId="39" fillId="4" borderId="66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wrapText="1"/>
    </xf>
    <xf numFmtId="0" fontId="39" fillId="2" borderId="51" xfId="0" applyFont="1" applyFill="1" applyBorder="1" applyAlignment="1">
      <alignment vertical="center"/>
    </xf>
    <xf numFmtId="3" fontId="31" fillId="2" borderId="53" xfId="26" applyNumberFormat="1" applyFont="1" applyFill="1" applyBorder="1" applyAlignment="1">
      <alignment horizontal="center"/>
    </xf>
    <xf numFmtId="3" fontId="31" fillId="2" borderId="41" xfId="26" applyNumberFormat="1" applyFont="1" applyFill="1" applyBorder="1" applyAlignment="1">
      <alignment horizontal="center"/>
    </xf>
    <xf numFmtId="3" fontId="31" fillId="2" borderId="42" xfId="26" applyNumberFormat="1" applyFont="1" applyFill="1" applyBorder="1" applyAlignment="1">
      <alignment horizontal="center"/>
    </xf>
    <xf numFmtId="3" fontId="31" fillId="2" borderId="42" xfId="0" applyNumberFormat="1" applyFont="1" applyFill="1" applyBorder="1" applyAlignment="1">
      <alignment horizontal="center" vertical="top"/>
    </xf>
    <xf numFmtId="0" fontId="31" fillId="2" borderId="29" xfId="0" applyFont="1" applyFill="1" applyBorder="1" applyAlignment="1">
      <alignment horizontal="center" vertical="top" wrapText="1"/>
    </xf>
    <xf numFmtId="0" fontId="31" fillId="2" borderId="29" xfId="0" applyFont="1" applyFill="1" applyBorder="1" applyAlignment="1">
      <alignment horizontal="center" vertical="top"/>
    </xf>
    <xf numFmtId="49" fontId="31" fillId="2" borderId="29" xfId="0" applyNumberFormat="1" applyFont="1" applyFill="1" applyBorder="1" applyAlignment="1">
      <alignment horizontal="center" vertical="top"/>
    </xf>
    <xf numFmtId="0" fontId="31" fillId="2" borderId="29" xfId="0" applyFont="1" applyFill="1" applyBorder="1" applyAlignment="1">
      <alignment horizontal="center" vertical="center"/>
    </xf>
    <xf numFmtId="0" fontId="31" fillId="2" borderId="53" xfId="0" quotePrefix="1" applyFont="1" applyFill="1" applyBorder="1" applyAlignment="1">
      <alignment horizontal="center"/>
    </xf>
    <xf numFmtId="0" fontId="31" fillId="2" borderId="42" xfId="0" applyFont="1" applyFill="1" applyBorder="1" applyAlignment="1">
      <alignment horizontal="center"/>
    </xf>
    <xf numFmtId="9" fontId="43" fillId="2" borderId="42" xfId="0" applyNumberFormat="1" applyFont="1" applyFill="1" applyBorder="1" applyAlignment="1">
      <alignment horizontal="center" vertical="top"/>
    </xf>
    <xf numFmtId="3" fontId="33" fillId="9" borderId="94" xfId="0" applyNumberFormat="1" applyFont="1" applyFill="1" applyBorder="1" applyAlignment="1">
      <alignment horizontal="right" vertical="top"/>
    </xf>
    <xf numFmtId="3" fontId="33" fillId="9" borderId="95" xfId="0" applyNumberFormat="1" applyFont="1" applyFill="1" applyBorder="1" applyAlignment="1">
      <alignment horizontal="right" vertical="top"/>
    </xf>
    <xf numFmtId="176" fontId="33" fillId="9" borderId="96" xfId="0" applyNumberFormat="1" applyFont="1" applyFill="1" applyBorder="1" applyAlignment="1">
      <alignment horizontal="right" vertical="top"/>
    </xf>
    <xf numFmtId="3" fontId="33" fillId="0" borderId="94" xfId="0" applyNumberFormat="1" applyFont="1" applyBorder="1" applyAlignment="1">
      <alignment horizontal="right" vertical="top"/>
    </xf>
    <xf numFmtId="176" fontId="33" fillId="9" borderId="97" xfId="0" applyNumberFormat="1" applyFont="1" applyFill="1" applyBorder="1" applyAlignment="1">
      <alignment horizontal="right" vertical="top"/>
    </xf>
    <xf numFmtId="3" fontId="35" fillId="9" borderId="99" xfId="0" applyNumberFormat="1" applyFont="1" applyFill="1" applyBorder="1" applyAlignment="1">
      <alignment horizontal="right" vertical="top"/>
    </xf>
    <xf numFmtId="3" fontId="35" fillId="9" borderId="100" xfId="0" applyNumberFormat="1" applyFont="1" applyFill="1" applyBorder="1" applyAlignment="1">
      <alignment horizontal="right" vertical="top"/>
    </xf>
    <xf numFmtId="0" fontId="35" fillId="9" borderId="101" xfId="0" applyFont="1" applyFill="1" applyBorder="1" applyAlignment="1">
      <alignment horizontal="right" vertical="top"/>
    </xf>
    <xf numFmtId="3" fontId="35" fillId="0" borderId="99" xfId="0" applyNumberFormat="1" applyFont="1" applyBorder="1" applyAlignment="1">
      <alignment horizontal="right" vertical="top"/>
    </xf>
    <xf numFmtId="0" fontId="35" fillId="9" borderId="102" xfId="0" applyFont="1" applyFill="1" applyBorder="1" applyAlignment="1">
      <alignment horizontal="right" vertical="top"/>
    </xf>
    <xf numFmtId="0" fontId="33" fillId="9" borderId="96" xfId="0" applyFont="1" applyFill="1" applyBorder="1" applyAlignment="1">
      <alignment horizontal="right" vertical="top"/>
    </xf>
    <xf numFmtId="0" fontId="33" fillId="9" borderId="97" xfId="0" applyFont="1" applyFill="1" applyBorder="1" applyAlignment="1">
      <alignment horizontal="right" vertical="top"/>
    </xf>
    <xf numFmtId="176" fontId="35" fillId="9" borderId="101" xfId="0" applyNumberFormat="1" applyFont="1" applyFill="1" applyBorder="1" applyAlignment="1">
      <alignment horizontal="right" vertical="top"/>
    </xf>
    <xf numFmtId="176" fontId="35" fillId="9" borderId="102" xfId="0" applyNumberFormat="1" applyFont="1" applyFill="1" applyBorder="1" applyAlignment="1">
      <alignment horizontal="right" vertical="top"/>
    </xf>
    <xf numFmtId="3" fontId="35" fillId="0" borderId="103" xfId="0" applyNumberFormat="1" applyFont="1" applyBorder="1" applyAlignment="1">
      <alignment horizontal="right" vertical="top"/>
    </xf>
    <xf numFmtId="3" fontId="35" fillId="0" borderId="104" xfId="0" applyNumberFormat="1" applyFont="1" applyBorder="1" applyAlignment="1">
      <alignment horizontal="right" vertical="top"/>
    </xf>
    <xf numFmtId="3" fontId="35" fillId="0" borderId="105" xfId="0" applyNumberFormat="1" applyFont="1" applyBorder="1" applyAlignment="1">
      <alignment horizontal="right" vertical="top"/>
    </xf>
    <xf numFmtId="176" fontId="35" fillId="9" borderId="106" xfId="0" applyNumberFormat="1" applyFont="1" applyFill="1" applyBorder="1" applyAlignment="1">
      <alignment horizontal="right" vertical="top"/>
    </xf>
    <xf numFmtId="0" fontId="37" fillId="10" borderId="93" xfId="0" applyFont="1" applyFill="1" applyBorder="1" applyAlignment="1">
      <alignment vertical="top"/>
    </xf>
    <xf numFmtId="0" fontId="37" fillId="10" borderId="93" xfId="0" applyFont="1" applyFill="1" applyBorder="1" applyAlignment="1">
      <alignment vertical="top" indent="2"/>
    </xf>
    <xf numFmtId="0" fontId="37" fillId="10" borderId="93" xfId="0" applyFont="1" applyFill="1" applyBorder="1" applyAlignment="1">
      <alignment vertical="top" indent="4"/>
    </xf>
    <xf numFmtId="0" fontId="38" fillId="10" borderId="98" xfId="0" applyFont="1" applyFill="1" applyBorder="1" applyAlignment="1">
      <alignment vertical="top" indent="6"/>
    </xf>
    <xf numFmtId="0" fontId="37" fillId="10" borderId="93" xfId="0" applyFont="1" applyFill="1" applyBorder="1" applyAlignment="1">
      <alignment vertical="top" indent="8"/>
    </xf>
    <xf numFmtId="0" fontId="38" fillId="10" borderId="98" xfId="0" applyFont="1" applyFill="1" applyBorder="1" applyAlignment="1">
      <alignment vertical="top" indent="2"/>
    </xf>
    <xf numFmtId="0" fontId="37" fillId="10" borderId="93" xfId="0" applyFont="1" applyFill="1" applyBorder="1" applyAlignment="1">
      <alignment vertical="top" indent="6"/>
    </xf>
    <xf numFmtId="0" fontId="38" fillId="10" borderId="98" xfId="0" applyFont="1" applyFill="1" applyBorder="1" applyAlignment="1">
      <alignment vertical="top" indent="4"/>
    </xf>
    <xf numFmtId="0" fontId="32" fillId="10" borderId="93" xfId="0" applyFont="1" applyFill="1" applyBorder="1"/>
    <xf numFmtId="0" fontId="38" fillId="10" borderId="17" xfId="0" applyFont="1" applyFill="1" applyBorder="1" applyAlignment="1">
      <alignment vertical="top"/>
    </xf>
    <xf numFmtId="0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/>
    <xf numFmtId="9" fontId="29" fillId="0" borderId="0" xfId="0" applyNumberFormat="1" applyFont="1" applyFill="1" applyBorder="1"/>
    <xf numFmtId="165" fontId="31" fillId="2" borderId="107" xfId="53" applyNumberFormat="1" applyFont="1" applyFill="1" applyBorder="1" applyAlignment="1">
      <alignment horizontal="left"/>
    </xf>
    <xf numFmtId="165" fontId="31" fillId="2" borderId="108" xfId="53" applyNumberFormat="1" applyFont="1" applyFill="1" applyBorder="1" applyAlignment="1">
      <alignment horizontal="left"/>
    </xf>
    <xf numFmtId="165" fontId="31" fillId="2" borderId="49" xfId="53" applyNumberFormat="1" applyFont="1" applyFill="1" applyBorder="1" applyAlignment="1">
      <alignment horizontal="left"/>
    </xf>
    <xf numFmtId="3" fontId="31" fillId="2" borderId="49" xfId="53" applyNumberFormat="1" applyFont="1" applyFill="1" applyBorder="1" applyAlignment="1">
      <alignment horizontal="left"/>
    </xf>
    <xf numFmtId="3" fontId="31" fillId="2" borderId="54" xfId="53" applyNumberFormat="1" applyFont="1" applyFill="1" applyBorder="1" applyAlignment="1">
      <alignment horizontal="left"/>
    </xf>
    <xf numFmtId="3" fontId="32" fillId="0" borderId="108" xfId="0" applyNumberFormat="1" applyFont="1" applyFill="1" applyBorder="1"/>
    <xf numFmtId="3" fontId="32" fillId="0" borderId="110" xfId="0" applyNumberFormat="1" applyFont="1" applyFill="1" applyBorder="1"/>
    <xf numFmtId="0" fontId="32" fillId="0" borderId="65" xfId="0" applyFont="1" applyFill="1" applyBorder="1"/>
    <xf numFmtId="0" fontId="32" fillId="0" borderId="66" xfId="0" applyFont="1" applyFill="1" applyBorder="1"/>
    <xf numFmtId="165" fontId="32" fillId="0" borderId="66" xfId="0" applyNumberFormat="1" applyFont="1" applyFill="1" applyBorder="1"/>
    <xf numFmtId="165" fontId="32" fillId="0" borderId="66" xfId="0" applyNumberFormat="1" applyFont="1" applyFill="1" applyBorder="1" applyAlignment="1">
      <alignment horizontal="right"/>
    </xf>
    <xf numFmtId="3" fontId="32" fillId="0" borderId="66" xfId="0" applyNumberFormat="1" applyFont="1" applyFill="1" applyBorder="1"/>
    <xf numFmtId="3" fontId="32" fillId="0" borderId="67" xfId="0" applyNumberFormat="1" applyFont="1" applyFill="1" applyBorder="1"/>
    <xf numFmtId="0" fontId="32" fillId="0" borderId="75" xfId="0" applyFont="1" applyFill="1" applyBorder="1"/>
    <xf numFmtId="0" fontId="32" fillId="0" borderId="76" xfId="0" applyFont="1" applyFill="1" applyBorder="1"/>
    <xf numFmtId="165" fontId="32" fillId="0" borderId="76" xfId="0" applyNumberFormat="1" applyFont="1" applyFill="1" applyBorder="1"/>
    <xf numFmtId="165" fontId="32" fillId="0" borderId="76" xfId="0" applyNumberFormat="1" applyFont="1" applyFill="1" applyBorder="1" applyAlignment="1">
      <alignment horizontal="right"/>
    </xf>
    <xf numFmtId="3" fontId="32" fillId="0" borderId="76" xfId="0" applyNumberFormat="1" applyFont="1" applyFill="1" applyBorder="1"/>
    <xf numFmtId="3" fontId="32" fillId="0" borderId="77" xfId="0" applyNumberFormat="1" applyFont="1" applyFill="1" applyBorder="1"/>
    <xf numFmtId="0" fontId="32" fillId="0" borderId="68" xfId="0" applyFont="1" applyFill="1" applyBorder="1"/>
    <xf numFmtId="0" fontId="32" fillId="0" borderId="69" xfId="0" applyFont="1" applyFill="1" applyBorder="1"/>
    <xf numFmtId="165" fontId="32" fillId="0" borderId="69" xfId="0" applyNumberFormat="1" applyFont="1" applyFill="1" applyBorder="1"/>
    <xf numFmtId="165" fontId="32" fillId="0" borderId="69" xfId="0" applyNumberFormat="1" applyFont="1" applyFill="1" applyBorder="1" applyAlignment="1">
      <alignment horizontal="right"/>
    </xf>
    <xf numFmtId="3" fontId="32" fillId="0" borderId="69" xfId="0" applyNumberFormat="1" applyFont="1" applyFill="1" applyBorder="1"/>
    <xf numFmtId="3" fontId="32" fillId="0" borderId="70" xfId="0" applyNumberFormat="1" applyFont="1" applyFill="1" applyBorder="1"/>
    <xf numFmtId="0" fontId="39" fillId="2" borderId="107" xfId="0" applyFont="1" applyFill="1" applyBorder="1"/>
    <xf numFmtId="3" fontId="39" fillId="2" borderId="109" xfId="0" applyNumberFormat="1" applyFont="1" applyFill="1" applyBorder="1"/>
    <xf numFmtId="9" fontId="39" fillId="2" borderId="60" xfId="0" applyNumberFormat="1" applyFont="1" applyFill="1" applyBorder="1"/>
    <xf numFmtId="3" fontId="39" fillId="2" borderId="54" xfId="0" applyNumberFormat="1" applyFont="1" applyFill="1" applyBorder="1"/>
    <xf numFmtId="9" fontId="32" fillId="0" borderId="108" xfId="0" applyNumberFormat="1" applyFont="1" applyFill="1" applyBorder="1"/>
    <xf numFmtId="9" fontId="32" fillId="0" borderId="66" xfId="0" applyNumberFormat="1" applyFont="1" applyFill="1" applyBorder="1"/>
    <xf numFmtId="9" fontId="32" fillId="0" borderId="69" xfId="0" applyNumberFormat="1" applyFont="1" applyFill="1" applyBorder="1"/>
    <xf numFmtId="0" fontId="32" fillId="0" borderId="18" xfId="0" applyFont="1" applyFill="1" applyBorder="1"/>
    <xf numFmtId="3" fontId="32" fillId="0" borderId="26" xfId="0" applyNumberFormat="1" applyFont="1" applyFill="1" applyBorder="1"/>
    <xf numFmtId="9" fontId="32" fillId="0" borderId="26" xfId="0" applyNumberFormat="1" applyFont="1" applyFill="1" applyBorder="1"/>
    <xf numFmtId="3" fontId="32" fillId="0" borderId="19" xfId="0" applyNumberFormat="1" applyFont="1" applyFill="1" applyBorder="1"/>
    <xf numFmtId="0" fontId="39" fillId="10" borderId="18" xfId="0" applyFont="1" applyFill="1" applyBorder="1"/>
    <xf numFmtId="3" fontId="39" fillId="10" borderId="26" xfId="0" applyNumberFormat="1" applyFont="1" applyFill="1" applyBorder="1"/>
    <xf numFmtId="9" fontId="39" fillId="10" borderId="26" xfId="0" applyNumberFormat="1" applyFont="1" applyFill="1" applyBorder="1"/>
    <xf numFmtId="3" fontId="39" fillId="10" borderId="19" xfId="0" applyNumberFormat="1" applyFont="1" applyFill="1" applyBorder="1"/>
    <xf numFmtId="0" fontId="39" fillId="0" borderId="107" xfId="0" applyFont="1" applyFill="1" applyBorder="1"/>
    <xf numFmtId="0" fontId="32" fillId="5" borderId="9" xfId="0" applyFont="1" applyFill="1" applyBorder="1" applyAlignment="1">
      <alignment wrapText="1"/>
    </xf>
    <xf numFmtId="0" fontId="39" fillId="2" borderId="108" xfId="0" applyFont="1" applyFill="1" applyBorder="1"/>
    <xf numFmtId="3" fontId="39" fillId="2" borderId="0" xfId="0" applyNumberFormat="1" applyFont="1" applyFill="1" applyBorder="1"/>
    <xf numFmtId="3" fontId="39" fillId="2" borderId="15" xfId="0" applyNumberFormat="1" applyFont="1" applyFill="1" applyBorder="1"/>
    <xf numFmtId="0" fontId="32" fillId="0" borderId="26" xfId="0" applyFont="1" applyFill="1" applyBorder="1"/>
    <xf numFmtId="0" fontId="32" fillId="2" borderId="54" xfId="0" applyFont="1" applyFill="1" applyBorder="1" applyAlignment="1">
      <alignment vertical="center"/>
    </xf>
    <xf numFmtId="0" fontId="31" fillId="2" borderId="14" xfId="26" applyNumberFormat="1" applyFont="1" applyFill="1" applyBorder="1"/>
    <xf numFmtId="0" fontId="31" fillId="2" borderId="0" xfId="26" applyNumberFormat="1" applyFont="1" applyFill="1" applyBorder="1"/>
    <xf numFmtId="0" fontId="31" fillId="2" borderId="15" xfId="26" applyNumberFormat="1" applyFont="1" applyFill="1" applyBorder="1" applyAlignment="1">
      <alignment horizontal="right"/>
    </xf>
    <xf numFmtId="170" fontId="32" fillId="0" borderId="66" xfId="0" applyNumberFormat="1" applyFont="1" applyFill="1" applyBorder="1"/>
    <xf numFmtId="9" fontId="32" fillId="0" borderId="67" xfId="0" applyNumberFormat="1" applyFont="1" applyFill="1" applyBorder="1"/>
    <xf numFmtId="170" fontId="32" fillId="0" borderId="69" xfId="0" applyNumberFormat="1" applyFont="1" applyFill="1" applyBorder="1"/>
    <xf numFmtId="9" fontId="32" fillId="0" borderId="70" xfId="0" applyNumberFormat="1" applyFont="1" applyFill="1" applyBorder="1"/>
    <xf numFmtId="0" fontId="39" fillId="0" borderId="65" xfId="0" applyFont="1" applyFill="1" applyBorder="1"/>
    <xf numFmtId="0" fontId="39" fillId="0" borderId="68" xfId="0" applyFont="1" applyFill="1" applyBorder="1"/>
    <xf numFmtId="0" fontId="57" fillId="0" borderId="0" xfId="0" applyFont="1" applyFill="1"/>
    <xf numFmtId="0" fontId="58" fillId="0" borderId="0" xfId="0" applyFont="1" applyFill="1"/>
    <xf numFmtId="0" fontId="32" fillId="2" borderId="30" xfId="0" applyFont="1" applyFill="1" applyBorder="1" applyAlignment="1">
      <alignment horizontal="center" vertical="top" wrapText="1"/>
    </xf>
    <xf numFmtId="0" fontId="31" fillId="2" borderId="30" xfId="0" applyFont="1" applyFill="1" applyBorder="1" applyAlignment="1">
      <alignment horizontal="center" vertical="top"/>
    </xf>
    <xf numFmtId="49" fontId="31" fillId="2" borderId="30" xfId="0" applyNumberFormat="1" applyFont="1" applyFill="1" applyBorder="1" applyAlignment="1">
      <alignment horizontal="center" vertical="top"/>
    </xf>
    <xf numFmtId="0" fontId="31" fillId="2" borderId="30" xfId="0" applyFont="1" applyFill="1" applyBorder="1" applyAlignment="1">
      <alignment horizontal="center" vertical="center"/>
    </xf>
    <xf numFmtId="3" fontId="31" fillId="2" borderId="14" xfId="0" applyNumberFormat="1" applyFont="1" applyFill="1" applyBorder="1" applyAlignment="1">
      <alignment horizontal="left"/>
    </xf>
    <xf numFmtId="3" fontId="31" fillId="2" borderId="15" xfId="0" applyNumberFormat="1" applyFont="1" applyFill="1" applyBorder="1" applyAlignment="1">
      <alignment horizontal="center"/>
    </xf>
    <xf numFmtId="3" fontId="31" fillId="2" borderId="0" xfId="0" applyNumberFormat="1" applyFont="1" applyFill="1" applyBorder="1" applyAlignment="1">
      <alignment horizontal="center"/>
    </xf>
    <xf numFmtId="9" fontId="43" fillId="2" borderId="15" xfId="0" applyNumberFormat="1" applyFont="1" applyFill="1" applyBorder="1" applyAlignment="1">
      <alignment horizontal="center" vertical="top"/>
    </xf>
    <xf numFmtId="3" fontId="31" fillId="2" borderId="15" xfId="0" applyNumberFormat="1" applyFont="1" applyFill="1" applyBorder="1" applyAlignment="1">
      <alignment horizontal="center" vertical="top"/>
    </xf>
    <xf numFmtId="9" fontId="32" fillId="0" borderId="76" xfId="0" applyNumberFormat="1" applyFont="1" applyFill="1" applyBorder="1"/>
  </cellXfs>
  <cellStyles count="97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6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Manažerské tabulky" xfId="80"/>
    <cellStyle name="normální_Sestava hospodaření" xfId="81"/>
    <cellStyle name="Procenta 10" xfId="82"/>
    <cellStyle name="Procenta 11" xfId="83"/>
    <cellStyle name="Procenta 2" xfId="84"/>
    <cellStyle name="Procenta 2 2" xfId="85"/>
    <cellStyle name="Procenta 2 2 2" xfId="86"/>
    <cellStyle name="Procenta 2 3" xfId="87"/>
    <cellStyle name="Procenta 3" xfId="88"/>
    <cellStyle name="Procenta 3 2" xfId="89"/>
    <cellStyle name="Procenta 4" xfId="90"/>
    <cellStyle name="Procenta 5" xfId="91"/>
    <cellStyle name="Procenta 6" xfId="92"/>
    <cellStyle name="Procenta 7" xfId="93"/>
    <cellStyle name="Procenta 8" xfId="94"/>
    <cellStyle name="Procenta 9" xfId="95"/>
  </cellStyles>
  <dxfs count="45"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Graf'!$A$4:$B$4</c:f>
              <c:numCache>
                <c:formatCode>General</c:formatCode>
                <c:ptCount val="2"/>
                <c:pt idx="0">
                  <c:v>0</c:v>
                </c:pt>
                <c:pt idx="1">
                  <c:v>0.78949766060367887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81222016"/>
        <c:axId val="881224320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0.55285701247721886</c:v>
                </c:pt>
                <c:pt idx="1">
                  <c:v>0.55285701247721886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97368448"/>
        <c:axId val="907165696"/>
      </c:scatterChart>
      <c:catAx>
        <c:axId val="8812220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8812243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8122432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881222016"/>
        <c:crosses val="autoZero"/>
        <c:crossBetween val="between"/>
      </c:valAx>
      <c:valAx>
        <c:axId val="897368448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907165696"/>
        <c:crosses val="max"/>
        <c:crossBetween val="midCat"/>
      </c:valAx>
      <c:valAx>
        <c:axId val="907165696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897368448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21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20" bestFit="1" customWidth="1"/>
    <col min="2" max="2" width="98.6640625" style="120" customWidth="1"/>
    <col min="3" max="3" width="16.109375" style="47" hidden="1" customWidth="1"/>
    <col min="4" max="16384" width="8.88671875" style="120"/>
  </cols>
  <sheetData>
    <row r="1" spans="1:3" ht="18.600000000000001" customHeight="1" thickBot="1" x14ac:dyDescent="0.4">
      <c r="A1" s="290" t="s">
        <v>98</v>
      </c>
      <c r="B1" s="290"/>
    </row>
    <row r="2" spans="1:3" ht="14.4" customHeight="1" thickBot="1" x14ac:dyDescent="0.35">
      <c r="A2" s="217" t="s">
        <v>223</v>
      </c>
      <c r="B2" s="46"/>
    </row>
    <row r="3" spans="1:3" ht="14.4" customHeight="1" thickBot="1" x14ac:dyDescent="0.35">
      <c r="A3" s="286" t="s">
        <v>124</v>
      </c>
      <c r="B3" s="287"/>
    </row>
    <row r="4" spans="1:3" ht="14.4" customHeight="1" x14ac:dyDescent="0.3">
      <c r="A4" s="133" t="str">
        <f t="shared" ref="A4:A8" si="0">HYPERLINK("#'"&amp;C4&amp;"'!A1",C4)</f>
        <v>Motivace</v>
      </c>
      <c r="B4" s="76" t="s">
        <v>109</v>
      </c>
      <c r="C4" s="47" t="s">
        <v>110</v>
      </c>
    </row>
    <row r="5" spans="1:3" ht="14.4" customHeight="1" x14ac:dyDescent="0.3">
      <c r="A5" s="134" t="str">
        <f t="shared" si="0"/>
        <v>HI</v>
      </c>
      <c r="B5" s="77" t="s">
        <v>121</v>
      </c>
      <c r="C5" s="47" t="s">
        <v>101</v>
      </c>
    </row>
    <row r="6" spans="1:3" ht="14.4" customHeight="1" x14ac:dyDescent="0.3">
      <c r="A6" s="135" t="str">
        <f t="shared" si="0"/>
        <v>HI Graf</v>
      </c>
      <c r="B6" s="78" t="s">
        <v>95</v>
      </c>
      <c r="C6" s="47" t="s">
        <v>102</v>
      </c>
    </row>
    <row r="7" spans="1:3" ht="14.4" customHeight="1" x14ac:dyDescent="0.3">
      <c r="A7" s="135" t="str">
        <f t="shared" si="0"/>
        <v>Man Tab</v>
      </c>
      <c r="B7" s="78" t="s">
        <v>225</v>
      </c>
      <c r="C7" s="47" t="s">
        <v>103</v>
      </c>
    </row>
    <row r="8" spans="1:3" ht="14.4" customHeight="1" thickBot="1" x14ac:dyDescent="0.35">
      <c r="A8" s="136" t="str">
        <f t="shared" si="0"/>
        <v>HV</v>
      </c>
      <c r="B8" s="79" t="s">
        <v>51</v>
      </c>
      <c r="C8" s="47" t="s">
        <v>56</v>
      </c>
    </row>
    <row r="9" spans="1:3" ht="14.4" customHeight="1" thickBot="1" x14ac:dyDescent="0.35">
      <c r="A9" s="80"/>
      <c r="B9" s="80"/>
    </row>
    <row r="10" spans="1:3" ht="14.4" customHeight="1" thickBot="1" x14ac:dyDescent="0.35">
      <c r="A10" s="288" t="s">
        <v>99</v>
      </c>
      <c r="B10" s="287"/>
    </row>
    <row r="11" spans="1:3" ht="14.4" customHeight="1" x14ac:dyDescent="0.3">
      <c r="A11" s="137" t="str">
        <f t="shared" ref="A11:A17" si="1">HYPERLINK("#'"&amp;C11&amp;"'!A1",C11)</f>
        <v>Léky Žádanky</v>
      </c>
      <c r="B11" s="77" t="s">
        <v>122</v>
      </c>
      <c r="C11" s="47" t="s">
        <v>104</v>
      </c>
    </row>
    <row r="12" spans="1:3" ht="14.4" customHeight="1" x14ac:dyDescent="0.3">
      <c r="A12" s="135" t="str">
        <f t="shared" si="1"/>
        <v>LŽ Detail</v>
      </c>
      <c r="B12" s="78" t="s">
        <v>144</v>
      </c>
      <c r="C12" s="47" t="s">
        <v>105</v>
      </c>
    </row>
    <row r="13" spans="1:3" ht="28.8" customHeight="1" x14ac:dyDescent="0.3">
      <c r="A13" s="135" t="str">
        <f t="shared" si="1"/>
        <v>LŽ PL</v>
      </c>
      <c r="B13" s="431" t="s">
        <v>146</v>
      </c>
      <c r="C13" s="47" t="s">
        <v>129</v>
      </c>
    </row>
    <row r="14" spans="1:3" ht="14.4" customHeight="1" x14ac:dyDescent="0.3">
      <c r="A14" s="135" t="str">
        <f t="shared" si="1"/>
        <v>LŽ PL Detail</v>
      </c>
      <c r="B14" s="78" t="s">
        <v>523</v>
      </c>
      <c r="C14" s="47" t="s">
        <v>130</v>
      </c>
    </row>
    <row r="15" spans="1:3" ht="14.4" customHeight="1" x14ac:dyDescent="0.3">
      <c r="A15" s="137" t="str">
        <f t="shared" si="1"/>
        <v>Materiál Žádanky</v>
      </c>
      <c r="B15" s="78" t="s">
        <v>123</v>
      </c>
      <c r="C15" s="47" t="s">
        <v>106</v>
      </c>
    </row>
    <row r="16" spans="1:3" ht="14.4" customHeight="1" x14ac:dyDescent="0.3">
      <c r="A16" s="135" t="str">
        <f t="shared" si="1"/>
        <v>MŽ Detail</v>
      </c>
      <c r="B16" s="78" t="s">
        <v>1114</v>
      </c>
      <c r="C16" s="47" t="s">
        <v>107</v>
      </c>
    </row>
    <row r="17" spans="1:3" ht="14.4" customHeight="1" thickBot="1" x14ac:dyDescent="0.35">
      <c r="A17" s="137" t="str">
        <f t="shared" si="1"/>
        <v>Osobní náklady</v>
      </c>
      <c r="B17" s="78" t="s">
        <v>96</v>
      </c>
      <c r="C17" s="47" t="s">
        <v>108</v>
      </c>
    </row>
    <row r="18" spans="1:3" ht="14.4" customHeight="1" thickBot="1" x14ac:dyDescent="0.35">
      <c r="A18" s="81"/>
      <c r="B18" s="81"/>
    </row>
    <row r="19" spans="1:3" ht="14.4" customHeight="1" thickBot="1" x14ac:dyDescent="0.35">
      <c r="A19" s="289" t="s">
        <v>100</v>
      </c>
      <c r="B19" s="287"/>
    </row>
    <row r="20" spans="1:3" ht="14.4" customHeight="1" x14ac:dyDescent="0.3">
      <c r="A20" s="138" t="str">
        <f t="shared" ref="A20:A21" si="2">HYPERLINK("#'"&amp;C20&amp;"'!A1",C20)</f>
        <v>ZV Vykáz.-A</v>
      </c>
      <c r="B20" s="77" t="s">
        <v>1120</v>
      </c>
      <c r="C20" s="47" t="s">
        <v>111</v>
      </c>
    </row>
    <row r="21" spans="1:3" ht="14.4" customHeight="1" x14ac:dyDescent="0.3">
      <c r="A21" s="135" t="str">
        <f t="shared" si="2"/>
        <v>ZV Vykáz.-A Detail</v>
      </c>
      <c r="B21" s="78" t="s">
        <v>1325</v>
      </c>
      <c r="C21" s="47" t="s">
        <v>112</v>
      </c>
    </row>
  </sheetData>
  <mergeCells count="4">
    <mergeCell ref="A3:B3"/>
    <mergeCell ref="A10:B10"/>
    <mergeCell ref="A19:B19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theme="0" tint="-0.249977111117893"/>
    <pageSetUpPr fitToPage="1"/>
  </sheetPr>
  <dimension ref="A1:M6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5.77734375" style="120" bestFit="1" customWidth="1"/>
    <col min="2" max="2" width="8.88671875" style="120" bestFit="1" customWidth="1"/>
    <col min="3" max="3" width="7" style="120" bestFit="1" customWidth="1"/>
    <col min="4" max="4" width="53.44140625" style="120" bestFit="1" customWidth="1"/>
    <col min="5" max="5" width="28.44140625" style="120" bestFit="1" customWidth="1"/>
    <col min="6" max="6" width="6.6640625" style="196" customWidth="1"/>
    <col min="7" max="7" width="10" style="196" customWidth="1"/>
    <col min="8" max="8" width="6.77734375" style="199" bestFit="1" customWidth="1"/>
    <col min="9" max="9" width="6.6640625" style="196" customWidth="1"/>
    <col min="10" max="10" width="10" style="196" customWidth="1"/>
    <col min="11" max="11" width="6.77734375" style="199" bestFit="1" customWidth="1"/>
    <col min="12" max="12" width="6.6640625" style="196" customWidth="1"/>
    <col min="13" max="13" width="10" style="196" customWidth="1"/>
    <col min="14" max="16384" width="8.88671875" style="120"/>
  </cols>
  <sheetData>
    <row r="1" spans="1:13" ht="18.600000000000001" customHeight="1" thickBot="1" x14ac:dyDescent="0.4">
      <c r="A1" s="322" t="s">
        <v>523</v>
      </c>
      <c r="B1" s="322"/>
      <c r="C1" s="322"/>
      <c r="D1" s="322"/>
      <c r="E1" s="322"/>
      <c r="F1" s="322"/>
      <c r="G1" s="322"/>
      <c r="H1" s="322"/>
      <c r="I1" s="322"/>
      <c r="J1" s="322"/>
      <c r="K1" s="322"/>
      <c r="L1" s="290"/>
      <c r="M1" s="290"/>
    </row>
    <row r="2" spans="1:13" ht="14.4" customHeight="1" thickBot="1" x14ac:dyDescent="0.35">
      <c r="A2" s="217" t="s">
        <v>223</v>
      </c>
      <c r="B2" s="195"/>
      <c r="C2" s="195"/>
      <c r="D2" s="195"/>
      <c r="E2" s="195"/>
      <c r="F2" s="203"/>
      <c r="G2" s="203"/>
      <c r="H2" s="204"/>
      <c r="I2" s="203"/>
      <c r="J2" s="203"/>
      <c r="K2" s="204"/>
      <c r="L2" s="203"/>
    </row>
    <row r="3" spans="1:13" ht="14.4" customHeight="1" thickBot="1" x14ac:dyDescent="0.35">
      <c r="E3" s="71" t="s">
        <v>113</v>
      </c>
      <c r="F3" s="43">
        <f>SUBTOTAL(9,F6:F1048576)</f>
        <v>0</v>
      </c>
      <c r="G3" s="43">
        <f>SUBTOTAL(9,G6:G1048576)</f>
        <v>0</v>
      </c>
      <c r="H3" s="44">
        <f>IF(M3=0,0,G3/M3)</f>
        <v>0</v>
      </c>
      <c r="I3" s="43">
        <f>SUBTOTAL(9,I6:I1048576)</f>
        <v>1</v>
      </c>
      <c r="J3" s="43">
        <f>SUBTOTAL(9,J6:J1048576)</f>
        <v>169.95205735037158</v>
      </c>
      <c r="K3" s="44">
        <f>IF(M3=0,0,J3/M3)</f>
        <v>1</v>
      </c>
      <c r="L3" s="43">
        <f>SUBTOTAL(9,L6:L1048576)</f>
        <v>1</v>
      </c>
      <c r="M3" s="45">
        <f>SUBTOTAL(9,M6:M1048576)</f>
        <v>169.95205735037158</v>
      </c>
    </row>
    <row r="4" spans="1:13" ht="14.4" customHeight="1" thickBot="1" x14ac:dyDescent="0.35">
      <c r="A4" s="41"/>
      <c r="B4" s="41"/>
      <c r="C4" s="41"/>
      <c r="D4" s="41"/>
      <c r="E4" s="42"/>
      <c r="F4" s="326" t="s">
        <v>115</v>
      </c>
      <c r="G4" s="327"/>
      <c r="H4" s="328"/>
      <c r="I4" s="329" t="s">
        <v>114</v>
      </c>
      <c r="J4" s="327"/>
      <c r="K4" s="328"/>
      <c r="L4" s="330" t="s">
        <v>6</v>
      </c>
      <c r="M4" s="331"/>
    </row>
    <row r="5" spans="1:13" ht="14.4" customHeight="1" thickBot="1" x14ac:dyDescent="0.35">
      <c r="A5" s="415" t="s">
        <v>116</v>
      </c>
      <c r="B5" s="432" t="s">
        <v>117</v>
      </c>
      <c r="C5" s="432" t="s">
        <v>61</v>
      </c>
      <c r="D5" s="432" t="s">
        <v>118</v>
      </c>
      <c r="E5" s="432" t="s">
        <v>119</v>
      </c>
      <c r="F5" s="433" t="s">
        <v>18</v>
      </c>
      <c r="G5" s="433" t="s">
        <v>17</v>
      </c>
      <c r="H5" s="417" t="s">
        <v>120</v>
      </c>
      <c r="I5" s="416" t="s">
        <v>18</v>
      </c>
      <c r="J5" s="433" t="s">
        <v>17</v>
      </c>
      <c r="K5" s="417" t="s">
        <v>120</v>
      </c>
      <c r="L5" s="416" t="s">
        <v>18</v>
      </c>
      <c r="M5" s="434" t="s">
        <v>17</v>
      </c>
    </row>
    <row r="6" spans="1:13" ht="14.4" customHeight="1" thickBot="1" x14ac:dyDescent="0.35">
      <c r="A6" s="422" t="s">
        <v>406</v>
      </c>
      <c r="B6" s="435" t="s">
        <v>520</v>
      </c>
      <c r="C6" s="435" t="s">
        <v>515</v>
      </c>
      <c r="D6" s="435" t="s">
        <v>521</v>
      </c>
      <c r="E6" s="435" t="s">
        <v>522</v>
      </c>
      <c r="F6" s="423"/>
      <c r="G6" s="423"/>
      <c r="H6" s="424">
        <v>0</v>
      </c>
      <c r="I6" s="423">
        <v>1</v>
      </c>
      <c r="J6" s="423">
        <v>169.95205735037158</v>
      </c>
      <c r="K6" s="424">
        <v>1</v>
      </c>
      <c r="L6" s="423">
        <v>1</v>
      </c>
      <c r="M6" s="425">
        <v>169.95205735037158</v>
      </c>
    </row>
  </sheetData>
  <autoFilter ref="A5:M374"/>
  <mergeCells count="4">
    <mergeCell ref="F4:H4"/>
    <mergeCell ref="I4:K4"/>
    <mergeCell ref="L4:M4"/>
    <mergeCell ref="A1:M1"/>
  </mergeCells>
  <conditionalFormatting sqref="H3 H6:H1048576">
    <cfRule type="cellIs" dxfId="16" priority="4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3">
    <tabColor theme="3" tint="0.39997558519241921"/>
    <pageSetUpPr fitToPage="1"/>
  </sheetPr>
  <dimension ref="A1:I22"/>
  <sheetViews>
    <sheetView showGridLines="0" showRowColHeaders="0" workbookViewId="0">
      <pane ySplit="3" topLeftCell="A4" activePane="bottomLeft" state="frozen"/>
      <selection activeCell="A2" sqref="A2:I2"/>
      <selection pane="bottomLeft" sqref="A1:G1"/>
    </sheetView>
  </sheetViews>
  <sheetFormatPr defaultRowHeight="14.4" customHeight="1" x14ac:dyDescent="0.3"/>
  <cols>
    <col min="1" max="1" width="5.33203125" style="197" bestFit="1" customWidth="1"/>
    <col min="2" max="2" width="9.33203125" style="197" customWidth="1"/>
    <col min="3" max="3" width="28.88671875" style="120" bestFit="1" customWidth="1"/>
    <col min="4" max="5" width="11.109375" style="198" customWidth="1"/>
    <col min="6" max="6" width="6.6640625" style="199" customWidth="1"/>
    <col min="7" max="7" width="12.21875" style="196" bestFit="1" customWidth="1"/>
    <col min="8" max="8" width="0" style="120" hidden="1" customWidth="1"/>
    <col min="9" max="16384" width="8.88671875" style="120"/>
  </cols>
  <sheetData>
    <row r="1" spans="1:9" ht="18.600000000000001" customHeight="1" thickBot="1" x14ac:dyDescent="0.4">
      <c r="A1" s="314" t="s">
        <v>123</v>
      </c>
      <c r="B1" s="315"/>
      <c r="C1" s="315"/>
      <c r="D1" s="315"/>
      <c r="E1" s="315"/>
      <c r="F1" s="315"/>
      <c r="G1" s="291"/>
    </row>
    <row r="2" spans="1:9" ht="14.4" customHeight="1" thickBot="1" x14ac:dyDescent="0.35">
      <c r="A2" s="217" t="s">
        <v>223</v>
      </c>
      <c r="B2" s="195"/>
      <c r="C2" s="195"/>
      <c r="D2" s="195"/>
      <c r="E2" s="195"/>
      <c r="F2" s="195"/>
    </row>
    <row r="3" spans="1:9" ht="14.4" customHeight="1" thickBot="1" x14ac:dyDescent="0.35">
      <c r="A3" s="73" t="s">
        <v>0</v>
      </c>
      <c r="B3" s="74" t="s">
        <v>1</v>
      </c>
      <c r="C3" s="86" t="s">
        <v>2</v>
      </c>
      <c r="D3" s="87" t="s">
        <v>3</v>
      </c>
      <c r="E3" s="87" t="s">
        <v>4</v>
      </c>
      <c r="F3" s="87" t="s">
        <v>5</v>
      </c>
      <c r="G3" s="88" t="s">
        <v>126</v>
      </c>
    </row>
    <row r="4" spans="1:9" ht="14.4" customHeight="1" x14ac:dyDescent="0.3">
      <c r="A4" s="386" t="s">
        <v>398</v>
      </c>
      <c r="B4" s="387" t="s">
        <v>399</v>
      </c>
      <c r="C4" s="388" t="s">
        <v>400</v>
      </c>
      <c r="D4" s="388" t="s">
        <v>399</v>
      </c>
      <c r="E4" s="388" t="s">
        <v>399</v>
      </c>
      <c r="F4" s="389" t="s">
        <v>399</v>
      </c>
      <c r="G4" s="388" t="s">
        <v>399</v>
      </c>
      <c r="H4" s="388" t="s">
        <v>59</v>
      </c>
      <c r="I4"/>
    </row>
    <row r="5" spans="1:9" ht="14.4" customHeight="1" x14ac:dyDescent="0.3">
      <c r="A5" s="386" t="s">
        <v>398</v>
      </c>
      <c r="B5" s="387" t="s">
        <v>524</v>
      </c>
      <c r="C5" s="388" t="s">
        <v>525</v>
      </c>
      <c r="D5" s="388">
        <v>9033.4209506511343</v>
      </c>
      <c r="E5" s="388">
        <v>8811.52</v>
      </c>
      <c r="F5" s="389">
        <v>0.975435557374846</v>
      </c>
      <c r="G5" s="388">
        <v>-221.90095065113383</v>
      </c>
      <c r="H5" s="388" t="s">
        <v>2</v>
      </c>
      <c r="I5"/>
    </row>
    <row r="6" spans="1:9" ht="14.4" customHeight="1" x14ac:dyDescent="0.3">
      <c r="A6" s="386" t="s">
        <v>398</v>
      </c>
      <c r="B6" s="387" t="s">
        <v>526</v>
      </c>
      <c r="C6" s="388" t="s">
        <v>527</v>
      </c>
      <c r="D6" s="388">
        <v>12137.008567096666</v>
      </c>
      <c r="E6" s="388">
        <v>13811.47</v>
      </c>
      <c r="F6" s="389">
        <v>1.1379632735403009</v>
      </c>
      <c r="G6" s="388">
        <v>1674.4614329033338</v>
      </c>
      <c r="H6" s="388" t="s">
        <v>2</v>
      </c>
      <c r="I6"/>
    </row>
    <row r="7" spans="1:9" ht="14.4" customHeight="1" x14ac:dyDescent="0.3">
      <c r="A7" s="386" t="s">
        <v>398</v>
      </c>
      <c r="B7" s="387" t="s">
        <v>528</v>
      </c>
      <c r="C7" s="388" t="s">
        <v>529</v>
      </c>
      <c r="D7" s="388">
        <v>589655.54789211333</v>
      </c>
      <c r="E7" s="388">
        <v>566380.64999999956</v>
      </c>
      <c r="F7" s="389">
        <v>0.9605279760780403</v>
      </c>
      <c r="G7" s="388">
        <v>-23274.897892113775</v>
      </c>
      <c r="H7" s="388" t="s">
        <v>2</v>
      </c>
      <c r="I7"/>
    </row>
    <row r="8" spans="1:9" ht="14.4" customHeight="1" x14ac:dyDescent="0.3">
      <c r="A8" s="386" t="s">
        <v>398</v>
      </c>
      <c r="B8" s="387" t="s">
        <v>530</v>
      </c>
      <c r="C8" s="388" t="s">
        <v>531</v>
      </c>
      <c r="D8" s="388">
        <v>12264.306267763168</v>
      </c>
      <c r="E8" s="388">
        <v>7847.96</v>
      </c>
      <c r="F8" s="389">
        <v>0.63990248030811403</v>
      </c>
      <c r="G8" s="388">
        <v>-4416.3462677631678</v>
      </c>
      <c r="H8" s="388" t="s">
        <v>2</v>
      </c>
      <c r="I8"/>
    </row>
    <row r="9" spans="1:9" ht="14.4" customHeight="1" x14ac:dyDescent="0.3">
      <c r="A9" s="386" t="s">
        <v>398</v>
      </c>
      <c r="B9" s="387" t="s">
        <v>532</v>
      </c>
      <c r="C9" s="388" t="s">
        <v>533</v>
      </c>
      <c r="D9" s="388">
        <v>998.97358619991007</v>
      </c>
      <c r="E9" s="388">
        <v>420</v>
      </c>
      <c r="F9" s="389">
        <v>0.42043153673129402</v>
      </c>
      <c r="G9" s="388">
        <v>-578.97358619991007</v>
      </c>
      <c r="H9" s="388" t="s">
        <v>2</v>
      </c>
      <c r="I9"/>
    </row>
    <row r="10" spans="1:9" ht="14.4" customHeight="1" x14ac:dyDescent="0.3">
      <c r="A10" s="386" t="s">
        <v>398</v>
      </c>
      <c r="B10" s="387" t="s">
        <v>534</v>
      </c>
      <c r="C10" s="388" t="s">
        <v>535</v>
      </c>
      <c r="D10" s="388">
        <v>26839.348818670504</v>
      </c>
      <c r="E10" s="388">
        <v>27198.959999999995</v>
      </c>
      <c r="F10" s="389">
        <v>1.0133986552266623</v>
      </c>
      <c r="G10" s="388">
        <v>359.61118132949196</v>
      </c>
      <c r="H10" s="388" t="s">
        <v>2</v>
      </c>
      <c r="I10"/>
    </row>
    <row r="11" spans="1:9" ht="14.4" customHeight="1" x14ac:dyDescent="0.3">
      <c r="A11" s="386" t="s">
        <v>398</v>
      </c>
      <c r="B11" s="387" t="s">
        <v>6</v>
      </c>
      <c r="C11" s="388" t="s">
        <v>400</v>
      </c>
      <c r="D11" s="388">
        <v>651364.30328132305</v>
      </c>
      <c r="E11" s="388">
        <v>624470.55999999947</v>
      </c>
      <c r="F11" s="389">
        <v>0.95871167157020543</v>
      </c>
      <c r="G11" s="388">
        <v>-26893.743281323579</v>
      </c>
      <c r="H11" s="388" t="s">
        <v>405</v>
      </c>
      <c r="I11"/>
    </row>
    <row r="13" spans="1:9" ht="14.4" customHeight="1" x14ac:dyDescent="0.3">
      <c r="A13" s="386" t="s">
        <v>398</v>
      </c>
      <c r="B13" s="387" t="s">
        <v>399</v>
      </c>
      <c r="C13" s="388" t="s">
        <v>400</v>
      </c>
      <c r="D13" s="388" t="s">
        <v>399</v>
      </c>
      <c r="E13" s="388" t="s">
        <v>399</v>
      </c>
      <c r="F13" s="389" t="s">
        <v>399</v>
      </c>
      <c r="G13" s="388" t="s">
        <v>399</v>
      </c>
      <c r="H13" s="388" t="s">
        <v>59</v>
      </c>
      <c r="I13"/>
    </row>
    <row r="14" spans="1:9" ht="14.4" customHeight="1" x14ac:dyDescent="0.3">
      <c r="A14" s="386" t="s">
        <v>406</v>
      </c>
      <c r="B14" s="387" t="s">
        <v>524</v>
      </c>
      <c r="C14" s="388" t="s">
        <v>525</v>
      </c>
      <c r="D14" s="388">
        <v>9033.4209506511343</v>
      </c>
      <c r="E14" s="388">
        <v>8811.52</v>
      </c>
      <c r="F14" s="389">
        <v>0.975435557374846</v>
      </c>
      <c r="G14" s="388">
        <v>-221.90095065113383</v>
      </c>
      <c r="H14" s="388" t="s">
        <v>2</v>
      </c>
      <c r="I14"/>
    </row>
    <row r="15" spans="1:9" ht="14.4" customHeight="1" x14ac:dyDescent="0.3">
      <c r="A15" s="386" t="s">
        <v>406</v>
      </c>
      <c r="B15" s="387" t="s">
        <v>526</v>
      </c>
      <c r="C15" s="388" t="s">
        <v>527</v>
      </c>
      <c r="D15" s="388">
        <v>12137.008567096666</v>
      </c>
      <c r="E15" s="388">
        <v>13811.47</v>
      </c>
      <c r="F15" s="389">
        <v>1.1379632735403009</v>
      </c>
      <c r="G15" s="388">
        <v>1674.4614329033338</v>
      </c>
      <c r="H15" s="388" t="s">
        <v>2</v>
      </c>
      <c r="I15"/>
    </row>
    <row r="16" spans="1:9" ht="14.4" customHeight="1" x14ac:dyDescent="0.3">
      <c r="A16" s="386" t="s">
        <v>406</v>
      </c>
      <c r="B16" s="387" t="s">
        <v>528</v>
      </c>
      <c r="C16" s="388" t="s">
        <v>529</v>
      </c>
      <c r="D16" s="388">
        <v>589655.54789211333</v>
      </c>
      <c r="E16" s="388">
        <v>566380.64999999956</v>
      </c>
      <c r="F16" s="389">
        <v>0.9605279760780403</v>
      </c>
      <c r="G16" s="388">
        <v>-23274.897892113775</v>
      </c>
      <c r="H16" s="388" t="s">
        <v>2</v>
      </c>
      <c r="I16"/>
    </row>
    <row r="17" spans="1:9" ht="14.4" customHeight="1" x14ac:dyDescent="0.3">
      <c r="A17" s="386" t="s">
        <v>406</v>
      </c>
      <c r="B17" s="387" t="s">
        <v>530</v>
      </c>
      <c r="C17" s="388" t="s">
        <v>531</v>
      </c>
      <c r="D17" s="388">
        <v>12264.306267763168</v>
      </c>
      <c r="E17" s="388">
        <v>7847.96</v>
      </c>
      <c r="F17" s="389">
        <v>0.63990248030811403</v>
      </c>
      <c r="G17" s="388">
        <v>-4416.3462677631678</v>
      </c>
      <c r="H17" s="388" t="s">
        <v>2</v>
      </c>
      <c r="I17"/>
    </row>
    <row r="18" spans="1:9" ht="14.4" customHeight="1" x14ac:dyDescent="0.3">
      <c r="A18" s="386" t="s">
        <v>406</v>
      </c>
      <c r="B18" s="387" t="s">
        <v>532</v>
      </c>
      <c r="C18" s="388" t="s">
        <v>533</v>
      </c>
      <c r="D18" s="388">
        <v>998.97358619991007</v>
      </c>
      <c r="E18" s="388">
        <v>420</v>
      </c>
      <c r="F18" s="389">
        <v>0.42043153673129402</v>
      </c>
      <c r="G18" s="388">
        <v>-578.97358619991007</v>
      </c>
      <c r="H18" s="388" t="s">
        <v>2</v>
      </c>
      <c r="I18"/>
    </row>
    <row r="19" spans="1:9" ht="14.4" customHeight="1" x14ac:dyDescent="0.3">
      <c r="A19" s="386" t="s">
        <v>406</v>
      </c>
      <c r="B19" s="387" t="s">
        <v>534</v>
      </c>
      <c r="C19" s="388" t="s">
        <v>535</v>
      </c>
      <c r="D19" s="388">
        <v>26839.348818670504</v>
      </c>
      <c r="E19" s="388">
        <v>27198.959999999995</v>
      </c>
      <c r="F19" s="389">
        <v>1.0133986552266623</v>
      </c>
      <c r="G19" s="388">
        <v>359.61118132949196</v>
      </c>
      <c r="H19" s="388" t="s">
        <v>2</v>
      </c>
      <c r="I19"/>
    </row>
    <row r="20" spans="1:9" ht="14.4" customHeight="1" x14ac:dyDescent="0.3">
      <c r="A20" s="386" t="s">
        <v>406</v>
      </c>
      <c r="B20" s="387" t="s">
        <v>6</v>
      </c>
      <c r="C20" s="388" t="s">
        <v>407</v>
      </c>
      <c r="D20" s="388">
        <v>651364.30328132305</v>
      </c>
      <c r="E20" s="388">
        <v>624470.55999999947</v>
      </c>
      <c r="F20" s="389">
        <v>0.95871167157020543</v>
      </c>
      <c r="G20" s="388">
        <v>-26893.743281323579</v>
      </c>
      <c r="H20" s="388" t="s">
        <v>408</v>
      </c>
      <c r="I20"/>
    </row>
    <row r="21" spans="1:9" ht="14.4" customHeight="1" x14ac:dyDescent="0.3">
      <c r="A21" s="386" t="s">
        <v>399</v>
      </c>
      <c r="B21" s="387" t="s">
        <v>399</v>
      </c>
      <c r="C21" s="388" t="s">
        <v>399</v>
      </c>
      <c r="D21" s="388" t="s">
        <v>399</v>
      </c>
      <c r="E21" s="388" t="s">
        <v>399</v>
      </c>
      <c r="F21" s="389" t="s">
        <v>399</v>
      </c>
      <c r="G21" s="388" t="s">
        <v>399</v>
      </c>
      <c r="H21" s="388" t="s">
        <v>409</v>
      </c>
      <c r="I21"/>
    </row>
    <row r="22" spans="1:9" ht="14.4" customHeight="1" x14ac:dyDescent="0.3">
      <c r="A22" s="386" t="s">
        <v>398</v>
      </c>
      <c r="B22" s="387" t="s">
        <v>6</v>
      </c>
      <c r="C22" s="388" t="s">
        <v>400</v>
      </c>
      <c r="D22" s="388">
        <v>651364.30328132305</v>
      </c>
      <c r="E22" s="388">
        <v>624470.55999999947</v>
      </c>
      <c r="F22" s="389">
        <v>0.95871167157020543</v>
      </c>
      <c r="G22" s="388">
        <v>-26893.743281323579</v>
      </c>
      <c r="H22" s="388" t="s">
        <v>405</v>
      </c>
      <c r="I22"/>
    </row>
  </sheetData>
  <autoFilter ref="A3:G3"/>
  <mergeCells count="1">
    <mergeCell ref="A1:G1"/>
  </mergeCells>
  <conditionalFormatting sqref="F12 F23:F65536">
    <cfRule type="cellIs" dxfId="15" priority="15" stopIfTrue="1" operator="greaterThan">
      <formula>1</formula>
    </cfRule>
  </conditionalFormatting>
  <conditionalFormatting sqref="G4:G11">
    <cfRule type="cellIs" dxfId="14" priority="9" operator="greaterThan">
      <formula>0</formula>
    </cfRule>
  </conditionalFormatting>
  <conditionalFormatting sqref="B4:B11">
    <cfRule type="expression" dxfId="13" priority="12">
      <formula>AND(LEFT(H4,6)&lt;&gt;"mezera",H4&lt;&gt;"")</formula>
    </cfRule>
  </conditionalFormatting>
  <conditionalFormatting sqref="A4:A11">
    <cfRule type="expression" dxfId="12" priority="10">
      <formula>AND(H4&lt;&gt;"",H4&lt;&gt;"mezeraKL")</formula>
    </cfRule>
  </conditionalFormatting>
  <conditionalFormatting sqref="F4:F11">
    <cfRule type="cellIs" dxfId="11" priority="8" operator="greaterThan">
      <formula>1</formula>
    </cfRule>
  </conditionalFormatting>
  <conditionalFormatting sqref="B4:G11">
    <cfRule type="expression" dxfId="10" priority="11">
      <formula>OR($H4="KL",$H4="SumaKL")</formula>
    </cfRule>
    <cfRule type="expression" dxfId="9" priority="13">
      <formula>$H4="SumaNS"</formula>
    </cfRule>
  </conditionalFormatting>
  <conditionalFormatting sqref="A4:G11">
    <cfRule type="expression" dxfId="8" priority="14">
      <formula>$H4&lt;&gt;""</formula>
    </cfRule>
  </conditionalFormatting>
  <conditionalFormatting sqref="G13:G22">
    <cfRule type="cellIs" dxfId="7" priority="1" operator="greaterThan">
      <formula>0</formula>
    </cfRule>
  </conditionalFormatting>
  <conditionalFormatting sqref="F13:F22">
    <cfRule type="cellIs" dxfId="6" priority="2" operator="greaterThan">
      <formula>1</formula>
    </cfRule>
  </conditionalFormatting>
  <conditionalFormatting sqref="B13:B22">
    <cfRule type="expression" dxfId="5" priority="5">
      <formula>AND(LEFT(H13,6)&lt;&gt;"mezera",H13&lt;&gt;"")</formula>
    </cfRule>
  </conditionalFormatting>
  <conditionalFormatting sqref="A13:A22">
    <cfRule type="expression" dxfId="4" priority="3">
      <formula>AND(H13&lt;&gt;"",H13&lt;&gt;"mezeraKL")</formula>
    </cfRule>
  </conditionalFormatting>
  <conditionalFormatting sqref="B13:G22">
    <cfRule type="expression" dxfId="3" priority="4">
      <formula>OR($H13="KL",$H13="SumaKL")</formula>
    </cfRule>
    <cfRule type="expression" dxfId="2" priority="6">
      <formula>$H13="SumaNS"</formula>
    </cfRule>
  </conditionalFormatting>
  <conditionalFormatting sqref="A13:G22">
    <cfRule type="expression" dxfId="1" priority="7">
      <formula>$H13&lt;&gt;""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293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120" hidden="1" customWidth="1" outlineLevel="1"/>
    <col min="2" max="2" width="28.33203125" style="120" hidden="1" customWidth="1" outlineLevel="1"/>
    <col min="3" max="3" width="5.33203125" style="198" bestFit="1" customWidth="1" collapsed="1"/>
    <col min="4" max="4" width="18.77734375" style="202" customWidth="1"/>
    <col min="5" max="5" width="9" style="198" bestFit="1" customWidth="1"/>
    <col min="6" max="6" width="18.77734375" style="202" customWidth="1"/>
    <col min="7" max="7" width="12.44140625" style="198" hidden="1" customWidth="1" outlineLevel="1"/>
    <col min="8" max="8" width="25.77734375" style="198" customWidth="1" collapsed="1"/>
    <col min="9" max="9" width="7.77734375" style="196" customWidth="1"/>
    <col min="10" max="10" width="10" style="196" customWidth="1"/>
    <col min="11" max="11" width="11.109375" style="196" customWidth="1"/>
    <col min="12" max="16384" width="8.88671875" style="120"/>
  </cols>
  <sheetData>
    <row r="1" spans="1:11" ht="18.600000000000001" customHeight="1" thickBot="1" x14ac:dyDescent="0.4">
      <c r="A1" s="320" t="s">
        <v>1114</v>
      </c>
      <c r="B1" s="291"/>
      <c r="C1" s="291"/>
      <c r="D1" s="291"/>
      <c r="E1" s="291"/>
      <c r="F1" s="291"/>
      <c r="G1" s="291"/>
      <c r="H1" s="291"/>
      <c r="I1" s="291"/>
      <c r="J1" s="291"/>
      <c r="K1" s="291"/>
    </row>
    <row r="2" spans="1:11" ht="14.4" customHeight="1" thickBot="1" x14ac:dyDescent="0.35">
      <c r="A2" s="217" t="s">
        <v>223</v>
      </c>
      <c r="B2" s="62"/>
      <c r="C2" s="200"/>
      <c r="D2" s="200"/>
      <c r="E2" s="200"/>
      <c r="F2" s="200"/>
      <c r="G2" s="200"/>
      <c r="H2" s="200"/>
      <c r="I2" s="201"/>
      <c r="J2" s="201"/>
      <c r="K2" s="201"/>
    </row>
    <row r="3" spans="1:11" ht="14.4" customHeight="1" thickBot="1" x14ac:dyDescent="0.35">
      <c r="A3" s="62"/>
      <c r="B3" s="62"/>
      <c r="C3" s="316"/>
      <c r="D3" s="317"/>
      <c r="E3" s="317"/>
      <c r="F3" s="317"/>
      <c r="G3" s="317"/>
      <c r="H3" s="132" t="s">
        <v>113</v>
      </c>
      <c r="I3" s="89">
        <f>IF(J3&lt;&gt;0,K3/J3,0)</f>
        <v>11.446623774172854</v>
      </c>
      <c r="J3" s="89">
        <f>SUBTOTAL(9,J5:J1048576)</f>
        <v>54555</v>
      </c>
      <c r="K3" s="90">
        <f>SUBTOTAL(9,K5:K1048576)</f>
        <v>624470.56000000006</v>
      </c>
    </row>
    <row r="4" spans="1:11" s="197" customFormat="1" ht="14.4" customHeight="1" thickBot="1" x14ac:dyDescent="0.35">
      <c r="A4" s="390" t="s">
        <v>7</v>
      </c>
      <c r="B4" s="391" t="s">
        <v>8</v>
      </c>
      <c r="C4" s="391" t="s">
        <v>0</v>
      </c>
      <c r="D4" s="391" t="s">
        <v>9</v>
      </c>
      <c r="E4" s="391" t="s">
        <v>10</v>
      </c>
      <c r="F4" s="391" t="s">
        <v>2</v>
      </c>
      <c r="G4" s="391" t="s">
        <v>61</v>
      </c>
      <c r="H4" s="392" t="s">
        <v>14</v>
      </c>
      <c r="I4" s="393" t="s">
        <v>127</v>
      </c>
      <c r="J4" s="393" t="s">
        <v>16</v>
      </c>
      <c r="K4" s="394" t="s">
        <v>138</v>
      </c>
    </row>
    <row r="5" spans="1:11" ht="14.4" customHeight="1" x14ac:dyDescent="0.3">
      <c r="A5" s="397" t="s">
        <v>398</v>
      </c>
      <c r="B5" s="398" t="s">
        <v>400</v>
      </c>
      <c r="C5" s="399" t="s">
        <v>406</v>
      </c>
      <c r="D5" s="400" t="s">
        <v>407</v>
      </c>
      <c r="E5" s="399" t="s">
        <v>524</v>
      </c>
      <c r="F5" s="400" t="s">
        <v>525</v>
      </c>
      <c r="G5" s="399" t="s">
        <v>536</v>
      </c>
      <c r="H5" s="399" t="s">
        <v>537</v>
      </c>
      <c r="I5" s="401">
        <v>0.31</v>
      </c>
      <c r="J5" s="401">
        <v>5000</v>
      </c>
      <c r="K5" s="402">
        <v>1550</v>
      </c>
    </row>
    <row r="6" spans="1:11" ht="14.4" customHeight="1" x14ac:dyDescent="0.3">
      <c r="A6" s="403" t="s">
        <v>398</v>
      </c>
      <c r="B6" s="404" t="s">
        <v>400</v>
      </c>
      <c r="C6" s="405" t="s">
        <v>406</v>
      </c>
      <c r="D6" s="406" t="s">
        <v>407</v>
      </c>
      <c r="E6" s="405" t="s">
        <v>524</v>
      </c>
      <c r="F6" s="406" t="s">
        <v>525</v>
      </c>
      <c r="G6" s="405" t="s">
        <v>538</v>
      </c>
      <c r="H6" s="405" t="s">
        <v>539</v>
      </c>
      <c r="I6" s="407">
        <v>27.36</v>
      </c>
      <c r="J6" s="407">
        <v>9</v>
      </c>
      <c r="K6" s="408">
        <v>246.24</v>
      </c>
    </row>
    <row r="7" spans="1:11" ht="14.4" customHeight="1" x14ac:dyDescent="0.3">
      <c r="A7" s="403" t="s">
        <v>398</v>
      </c>
      <c r="B7" s="404" t="s">
        <v>400</v>
      </c>
      <c r="C7" s="405" t="s">
        <v>406</v>
      </c>
      <c r="D7" s="406" t="s">
        <v>407</v>
      </c>
      <c r="E7" s="405" t="s">
        <v>524</v>
      </c>
      <c r="F7" s="406" t="s">
        <v>525</v>
      </c>
      <c r="G7" s="405" t="s">
        <v>540</v>
      </c>
      <c r="H7" s="405" t="s">
        <v>541</v>
      </c>
      <c r="I7" s="407">
        <v>39.65</v>
      </c>
      <c r="J7" s="407">
        <v>6</v>
      </c>
      <c r="K7" s="408">
        <v>237.9</v>
      </c>
    </row>
    <row r="8" spans="1:11" ht="14.4" customHeight="1" x14ac:dyDescent="0.3">
      <c r="A8" s="403" t="s">
        <v>398</v>
      </c>
      <c r="B8" s="404" t="s">
        <v>400</v>
      </c>
      <c r="C8" s="405" t="s">
        <v>406</v>
      </c>
      <c r="D8" s="406" t="s">
        <v>407</v>
      </c>
      <c r="E8" s="405" t="s">
        <v>524</v>
      </c>
      <c r="F8" s="406" t="s">
        <v>525</v>
      </c>
      <c r="G8" s="405" t="s">
        <v>542</v>
      </c>
      <c r="H8" s="405" t="s">
        <v>543</v>
      </c>
      <c r="I8" s="407">
        <v>16.100000000000001</v>
      </c>
      <c r="J8" s="407">
        <v>20</v>
      </c>
      <c r="K8" s="408">
        <v>322</v>
      </c>
    </row>
    <row r="9" spans="1:11" ht="14.4" customHeight="1" x14ac:dyDescent="0.3">
      <c r="A9" s="403" t="s">
        <v>398</v>
      </c>
      <c r="B9" s="404" t="s">
        <v>400</v>
      </c>
      <c r="C9" s="405" t="s">
        <v>406</v>
      </c>
      <c r="D9" s="406" t="s">
        <v>407</v>
      </c>
      <c r="E9" s="405" t="s">
        <v>524</v>
      </c>
      <c r="F9" s="406" t="s">
        <v>525</v>
      </c>
      <c r="G9" s="405" t="s">
        <v>544</v>
      </c>
      <c r="H9" s="405" t="s">
        <v>545</v>
      </c>
      <c r="I9" s="407">
        <v>0.62</v>
      </c>
      <c r="J9" s="407">
        <v>1000</v>
      </c>
      <c r="K9" s="408">
        <v>615</v>
      </c>
    </row>
    <row r="10" spans="1:11" ht="14.4" customHeight="1" x14ac:dyDescent="0.3">
      <c r="A10" s="403" t="s">
        <v>398</v>
      </c>
      <c r="B10" s="404" t="s">
        <v>400</v>
      </c>
      <c r="C10" s="405" t="s">
        <v>406</v>
      </c>
      <c r="D10" s="406" t="s">
        <v>407</v>
      </c>
      <c r="E10" s="405" t="s">
        <v>524</v>
      </c>
      <c r="F10" s="406" t="s">
        <v>525</v>
      </c>
      <c r="G10" s="405" t="s">
        <v>546</v>
      </c>
      <c r="H10" s="405" t="s">
        <v>547</v>
      </c>
      <c r="I10" s="407">
        <v>3.31</v>
      </c>
      <c r="J10" s="407">
        <v>100</v>
      </c>
      <c r="K10" s="408">
        <v>330.78</v>
      </c>
    </row>
    <row r="11" spans="1:11" ht="14.4" customHeight="1" x14ac:dyDescent="0.3">
      <c r="A11" s="403" t="s">
        <v>398</v>
      </c>
      <c r="B11" s="404" t="s">
        <v>400</v>
      </c>
      <c r="C11" s="405" t="s">
        <v>406</v>
      </c>
      <c r="D11" s="406" t="s">
        <v>407</v>
      </c>
      <c r="E11" s="405" t="s">
        <v>524</v>
      </c>
      <c r="F11" s="406" t="s">
        <v>525</v>
      </c>
      <c r="G11" s="405" t="s">
        <v>548</v>
      </c>
      <c r="H11" s="405" t="s">
        <v>549</v>
      </c>
      <c r="I11" s="407">
        <v>8.58</v>
      </c>
      <c r="J11" s="407">
        <v>6</v>
      </c>
      <c r="K11" s="408">
        <v>51.48</v>
      </c>
    </row>
    <row r="12" spans="1:11" ht="14.4" customHeight="1" x14ac:dyDescent="0.3">
      <c r="A12" s="403" t="s">
        <v>398</v>
      </c>
      <c r="B12" s="404" t="s">
        <v>400</v>
      </c>
      <c r="C12" s="405" t="s">
        <v>406</v>
      </c>
      <c r="D12" s="406" t="s">
        <v>407</v>
      </c>
      <c r="E12" s="405" t="s">
        <v>524</v>
      </c>
      <c r="F12" s="406" t="s">
        <v>525</v>
      </c>
      <c r="G12" s="405" t="s">
        <v>550</v>
      </c>
      <c r="H12" s="405" t="s">
        <v>551</v>
      </c>
      <c r="I12" s="407">
        <v>13.02</v>
      </c>
      <c r="J12" s="407">
        <v>4</v>
      </c>
      <c r="K12" s="408">
        <v>52.08</v>
      </c>
    </row>
    <row r="13" spans="1:11" ht="14.4" customHeight="1" x14ac:dyDescent="0.3">
      <c r="A13" s="403" t="s">
        <v>398</v>
      </c>
      <c r="B13" s="404" t="s">
        <v>400</v>
      </c>
      <c r="C13" s="405" t="s">
        <v>406</v>
      </c>
      <c r="D13" s="406" t="s">
        <v>407</v>
      </c>
      <c r="E13" s="405" t="s">
        <v>524</v>
      </c>
      <c r="F13" s="406" t="s">
        <v>525</v>
      </c>
      <c r="G13" s="405" t="s">
        <v>552</v>
      </c>
      <c r="H13" s="405" t="s">
        <v>553</v>
      </c>
      <c r="I13" s="407">
        <v>27.94</v>
      </c>
      <c r="J13" s="407">
        <v>36</v>
      </c>
      <c r="K13" s="408">
        <v>1005.8399999999999</v>
      </c>
    </row>
    <row r="14" spans="1:11" ht="14.4" customHeight="1" x14ac:dyDescent="0.3">
      <c r="A14" s="403" t="s">
        <v>398</v>
      </c>
      <c r="B14" s="404" t="s">
        <v>400</v>
      </c>
      <c r="C14" s="405" t="s">
        <v>406</v>
      </c>
      <c r="D14" s="406" t="s">
        <v>407</v>
      </c>
      <c r="E14" s="405" t="s">
        <v>524</v>
      </c>
      <c r="F14" s="406" t="s">
        <v>525</v>
      </c>
      <c r="G14" s="405" t="s">
        <v>554</v>
      </c>
      <c r="H14" s="405" t="s">
        <v>555</v>
      </c>
      <c r="I14" s="407">
        <v>5.0949999999999998</v>
      </c>
      <c r="J14" s="407">
        <v>50</v>
      </c>
      <c r="K14" s="408">
        <v>254.7</v>
      </c>
    </row>
    <row r="15" spans="1:11" ht="14.4" customHeight="1" x14ac:dyDescent="0.3">
      <c r="A15" s="403" t="s">
        <v>398</v>
      </c>
      <c r="B15" s="404" t="s">
        <v>400</v>
      </c>
      <c r="C15" s="405" t="s">
        <v>406</v>
      </c>
      <c r="D15" s="406" t="s">
        <v>407</v>
      </c>
      <c r="E15" s="405" t="s">
        <v>524</v>
      </c>
      <c r="F15" s="406" t="s">
        <v>525</v>
      </c>
      <c r="G15" s="405" t="s">
        <v>556</v>
      </c>
      <c r="H15" s="405" t="s">
        <v>557</v>
      </c>
      <c r="I15" s="407">
        <v>1311</v>
      </c>
      <c r="J15" s="407">
        <v>3</v>
      </c>
      <c r="K15" s="408">
        <v>3933</v>
      </c>
    </row>
    <row r="16" spans="1:11" ht="14.4" customHeight="1" x14ac:dyDescent="0.3">
      <c r="A16" s="403" t="s">
        <v>398</v>
      </c>
      <c r="B16" s="404" t="s">
        <v>400</v>
      </c>
      <c r="C16" s="405" t="s">
        <v>406</v>
      </c>
      <c r="D16" s="406" t="s">
        <v>407</v>
      </c>
      <c r="E16" s="405" t="s">
        <v>524</v>
      </c>
      <c r="F16" s="406" t="s">
        <v>525</v>
      </c>
      <c r="G16" s="405" t="s">
        <v>558</v>
      </c>
      <c r="H16" s="405" t="s">
        <v>559</v>
      </c>
      <c r="I16" s="407">
        <v>2.88</v>
      </c>
      <c r="J16" s="407">
        <v>50</v>
      </c>
      <c r="K16" s="408">
        <v>143.75</v>
      </c>
    </row>
    <row r="17" spans="1:11" ht="14.4" customHeight="1" x14ac:dyDescent="0.3">
      <c r="A17" s="403" t="s">
        <v>398</v>
      </c>
      <c r="B17" s="404" t="s">
        <v>400</v>
      </c>
      <c r="C17" s="405" t="s">
        <v>406</v>
      </c>
      <c r="D17" s="406" t="s">
        <v>407</v>
      </c>
      <c r="E17" s="405" t="s">
        <v>524</v>
      </c>
      <c r="F17" s="406" t="s">
        <v>525</v>
      </c>
      <c r="G17" s="405" t="s">
        <v>560</v>
      </c>
      <c r="H17" s="405" t="s">
        <v>561</v>
      </c>
      <c r="I17" s="407">
        <v>2.5449999999999999</v>
      </c>
      <c r="J17" s="407">
        <v>27</v>
      </c>
      <c r="K17" s="408">
        <v>68.75</v>
      </c>
    </row>
    <row r="18" spans="1:11" ht="14.4" customHeight="1" x14ac:dyDescent="0.3">
      <c r="A18" s="403" t="s">
        <v>398</v>
      </c>
      <c r="B18" s="404" t="s">
        <v>400</v>
      </c>
      <c r="C18" s="405" t="s">
        <v>406</v>
      </c>
      <c r="D18" s="406" t="s">
        <v>407</v>
      </c>
      <c r="E18" s="405" t="s">
        <v>526</v>
      </c>
      <c r="F18" s="406" t="s">
        <v>527</v>
      </c>
      <c r="G18" s="405" t="s">
        <v>562</v>
      </c>
      <c r="H18" s="405" t="s">
        <v>563</v>
      </c>
      <c r="I18" s="407">
        <v>3.51</v>
      </c>
      <c r="J18" s="407">
        <v>100</v>
      </c>
      <c r="K18" s="408">
        <v>351</v>
      </c>
    </row>
    <row r="19" spans="1:11" ht="14.4" customHeight="1" x14ac:dyDescent="0.3">
      <c r="A19" s="403" t="s">
        <v>398</v>
      </c>
      <c r="B19" s="404" t="s">
        <v>400</v>
      </c>
      <c r="C19" s="405" t="s">
        <v>406</v>
      </c>
      <c r="D19" s="406" t="s">
        <v>407</v>
      </c>
      <c r="E19" s="405" t="s">
        <v>526</v>
      </c>
      <c r="F19" s="406" t="s">
        <v>527</v>
      </c>
      <c r="G19" s="405" t="s">
        <v>564</v>
      </c>
      <c r="H19" s="405" t="s">
        <v>565</v>
      </c>
      <c r="I19" s="407">
        <v>11.14</v>
      </c>
      <c r="J19" s="407">
        <v>50</v>
      </c>
      <c r="K19" s="408">
        <v>557</v>
      </c>
    </row>
    <row r="20" spans="1:11" ht="14.4" customHeight="1" x14ac:dyDescent="0.3">
      <c r="A20" s="403" t="s">
        <v>398</v>
      </c>
      <c r="B20" s="404" t="s">
        <v>400</v>
      </c>
      <c r="C20" s="405" t="s">
        <v>406</v>
      </c>
      <c r="D20" s="406" t="s">
        <v>407</v>
      </c>
      <c r="E20" s="405" t="s">
        <v>526</v>
      </c>
      <c r="F20" s="406" t="s">
        <v>527</v>
      </c>
      <c r="G20" s="405" t="s">
        <v>566</v>
      </c>
      <c r="H20" s="405" t="s">
        <v>567</v>
      </c>
      <c r="I20" s="407">
        <v>0.93</v>
      </c>
      <c r="J20" s="407">
        <v>400</v>
      </c>
      <c r="K20" s="408">
        <v>372</v>
      </c>
    </row>
    <row r="21" spans="1:11" ht="14.4" customHeight="1" x14ac:dyDescent="0.3">
      <c r="A21" s="403" t="s">
        <v>398</v>
      </c>
      <c r="B21" s="404" t="s">
        <v>400</v>
      </c>
      <c r="C21" s="405" t="s">
        <v>406</v>
      </c>
      <c r="D21" s="406" t="s">
        <v>407</v>
      </c>
      <c r="E21" s="405" t="s">
        <v>526</v>
      </c>
      <c r="F21" s="406" t="s">
        <v>527</v>
      </c>
      <c r="G21" s="405" t="s">
        <v>568</v>
      </c>
      <c r="H21" s="405" t="s">
        <v>569</v>
      </c>
      <c r="I21" s="407">
        <v>0.42</v>
      </c>
      <c r="J21" s="407">
        <v>900</v>
      </c>
      <c r="K21" s="408">
        <v>378</v>
      </c>
    </row>
    <row r="22" spans="1:11" ht="14.4" customHeight="1" x14ac:dyDescent="0.3">
      <c r="A22" s="403" t="s">
        <v>398</v>
      </c>
      <c r="B22" s="404" t="s">
        <v>400</v>
      </c>
      <c r="C22" s="405" t="s">
        <v>406</v>
      </c>
      <c r="D22" s="406" t="s">
        <v>407</v>
      </c>
      <c r="E22" s="405" t="s">
        <v>526</v>
      </c>
      <c r="F22" s="406" t="s">
        <v>527</v>
      </c>
      <c r="G22" s="405" t="s">
        <v>570</v>
      </c>
      <c r="H22" s="405" t="s">
        <v>571</v>
      </c>
      <c r="I22" s="407">
        <v>0.57999999999999996</v>
      </c>
      <c r="J22" s="407">
        <v>2200</v>
      </c>
      <c r="K22" s="408">
        <v>1276</v>
      </c>
    </row>
    <row r="23" spans="1:11" ht="14.4" customHeight="1" x14ac:dyDescent="0.3">
      <c r="A23" s="403" t="s">
        <v>398</v>
      </c>
      <c r="B23" s="404" t="s">
        <v>400</v>
      </c>
      <c r="C23" s="405" t="s">
        <v>406</v>
      </c>
      <c r="D23" s="406" t="s">
        <v>407</v>
      </c>
      <c r="E23" s="405" t="s">
        <v>526</v>
      </c>
      <c r="F23" s="406" t="s">
        <v>527</v>
      </c>
      <c r="G23" s="405" t="s">
        <v>572</v>
      </c>
      <c r="H23" s="405" t="s">
        <v>573</v>
      </c>
      <c r="I23" s="407">
        <v>38.72</v>
      </c>
      <c r="J23" s="407">
        <v>24</v>
      </c>
      <c r="K23" s="408">
        <v>929.28</v>
      </c>
    </row>
    <row r="24" spans="1:11" ht="14.4" customHeight="1" x14ac:dyDescent="0.3">
      <c r="A24" s="403" t="s">
        <v>398</v>
      </c>
      <c r="B24" s="404" t="s">
        <v>400</v>
      </c>
      <c r="C24" s="405" t="s">
        <v>406</v>
      </c>
      <c r="D24" s="406" t="s">
        <v>407</v>
      </c>
      <c r="E24" s="405" t="s">
        <v>526</v>
      </c>
      <c r="F24" s="406" t="s">
        <v>527</v>
      </c>
      <c r="G24" s="405" t="s">
        <v>574</v>
      </c>
      <c r="H24" s="405" t="s">
        <v>575</v>
      </c>
      <c r="I24" s="407">
        <v>2.9</v>
      </c>
      <c r="J24" s="407">
        <v>100</v>
      </c>
      <c r="K24" s="408">
        <v>290</v>
      </c>
    </row>
    <row r="25" spans="1:11" ht="14.4" customHeight="1" x14ac:dyDescent="0.3">
      <c r="A25" s="403" t="s">
        <v>398</v>
      </c>
      <c r="B25" s="404" t="s">
        <v>400</v>
      </c>
      <c r="C25" s="405" t="s">
        <v>406</v>
      </c>
      <c r="D25" s="406" t="s">
        <v>407</v>
      </c>
      <c r="E25" s="405" t="s">
        <v>526</v>
      </c>
      <c r="F25" s="406" t="s">
        <v>527</v>
      </c>
      <c r="G25" s="405" t="s">
        <v>576</v>
      </c>
      <c r="H25" s="405" t="s">
        <v>577</v>
      </c>
      <c r="I25" s="407">
        <v>1029.95</v>
      </c>
      <c r="J25" s="407">
        <v>1</v>
      </c>
      <c r="K25" s="408">
        <v>1029.95</v>
      </c>
    </row>
    <row r="26" spans="1:11" ht="14.4" customHeight="1" x14ac:dyDescent="0.3">
      <c r="A26" s="403" t="s">
        <v>398</v>
      </c>
      <c r="B26" s="404" t="s">
        <v>400</v>
      </c>
      <c r="C26" s="405" t="s">
        <v>406</v>
      </c>
      <c r="D26" s="406" t="s">
        <v>407</v>
      </c>
      <c r="E26" s="405" t="s">
        <v>526</v>
      </c>
      <c r="F26" s="406" t="s">
        <v>527</v>
      </c>
      <c r="G26" s="405" t="s">
        <v>578</v>
      </c>
      <c r="H26" s="405" t="s">
        <v>579</v>
      </c>
      <c r="I26" s="407">
        <v>12.08</v>
      </c>
      <c r="J26" s="407">
        <v>8</v>
      </c>
      <c r="K26" s="408">
        <v>96.64</v>
      </c>
    </row>
    <row r="27" spans="1:11" ht="14.4" customHeight="1" x14ac:dyDescent="0.3">
      <c r="A27" s="403" t="s">
        <v>398</v>
      </c>
      <c r="B27" s="404" t="s">
        <v>400</v>
      </c>
      <c r="C27" s="405" t="s">
        <v>406</v>
      </c>
      <c r="D27" s="406" t="s">
        <v>407</v>
      </c>
      <c r="E27" s="405" t="s">
        <v>526</v>
      </c>
      <c r="F27" s="406" t="s">
        <v>527</v>
      </c>
      <c r="G27" s="405" t="s">
        <v>580</v>
      </c>
      <c r="H27" s="405" t="s">
        <v>581</v>
      </c>
      <c r="I27" s="407">
        <v>12.105</v>
      </c>
      <c r="J27" s="407">
        <v>14</v>
      </c>
      <c r="K27" s="408">
        <v>169.48</v>
      </c>
    </row>
    <row r="28" spans="1:11" ht="14.4" customHeight="1" x14ac:dyDescent="0.3">
      <c r="A28" s="403" t="s">
        <v>398</v>
      </c>
      <c r="B28" s="404" t="s">
        <v>400</v>
      </c>
      <c r="C28" s="405" t="s">
        <v>406</v>
      </c>
      <c r="D28" s="406" t="s">
        <v>407</v>
      </c>
      <c r="E28" s="405" t="s">
        <v>526</v>
      </c>
      <c r="F28" s="406" t="s">
        <v>527</v>
      </c>
      <c r="G28" s="405" t="s">
        <v>582</v>
      </c>
      <c r="H28" s="405" t="s">
        <v>583</v>
      </c>
      <c r="I28" s="407">
        <v>21.24</v>
      </c>
      <c r="J28" s="407">
        <v>50</v>
      </c>
      <c r="K28" s="408">
        <v>1062</v>
      </c>
    </row>
    <row r="29" spans="1:11" ht="14.4" customHeight="1" x14ac:dyDescent="0.3">
      <c r="A29" s="403" t="s">
        <v>398</v>
      </c>
      <c r="B29" s="404" t="s">
        <v>400</v>
      </c>
      <c r="C29" s="405" t="s">
        <v>406</v>
      </c>
      <c r="D29" s="406" t="s">
        <v>407</v>
      </c>
      <c r="E29" s="405" t="s">
        <v>526</v>
      </c>
      <c r="F29" s="406" t="s">
        <v>527</v>
      </c>
      <c r="G29" s="405" t="s">
        <v>584</v>
      </c>
      <c r="H29" s="405" t="s">
        <v>585</v>
      </c>
      <c r="I29" s="407">
        <v>4.24</v>
      </c>
      <c r="J29" s="407">
        <v>200</v>
      </c>
      <c r="K29" s="408">
        <v>847</v>
      </c>
    </row>
    <row r="30" spans="1:11" ht="14.4" customHeight="1" x14ac:dyDescent="0.3">
      <c r="A30" s="403" t="s">
        <v>398</v>
      </c>
      <c r="B30" s="404" t="s">
        <v>400</v>
      </c>
      <c r="C30" s="405" t="s">
        <v>406</v>
      </c>
      <c r="D30" s="406" t="s">
        <v>407</v>
      </c>
      <c r="E30" s="405" t="s">
        <v>526</v>
      </c>
      <c r="F30" s="406" t="s">
        <v>527</v>
      </c>
      <c r="G30" s="405" t="s">
        <v>586</v>
      </c>
      <c r="H30" s="405" t="s">
        <v>587</v>
      </c>
      <c r="I30" s="407">
        <v>2.9</v>
      </c>
      <c r="J30" s="407">
        <v>100</v>
      </c>
      <c r="K30" s="408">
        <v>290</v>
      </c>
    </row>
    <row r="31" spans="1:11" ht="14.4" customHeight="1" x14ac:dyDescent="0.3">
      <c r="A31" s="403" t="s">
        <v>398</v>
      </c>
      <c r="B31" s="404" t="s">
        <v>400</v>
      </c>
      <c r="C31" s="405" t="s">
        <v>406</v>
      </c>
      <c r="D31" s="406" t="s">
        <v>407</v>
      </c>
      <c r="E31" s="405" t="s">
        <v>526</v>
      </c>
      <c r="F31" s="406" t="s">
        <v>527</v>
      </c>
      <c r="G31" s="405" t="s">
        <v>588</v>
      </c>
      <c r="H31" s="405" t="s">
        <v>589</v>
      </c>
      <c r="I31" s="407">
        <v>75.02</v>
      </c>
      <c r="J31" s="407">
        <v>5</v>
      </c>
      <c r="K31" s="408">
        <v>375.1</v>
      </c>
    </row>
    <row r="32" spans="1:11" ht="14.4" customHeight="1" x14ac:dyDescent="0.3">
      <c r="A32" s="403" t="s">
        <v>398</v>
      </c>
      <c r="B32" s="404" t="s">
        <v>400</v>
      </c>
      <c r="C32" s="405" t="s">
        <v>406</v>
      </c>
      <c r="D32" s="406" t="s">
        <v>407</v>
      </c>
      <c r="E32" s="405" t="s">
        <v>526</v>
      </c>
      <c r="F32" s="406" t="s">
        <v>527</v>
      </c>
      <c r="G32" s="405" t="s">
        <v>590</v>
      </c>
      <c r="H32" s="405" t="s">
        <v>591</v>
      </c>
      <c r="I32" s="407">
        <v>63.25</v>
      </c>
      <c r="J32" s="407">
        <v>76</v>
      </c>
      <c r="K32" s="408">
        <v>4807</v>
      </c>
    </row>
    <row r="33" spans="1:11" ht="14.4" customHeight="1" x14ac:dyDescent="0.3">
      <c r="A33" s="403" t="s">
        <v>398</v>
      </c>
      <c r="B33" s="404" t="s">
        <v>400</v>
      </c>
      <c r="C33" s="405" t="s">
        <v>406</v>
      </c>
      <c r="D33" s="406" t="s">
        <v>407</v>
      </c>
      <c r="E33" s="405" t="s">
        <v>526</v>
      </c>
      <c r="F33" s="406" t="s">
        <v>527</v>
      </c>
      <c r="G33" s="405" t="s">
        <v>592</v>
      </c>
      <c r="H33" s="405" t="s">
        <v>593</v>
      </c>
      <c r="I33" s="407">
        <v>922.02</v>
      </c>
      <c r="J33" s="407">
        <v>1</v>
      </c>
      <c r="K33" s="408">
        <v>922.02</v>
      </c>
    </row>
    <row r="34" spans="1:11" ht="14.4" customHeight="1" x14ac:dyDescent="0.3">
      <c r="A34" s="403" t="s">
        <v>398</v>
      </c>
      <c r="B34" s="404" t="s">
        <v>400</v>
      </c>
      <c r="C34" s="405" t="s">
        <v>406</v>
      </c>
      <c r="D34" s="406" t="s">
        <v>407</v>
      </c>
      <c r="E34" s="405" t="s">
        <v>526</v>
      </c>
      <c r="F34" s="406" t="s">
        <v>527</v>
      </c>
      <c r="G34" s="405" t="s">
        <v>594</v>
      </c>
      <c r="H34" s="405" t="s">
        <v>595</v>
      </c>
      <c r="I34" s="407">
        <v>59</v>
      </c>
      <c r="J34" s="407">
        <v>1</v>
      </c>
      <c r="K34" s="408">
        <v>59</v>
      </c>
    </row>
    <row r="35" spans="1:11" ht="14.4" customHeight="1" x14ac:dyDescent="0.3">
      <c r="A35" s="403" t="s">
        <v>398</v>
      </c>
      <c r="B35" s="404" t="s">
        <v>400</v>
      </c>
      <c r="C35" s="405" t="s">
        <v>406</v>
      </c>
      <c r="D35" s="406" t="s">
        <v>407</v>
      </c>
      <c r="E35" s="405" t="s">
        <v>528</v>
      </c>
      <c r="F35" s="406" t="s">
        <v>529</v>
      </c>
      <c r="G35" s="405" t="s">
        <v>596</v>
      </c>
      <c r="H35" s="405" t="s">
        <v>597</v>
      </c>
      <c r="I35" s="407">
        <v>2.57</v>
      </c>
      <c r="J35" s="407">
        <v>800</v>
      </c>
      <c r="K35" s="408">
        <v>2056.88</v>
      </c>
    </row>
    <row r="36" spans="1:11" ht="14.4" customHeight="1" x14ac:dyDescent="0.3">
      <c r="A36" s="403" t="s">
        <v>398</v>
      </c>
      <c r="B36" s="404" t="s">
        <v>400</v>
      </c>
      <c r="C36" s="405" t="s">
        <v>406</v>
      </c>
      <c r="D36" s="406" t="s">
        <v>407</v>
      </c>
      <c r="E36" s="405" t="s">
        <v>528</v>
      </c>
      <c r="F36" s="406" t="s">
        <v>529</v>
      </c>
      <c r="G36" s="405" t="s">
        <v>598</v>
      </c>
      <c r="H36" s="405" t="s">
        <v>599</v>
      </c>
      <c r="I36" s="407">
        <v>3943.35</v>
      </c>
      <c r="J36" s="407">
        <v>5</v>
      </c>
      <c r="K36" s="408">
        <v>19716.75</v>
      </c>
    </row>
    <row r="37" spans="1:11" ht="14.4" customHeight="1" x14ac:dyDescent="0.3">
      <c r="A37" s="403" t="s">
        <v>398</v>
      </c>
      <c r="B37" s="404" t="s">
        <v>400</v>
      </c>
      <c r="C37" s="405" t="s">
        <v>406</v>
      </c>
      <c r="D37" s="406" t="s">
        <v>407</v>
      </c>
      <c r="E37" s="405" t="s">
        <v>528</v>
      </c>
      <c r="F37" s="406" t="s">
        <v>529</v>
      </c>
      <c r="G37" s="405" t="s">
        <v>600</v>
      </c>
      <c r="H37" s="405" t="s">
        <v>601</v>
      </c>
      <c r="I37" s="407">
        <v>3943.35</v>
      </c>
      <c r="J37" s="407">
        <v>3</v>
      </c>
      <c r="K37" s="408">
        <v>11830.05</v>
      </c>
    </row>
    <row r="38" spans="1:11" ht="14.4" customHeight="1" x14ac:dyDescent="0.3">
      <c r="A38" s="403" t="s">
        <v>398</v>
      </c>
      <c r="B38" s="404" t="s">
        <v>400</v>
      </c>
      <c r="C38" s="405" t="s">
        <v>406</v>
      </c>
      <c r="D38" s="406" t="s">
        <v>407</v>
      </c>
      <c r="E38" s="405" t="s">
        <v>528</v>
      </c>
      <c r="F38" s="406" t="s">
        <v>529</v>
      </c>
      <c r="G38" s="405" t="s">
        <v>602</v>
      </c>
      <c r="H38" s="405" t="s">
        <v>603</v>
      </c>
      <c r="I38" s="407">
        <v>3943.35</v>
      </c>
      <c r="J38" s="407">
        <v>2</v>
      </c>
      <c r="K38" s="408">
        <v>7886.7</v>
      </c>
    </row>
    <row r="39" spans="1:11" ht="14.4" customHeight="1" x14ac:dyDescent="0.3">
      <c r="A39" s="403" t="s">
        <v>398</v>
      </c>
      <c r="B39" s="404" t="s">
        <v>400</v>
      </c>
      <c r="C39" s="405" t="s">
        <v>406</v>
      </c>
      <c r="D39" s="406" t="s">
        <v>407</v>
      </c>
      <c r="E39" s="405" t="s">
        <v>528</v>
      </c>
      <c r="F39" s="406" t="s">
        <v>529</v>
      </c>
      <c r="G39" s="405" t="s">
        <v>604</v>
      </c>
      <c r="H39" s="405" t="s">
        <v>605</v>
      </c>
      <c r="I39" s="407">
        <v>121.83</v>
      </c>
      <c r="J39" s="407">
        <v>14</v>
      </c>
      <c r="K39" s="408">
        <v>1705.65</v>
      </c>
    </row>
    <row r="40" spans="1:11" ht="14.4" customHeight="1" x14ac:dyDescent="0.3">
      <c r="A40" s="403" t="s">
        <v>398</v>
      </c>
      <c r="B40" s="404" t="s">
        <v>400</v>
      </c>
      <c r="C40" s="405" t="s">
        <v>406</v>
      </c>
      <c r="D40" s="406" t="s">
        <v>407</v>
      </c>
      <c r="E40" s="405" t="s">
        <v>528</v>
      </c>
      <c r="F40" s="406" t="s">
        <v>529</v>
      </c>
      <c r="G40" s="405" t="s">
        <v>606</v>
      </c>
      <c r="H40" s="405" t="s">
        <v>607</v>
      </c>
      <c r="I40" s="407">
        <v>271.7</v>
      </c>
      <c r="J40" s="407">
        <v>3</v>
      </c>
      <c r="K40" s="408">
        <v>815.1</v>
      </c>
    </row>
    <row r="41" spans="1:11" ht="14.4" customHeight="1" x14ac:dyDescent="0.3">
      <c r="A41" s="403" t="s">
        <v>398</v>
      </c>
      <c r="B41" s="404" t="s">
        <v>400</v>
      </c>
      <c r="C41" s="405" t="s">
        <v>406</v>
      </c>
      <c r="D41" s="406" t="s">
        <v>407</v>
      </c>
      <c r="E41" s="405" t="s">
        <v>528</v>
      </c>
      <c r="F41" s="406" t="s">
        <v>529</v>
      </c>
      <c r="G41" s="405" t="s">
        <v>608</v>
      </c>
      <c r="H41" s="405" t="s">
        <v>609</v>
      </c>
      <c r="I41" s="407">
        <v>261.11</v>
      </c>
      <c r="J41" s="407">
        <v>3</v>
      </c>
      <c r="K41" s="408">
        <v>783.32</v>
      </c>
    </row>
    <row r="42" spans="1:11" ht="14.4" customHeight="1" x14ac:dyDescent="0.3">
      <c r="A42" s="403" t="s">
        <v>398</v>
      </c>
      <c r="B42" s="404" t="s">
        <v>400</v>
      </c>
      <c r="C42" s="405" t="s">
        <v>406</v>
      </c>
      <c r="D42" s="406" t="s">
        <v>407</v>
      </c>
      <c r="E42" s="405" t="s">
        <v>528</v>
      </c>
      <c r="F42" s="406" t="s">
        <v>529</v>
      </c>
      <c r="G42" s="405" t="s">
        <v>610</v>
      </c>
      <c r="H42" s="405" t="s">
        <v>611</v>
      </c>
      <c r="I42" s="407">
        <v>261.11</v>
      </c>
      <c r="J42" s="407">
        <v>3</v>
      </c>
      <c r="K42" s="408">
        <v>783.32</v>
      </c>
    </row>
    <row r="43" spans="1:11" ht="14.4" customHeight="1" x14ac:dyDescent="0.3">
      <c r="A43" s="403" t="s">
        <v>398</v>
      </c>
      <c r="B43" s="404" t="s">
        <v>400</v>
      </c>
      <c r="C43" s="405" t="s">
        <v>406</v>
      </c>
      <c r="D43" s="406" t="s">
        <v>407</v>
      </c>
      <c r="E43" s="405" t="s">
        <v>528</v>
      </c>
      <c r="F43" s="406" t="s">
        <v>529</v>
      </c>
      <c r="G43" s="405" t="s">
        <v>612</v>
      </c>
      <c r="H43" s="405" t="s">
        <v>613</v>
      </c>
      <c r="I43" s="407">
        <v>347.12</v>
      </c>
      <c r="J43" s="407">
        <v>4</v>
      </c>
      <c r="K43" s="408">
        <v>1388.48</v>
      </c>
    </row>
    <row r="44" spans="1:11" ht="14.4" customHeight="1" x14ac:dyDescent="0.3">
      <c r="A44" s="403" t="s">
        <v>398</v>
      </c>
      <c r="B44" s="404" t="s">
        <v>400</v>
      </c>
      <c r="C44" s="405" t="s">
        <v>406</v>
      </c>
      <c r="D44" s="406" t="s">
        <v>407</v>
      </c>
      <c r="E44" s="405" t="s">
        <v>528</v>
      </c>
      <c r="F44" s="406" t="s">
        <v>529</v>
      </c>
      <c r="G44" s="405" t="s">
        <v>614</v>
      </c>
      <c r="H44" s="405" t="s">
        <v>615</v>
      </c>
      <c r="I44" s="407">
        <v>142.78</v>
      </c>
      <c r="J44" s="407">
        <v>3</v>
      </c>
      <c r="K44" s="408">
        <v>428.34</v>
      </c>
    </row>
    <row r="45" spans="1:11" ht="14.4" customHeight="1" x14ac:dyDescent="0.3">
      <c r="A45" s="403" t="s">
        <v>398</v>
      </c>
      <c r="B45" s="404" t="s">
        <v>400</v>
      </c>
      <c r="C45" s="405" t="s">
        <v>406</v>
      </c>
      <c r="D45" s="406" t="s">
        <v>407</v>
      </c>
      <c r="E45" s="405" t="s">
        <v>528</v>
      </c>
      <c r="F45" s="406" t="s">
        <v>529</v>
      </c>
      <c r="G45" s="405" t="s">
        <v>616</v>
      </c>
      <c r="H45" s="405" t="s">
        <v>617</v>
      </c>
      <c r="I45" s="407">
        <v>275.86</v>
      </c>
      <c r="J45" s="407">
        <v>32</v>
      </c>
      <c r="K45" s="408">
        <v>8827.5300000000007</v>
      </c>
    </row>
    <row r="46" spans="1:11" ht="14.4" customHeight="1" x14ac:dyDescent="0.3">
      <c r="A46" s="403" t="s">
        <v>398</v>
      </c>
      <c r="B46" s="404" t="s">
        <v>400</v>
      </c>
      <c r="C46" s="405" t="s">
        <v>406</v>
      </c>
      <c r="D46" s="406" t="s">
        <v>407</v>
      </c>
      <c r="E46" s="405" t="s">
        <v>528</v>
      </c>
      <c r="F46" s="406" t="s">
        <v>529</v>
      </c>
      <c r="G46" s="405" t="s">
        <v>618</v>
      </c>
      <c r="H46" s="405" t="s">
        <v>619</v>
      </c>
      <c r="I46" s="407">
        <v>517.23</v>
      </c>
      <c r="J46" s="407">
        <v>3</v>
      </c>
      <c r="K46" s="408">
        <v>1551.7</v>
      </c>
    </row>
    <row r="47" spans="1:11" ht="14.4" customHeight="1" x14ac:dyDescent="0.3">
      <c r="A47" s="403" t="s">
        <v>398</v>
      </c>
      <c r="B47" s="404" t="s">
        <v>400</v>
      </c>
      <c r="C47" s="405" t="s">
        <v>406</v>
      </c>
      <c r="D47" s="406" t="s">
        <v>407</v>
      </c>
      <c r="E47" s="405" t="s">
        <v>528</v>
      </c>
      <c r="F47" s="406" t="s">
        <v>529</v>
      </c>
      <c r="G47" s="405" t="s">
        <v>620</v>
      </c>
      <c r="H47" s="405" t="s">
        <v>621</v>
      </c>
      <c r="I47" s="407">
        <v>169.38</v>
      </c>
      <c r="J47" s="407">
        <v>30</v>
      </c>
      <c r="K47" s="408">
        <v>5081.28</v>
      </c>
    </row>
    <row r="48" spans="1:11" ht="14.4" customHeight="1" x14ac:dyDescent="0.3">
      <c r="A48" s="403" t="s">
        <v>398</v>
      </c>
      <c r="B48" s="404" t="s">
        <v>400</v>
      </c>
      <c r="C48" s="405" t="s">
        <v>406</v>
      </c>
      <c r="D48" s="406" t="s">
        <v>407</v>
      </c>
      <c r="E48" s="405" t="s">
        <v>528</v>
      </c>
      <c r="F48" s="406" t="s">
        <v>529</v>
      </c>
      <c r="G48" s="405" t="s">
        <v>622</v>
      </c>
      <c r="H48" s="405" t="s">
        <v>623</v>
      </c>
      <c r="I48" s="407">
        <v>1441.99</v>
      </c>
      <c r="J48" s="407">
        <v>2</v>
      </c>
      <c r="K48" s="408">
        <v>2883.98</v>
      </c>
    </row>
    <row r="49" spans="1:11" ht="14.4" customHeight="1" x14ac:dyDescent="0.3">
      <c r="A49" s="403" t="s">
        <v>398</v>
      </c>
      <c r="B49" s="404" t="s">
        <v>400</v>
      </c>
      <c r="C49" s="405" t="s">
        <v>406</v>
      </c>
      <c r="D49" s="406" t="s">
        <v>407</v>
      </c>
      <c r="E49" s="405" t="s">
        <v>528</v>
      </c>
      <c r="F49" s="406" t="s">
        <v>529</v>
      </c>
      <c r="G49" s="405" t="s">
        <v>624</v>
      </c>
      <c r="H49" s="405" t="s">
        <v>625</v>
      </c>
      <c r="I49" s="407">
        <v>2760</v>
      </c>
      <c r="J49" s="407">
        <v>2</v>
      </c>
      <c r="K49" s="408">
        <v>5520</v>
      </c>
    </row>
    <row r="50" spans="1:11" ht="14.4" customHeight="1" x14ac:dyDescent="0.3">
      <c r="A50" s="403" t="s">
        <v>398</v>
      </c>
      <c r="B50" s="404" t="s">
        <v>400</v>
      </c>
      <c r="C50" s="405" t="s">
        <v>406</v>
      </c>
      <c r="D50" s="406" t="s">
        <v>407</v>
      </c>
      <c r="E50" s="405" t="s">
        <v>528</v>
      </c>
      <c r="F50" s="406" t="s">
        <v>529</v>
      </c>
      <c r="G50" s="405" t="s">
        <v>626</v>
      </c>
      <c r="H50" s="405" t="s">
        <v>627</v>
      </c>
      <c r="I50" s="407">
        <v>29.866666666666664</v>
      </c>
      <c r="J50" s="407">
        <v>125</v>
      </c>
      <c r="K50" s="408">
        <v>3688.18</v>
      </c>
    </row>
    <row r="51" spans="1:11" ht="14.4" customHeight="1" x14ac:dyDescent="0.3">
      <c r="A51" s="403" t="s">
        <v>398</v>
      </c>
      <c r="B51" s="404" t="s">
        <v>400</v>
      </c>
      <c r="C51" s="405" t="s">
        <v>406</v>
      </c>
      <c r="D51" s="406" t="s">
        <v>407</v>
      </c>
      <c r="E51" s="405" t="s">
        <v>528</v>
      </c>
      <c r="F51" s="406" t="s">
        <v>529</v>
      </c>
      <c r="G51" s="405" t="s">
        <v>628</v>
      </c>
      <c r="H51" s="405" t="s">
        <v>629</v>
      </c>
      <c r="I51" s="407">
        <v>30.89</v>
      </c>
      <c r="J51" s="407">
        <v>75</v>
      </c>
      <c r="K51" s="408">
        <v>2317.11</v>
      </c>
    </row>
    <row r="52" spans="1:11" ht="14.4" customHeight="1" x14ac:dyDescent="0.3">
      <c r="A52" s="403" t="s">
        <v>398</v>
      </c>
      <c r="B52" s="404" t="s">
        <v>400</v>
      </c>
      <c r="C52" s="405" t="s">
        <v>406</v>
      </c>
      <c r="D52" s="406" t="s">
        <v>407</v>
      </c>
      <c r="E52" s="405" t="s">
        <v>528</v>
      </c>
      <c r="F52" s="406" t="s">
        <v>529</v>
      </c>
      <c r="G52" s="405" t="s">
        <v>630</v>
      </c>
      <c r="H52" s="405" t="s">
        <v>631</v>
      </c>
      <c r="I52" s="407">
        <v>5232.5</v>
      </c>
      <c r="J52" s="407">
        <v>4</v>
      </c>
      <c r="K52" s="408">
        <v>20930</v>
      </c>
    </row>
    <row r="53" spans="1:11" ht="14.4" customHeight="1" x14ac:dyDescent="0.3">
      <c r="A53" s="403" t="s">
        <v>398</v>
      </c>
      <c r="B53" s="404" t="s">
        <v>400</v>
      </c>
      <c r="C53" s="405" t="s">
        <v>406</v>
      </c>
      <c r="D53" s="406" t="s">
        <v>407</v>
      </c>
      <c r="E53" s="405" t="s">
        <v>528</v>
      </c>
      <c r="F53" s="406" t="s">
        <v>529</v>
      </c>
      <c r="G53" s="405" t="s">
        <v>632</v>
      </c>
      <c r="H53" s="405" t="s">
        <v>633</v>
      </c>
      <c r="I53" s="407">
        <v>25.29</v>
      </c>
      <c r="J53" s="407">
        <v>60</v>
      </c>
      <c r="K53" s="408">
        <v>1524.62</v>
      </c>
    </row>
    <row r="54" spans="1:11" ht="14.4" customHeight="1" x14ac:dyDescent="0.3">
      <c r="A54" s="403" t="s">
        <v>398</v>
      </c>
      <c r="B54" s="404" t="s">
        <v>400</v>
      </c>
      <c r="C54" s="405" t="s">
        <v>406</v>
      </c>
      <c r="D54" s="406" t="s">
        <v>407</v>
      </c>
      <c r="E54" s="405" t="s">
        <v>528</v>
      </c>
      <c r="F54" s="406" t="s">
        <v>529</v>
      </c>
      <c r="G54" s="405" t="s">
        <v>634</v>
      </c>
      <c r="H54" s="405" t="s">
        <v>635</v>
      </c>
      <c r="I54" s="407">
        <v>1.1883333333333332</v>
      </c>
      <c r="J54" s="407">
        <v>5400</v>
      </c>
      <c r="K54" s="408">
        <v>6402.7300000000005</v>
      </c>
    </row>
    <row r="55" spans="1:11" ht="14.4" customHeight="1" x14ac:dyDescent="0.3">
      <c r="A55" s="403" t="s">
        <v>398</v>
      </c>
      <c r="B55" s="404" t="s">
        <v>400</v>
      </c>
      <c r="C55" s="405" t="s">
        <v>406</v>
      </c>
      <c r="D55" s="406" t="s">
        <v>407</v>
      </c>
      <c r="E55" s="405" t="s">
        <v>528</v>
      </c>
      <c r="F55" s="406" t="s">
        <v>529</v>
      </c>
      <c r="G55" s="405" t="s">
        <v>636</v>
      </c>
      <c r="H55" s="405" t="s">
        <v>637</v>
      </c>
      <c r="I55" s="407">
        <v>107.16</v>
      </c>
      <c r="J55" s="407">
        <v>7</v>
      </c>
      <c r="K55" s="408">
        <v>750.14</v>
      </c>
    </row>
    <row r="56" spans="1:11" ht="14.4" customHeight="1" x14ac:dyDescent="0.3">
      <c r="A56" s="403" t="s">
        <v>398</v>
      </c>
      <c r="B56" s="404" t="s">
        <v>400</v>
      </c>
      <c r="C56" s="405" t="s">
        <v>406</v>
      </c>
      <c r="D56" s="406" t="s">
        <v>407</v>
      </c>
      <c r="E56" s="405" t="s">
        <v>528</v>
      </c>
      <c r="F56" s="406" t="s">
        <v>529</v>
      </c>
      <c r="G56" s="405" t="s">
        <v>638</v>
      </c>
      <c r="H56" s="405" t="s">
        <v>639</v>
      </c>
      <c r="I56" s="407">
        <v>254.04</v>
      </c>
      <c r="J56" s="407">
        <v>3</v>
      </c>
      <c r="K56" s="408">
        <v>762.12</v>
      </c>
    </row>
    <row r="57" spans="1:11" ht="14.4" customHeight="1" x14ac:dyDescent="0.3">
      <c r="A57" s="403" t="s">
        <v>398</v>
      </c>
      <c r="B57" s="404" t="s">
        <v>400</v>
      </c>
      <c r="C57" s="405" t="s">
        <v>406</v>
      </c>
      <c r="D57" s="406" t="s">
        <v>407</v>
      </c>
      <c r="E57" s="405" t="s">
        <v>528</v>
      </c>
      <c r="F57" s="406" t="s">
        <v>529</v>
      </c>
      <c r="G57" s="405" t="s">
        <v>640</v>
      </c>
      <c r="H57" s="405" t="s">
        <v>641</v>
      </c>
      <c r="I57" s="407">
        <v>159.69999999999999</v>
      </c>
      <c r="J57" s="407">
        <v>5</v>
      </c>
      <c r="K57" s="408">
        <v>798.49</v>
      </c>
    </row>
    <row r="58" spans="1:11" ht="14.4" customHeight="1" x14ac:dyDescent="0.3">
      <c r="A58" s="403" t="s">
        <v>398</v>
      </c>
      <c r="B58" s="404" t="s">
        <v>400</v>
      </c>
      <c r="C58" s="405" t="s">
        <v>406</v>
      </c>
      <c r="D58" s="406" t="s">
        <v>407</v>
      </c>
      <c r="E58" s="405" t="s">
        <v>528</v>
      </c>
      <c r="F58" s="406" t="s">
        <v>529</v>
      </c>
      <c r="G58" s="405" t="s">
        <v>642</v>
      </c>
      <c r="H58" s="405" t="s">
        <v>643</v>
      </c>
      <c r="I58" s="407">
        <v>174.23</v>
      </c>
      <c r="J58" s="407">
        <v>10</v>
      </c>
      <c r="K58" s="408">
        <v>1742.28</v>
      </c>
    </row>
    <row r="59" spans="1:11" ht="14.4" customHeight="1" x14ac:dyDescent="0.3">
      <c r="A59" s="403" t="s">
        <v>398</v>
      </c>
      <c r="B59" s="404" t="s">
        <v>400</v>
      </c>
      <c r="C59" s="405" t="s">
        <v>406</v>
      </c>
      <c r="D59" s="406" t="s">
        <v>407</v>
      </c>
      <c r="E59" s="405" t="s">
        <v>528</v>
      </c>
      <c r="F59" s="406" t="s">
        <v>529</v>
      </c>
      <c r="G59" s="405" t="s">
        <v>644</v>
      </c>
      <c r="H59" s="405" t="s">
        <v>645</v>
      </c>
      <c r="I59" s="407">
        <v>117.24</v>
      </c>
      <c r="J59" s="407">
        <v>11</v>
      </c>
      <c r="K59" s="408">
        <v>1289.6199999999999</v>
      </c>
    </row>
    <row r="60" spans="1:11" ht="14.4" customHeight="1" x14ac:dyDescent="0.3">
      <c r="A60" s="403" t="s">
        <v>398</v>
      </c>
      <c r="B60" s="404" t="s">
        <v>400</v>
      </c>
      <c r="C60" s="405" t="s">
        <v>406</v>
      </c>
      <c r="D60" s="406" t="s">
        <v>407</v>
      </c>
      <c r="E60" s="405" t="s">
        <v>528</v>
      </c>
      <c r="F60" s="406" t="s">
        <v>529</v>
      </c>
      <c r="G60" s="405" t="s">
        <v>646</v>
      </c>
      <c r="H60" s="405" t="s">
        <v>647</v>
      </c>
      <c r="I60" s="407">
        <v>19.723333333333333</v>
      </c>
      <c r="J60" s="407">
        <v>125</v>
      </c>
      <c r="K60" s="408">
        <v>2433.5</v>
      </c>
    </row>
    <row r="61" spans="1:11" ht="14.4" customHeight="1" x14ac:dyDescent="0.3">
      <c r="A61" s="403" t="s">
        <v>398</v>
      </c>
      <c r="B61" s="404" t="s">
        <v>400</v>
      </c>
      <c r="C61" s="405" t="s">
        <v>406</v>
      </c>
      <c r="D61" s="406" t="s">
        <v>407</v>
      </c>
      <c r="E61" s="405" t="s">
        <v>528</v>
      </c>
      <c r="F61" s="406" t="s">
        <v>529</v>
      </c>
      <c r="G61" s="405" t="s">
        <v>648</v>
      </c>
      <c r="H61" s="405" t="s">
        <v>649</v>
      </c>
      <c r="I61" s="407">
        <v>934.375</v>
      </c>
      <c r="J61" s="407">
        <v>5</v>
      </c>
      <c r="K61" s="408">
        <v>4640.25</v>
      </c>
    </row>
    <row r="62" spans="1:11" ht="14.4" customHeight="1" x14ac:dyDescent="0.3">
      <c r="A62" s="403" t="s">
        <v>398</v>
      </c>
      <c r="B62" s="404" t="s">
        <v>400</v>
      </c>
      <c r="C62" s="405" t="s">
        <v>406</v>
      </c>
      <c r="D62" s="406" t="s">
        <v>407</v>
      </c>
      <c r="E62" s="405" t="s">
        <v>528</v>
      </c>
      <c r="F62" s="406" t="s">
        <v>529</v>
      </c>
      <c r="G62" s="405" t="s">
        <v>650</v>
      </c>
      <c r="H62" s="405" t="s">
        <v>651</v>
      </c>
      <c r="I62" s="407">
        <v>939.3</v>
      </c>
      <c r="J62" s="407">
        <v>4</v>
      </c>
      <c r="K62" s="408">
        <v>3757.2</v>
      </c>
    </row>
    <row r="63" spans="1:11" ht="14.4" customHeight="1" x14ac:dyDescent="0.3">
      <c r="A63" s="403" t="s">
        <v>398</v>
      </c>
      <c r="B63" s="404" t="s">
        <v>400</v>
      </c>
      <c r="C63" s="405" t="s">
        <v>406</v>
      </c>
      <c r="D63" s="406" t="s">
        <v>407</v>
      </c>
      <c r="E63" s="405" t="s">
        <v>528</v>
      </c>
      <c r="F63" s="406" t="s">
        <v>529</v>
      </c>
      <c r="G63" s="405" t="s">
        <v>652</v>
      </c>
      <c r="H63" s="405" t="s">
        <v>653</v>
      </c>
      <c r="I63" s="407">
        <v>59.29</v>
      </c>
      <c r="J63" s="407">
        <v>60</v>
      </c>
      <c r="K63" s="408">
        <v>3557.4</v>
      </c>
    </row>
    <row r="64" spans="1:11" ht="14.4" customHeight="1" x14ac:dyDescent="0.3">
      <c r="A64" s="403" t="s">
        <v>398</v>
      </c>
      <c r="B64" s="404" t="s">
        <v>400</v>
      </c>
      <c r="C64" s="405" t="s">
        <v>406</v>
      </c>
      <c r="D64" s="406" t="s">
        <v>407</v>
      </c>
      <c r="E64" s="405" t="s">
        <v>528</v>
      </c>
      <c r="F64" s="406" t="s">
        <v>529</v>
      </c>
      <c r="G64" s="405" t="s">
        <v>654</v>
      </c>
      <c r="H64" s="405" t="s">
        <v>655</v>
      </c>
      <c r="I64" s="407">
        <v>425.92</v>
      </c>
      <c r="J64" s="407">
        <v>3</v>
      </c>
      <c r="K64" s="408">
        <v>1277.75</v>
      </c>
    </row>
    <row r="65" spans="1:11" ht="14.4" customHeight="1" x14ac:dyDescent="0.3">
      <c r="A65" s="403" t="s">
        <v>398</v>
      </c>
      <c r="B65" s="404" t="s">
        <v>400</v>
      </c>
      <c r="C65" s="405" t="s">
        <v>406</v>
      </c>
      <c r="D65" s="406" t="s">
        <v>407</v>
      </c>
      <c r="E65" s="405" t="s">
        <v>528</v>
      </c>
      <c r="F65" s="406" t="s">
        <v>529</v>
      </c>
      <c r="G65" s="405" t="s">
        <v>656</v>
      </c>
      <c r="H65" s="405" t="s">
        <v>657</v>
      </c>
      <c r="I65" s="407">
        <v>1075.6799999999998</v>
      </c>
      <c r="J65" s="407">
        <v>9</v>
      </c>
      <c r="K65" s="408">
        <v>9674.9699999999993</v>
      </c>
    </row>
    <row r="66" spans="1:11" ht="14.4" customHeight="1" x14ac:dyDescent="0.3">
      <c r="A66" s="403" t="s">
        <v>398</v>
      </c>
      <c r="B66" s="404" t="s">
        <v>400</v>
      </c>
      <c r="C66" s="405" t="s">
        <v>406</v>
      </c>
      <c r="D66" s="406" t="s">
        <v>407</v>
      </c>
      <c r="E66" s="405" t="s">
        <v>528</v>
      </c>
      <c r="F66" s="406" t="s">
        <v>529</v>
      </c>
      <c r="G66" s="405" t="s">
        <v>658</v>
      </c>
      <c r="H66" s="405" t="s">
        <v>659</v>
      </c>
      <c r="I66" s="407">
        <v>723.53</v>
      </c>
      <c r="J66" s="407">
        <v>1</v>
      </c>
      <c r="K66" s="408">
        <v>723.53</v>
      </c>
    </row>
    <row r="67" spans="1:11" ht="14.4" customHeight="1" x14ac:dyDescent="0.3">
      <c r="A67" s="403" t="s">
        <v>398</v>
      </c>
      <c r="B67" s="404" t="s">
        <v>400</v>
      </c>
      <c r="C67" s="405" t="s">
        <v>406</v>
      </c>
      <c r="D67" s="406" t="s">
        <v>407</v>
      </c>
      <c r="E67" s="405" t="s">
        <v>528</v>
      </c>
      <c r="F67" s="406" t="s">
        <v>529</v>
      </c>
      <c r="G67" s="405" t="s">
        <v>660</v>
      </c>
      <c r="H67" s="405" t="s">
        <v>661</v>
      </c>
      <c r="I67" s="407">
        <v>18.399999999999999</v>
      </c>
      <c r="J67" s="407">
        <v>60</v>
      </c>
      <c r="K67" s="408">
        <v>1104</v>
      </c>
    </row>
    <row r="68" spans="1:11" ht="14.4" customHeight="1" x14ac:dyDescent="0.3">
      <c r="A68" s="403" t="s">
        <v>398</v>
      </c>
      <c r="B68" s="404" t="s">
        <v>400</v>
      </c>
      <c r="C68" s="405" t="s">
        <v>406</v>
      </c>
      <c r="D68" s="406" t="s">
        <v>407</v>
      </c>
      <c r="E68" s="405" t="s">
        <v>528</v>
      </c>
      <c r="F68" s="406" t="s">
        <v>529</v>
      </c>
      <c r="G68" s="405" t="s">
        <v>662</v>
      </c>
      <c r="H68" s="405" t="s">
        <v>663</v>
      </c>
      <c r="I68" s="407">
        <v>138</v>
      </c>
      <c r="J68" s="407">
        <v>35</v>
      </c>
      <c r="K68" s="408">
        <v>4830</v>
      </c>
    </row>
    <row r="69" spans="1:11" ht="14.4" customHeight="1" x14ac:dyDescent="0.3">
      <c r="A69" s="403" t="s">
        <v>398</v>
      </c>
      <c r="B69" s="404" t="s">
        <v>400</v>
      </c>
      <c r="C69" s="405" t="s">
        <v>406</v>
      </c>
      <c r="D69" s="406" t="s">
        <v>407</v>
      </c>
      <c r="E69" s="405" t="s">
        <v>528</v>
      </c>
      <c r="F69" s="406" t="s">
        <v>529</v>
      </c>
      <c r="G69" s="405" t="s">
        <v>664</v>
      </c>
      <c r="H69" s="405" t="s">
        <v>665</v>
      </c>
      <c r="I69" s="407">
        <v>580.77500000000009</v>
      </c>
      <c r="J69" s="407">
        <v>2</v>
      </c>
      <c r="K69" s="408">
        <v>1161.5500000000002</v>
      </c>
    </row>
    <row r="70" spans="1:11" ht="14.4" customHeight="1" x14ac:dyDescent="0.3">
      <c r="A70" s="403" t="s">
        <v>398</v>
      </c>
      <c r="B70" s="404" t="s">
        <v>400</v>
      </c>
      <c r="C70" s="405" t="s">
        <v>406</v>
      </c>
      <c r="D70" s="406" t="s">
        <v>407</v>
      </c>
      <c r="E70" s="405" t="s">
        <v>528</v>
      </c>
      <c r="F70" s="406" t="s">
        <v>529</v>
      </c>
      <c r="G70" s="405" t="s">
        <v>666</v>
      </c>
      <c r="H70" s="405" t="s">
        <v>667</v>
      </c>
      <c r="I70" s="407">
        <v>2288.5</v>
      </c>
      <c r="J70" s="407">
        <v>2</v>
      </c>
      <c r="K70" s="408">
        <v>4577</v>
      </c>
    </row>
    <row r="71" spans="1:11" ht="14.4" customHeight="1" x14ac:dyDescent="0.3">
      <c r="A71" s="403" t="s">
        <v>398</v>
      </c>
      <c r="B71" s="404" t="s">
        <v>400</v>
      </c>
      <c r="C71" s="405" t="s">
        <v>406</v>
      </c>
      <c r="D71" s="406" t="s">
        <v>407</v>
      </c>
      <c r="E71" s="405" t="s">
        <v>528</v>
      </c>
      <c r="F71" s="406" t="s">
        <v>529</v>
      </c>
      <c r="G71" s="405" t="s">
        <v>668</v>
      </c>
      <c r="H71" s="405" t="s">
        <v>669</v>
      </c>
      <c r="I71" s="407">
        <v>4114</v>
      </c>
      <c r="J71" s="407">
        <v>2</v>
      </c>
      <c r="K71" s="408">
        <v>8228</v>
      </c>
    </row>
    <row r="72" spans="1:11" ht="14.4" customHeight="1" x14ac:dyDescent="0.3">
      <c r="A72" s="403" t="s">
        <v>398</v>
      </c>
      <c r="B72" s="404" t="s">
        <v>400</v>
      </c>
      <c r="C72" s="405" t="s">
        <v>406</v>
      </c>
      <c r="D72" s="406" t="s">
        <v>407</v>
      </c>
      <c r="E72" s="405" t="s">
        <v>528</v>
      </c>
      <c r="F72" s="406" t="s">
        <v>529</v>
      </c>
      <c r="G72" s="405" t="s">
        <v>670</v>
      </c>
      <c r="H72" s="405" t="s">
        <v>671</v>
      </c>
      <c r="I72" s="407">
        <v>138</v>
      </c>
      <c r="J72" s="407">
        <v>55</v>
      </c>
      <c r="K72" s="408">
        <v>7590</v>
      </c>
    </row>
    <row r="73" spans="1:11" ht="14.4" customHeight="1" x14ac:dyDescent="0.3">
      <c r="A73" s="403" t="s">
        <v>398</v>
      </c>
      <c r="B73" s="404" t="s">
        <v>400</v>
      </c>
      <c r="C73" s="405" t="s">
        <v>406</v>
      </c>
      <c r="D73" s="406" t="s">
        <v>407</v>
      </c>
      <c r="E73" s="405" t="s">
        <v>528</v>
      </c>
      <c r="F73" s="406" t="s">
        <v>529</v>
      </c>
      <c r="G73" s="405" t="s">
        <v>672</v>
      </c>
      <c r="H73" s="405" t="s">
        <v>673</v>
      </c>
      <c r="I73" s="407">
        <v>50.4</v>
      </c>
      <c r="J73" s="407">
        <v>30</v>
      </c>
      <c r="K73" s="408">
        <v>1512</v>
      </c>
    </row>
    <row r="74" spans="1:11" ht="14.4" customHeight="1" x14ac:dyDescent="0.3">
      <c r="A74" s="403" t="s">
        <v>398</v>
      </c>
      <c r="B74" s="404" t="s">
        <v>400</v>
      </c>
      <c r="C74" s="405" t="s">
        <v>406</v>
      </c>
      <c r="D74" s="406" t="s">
        <v>407</v>
      </c>
      <c r="E74" s="405" t="s">
        <v>528</v>
      </c>
      <c r="F74" s="406" t="s">
        <v>529</v>
      </c>
      <c r="G74" s="405" t="s">
        <v>674</v>
      </c>
      <c r="H74" s="405" t="s">
        <v>675</v>
      </c>
      <c r="I74" s="407">
        <v>18.399999999999999</v>
      </c>
      <c r="J74" s="407">
        <v>60</v>
      </c>
      <c r="K74" s="408">
        <v>1104</v>
      </c>
    </row>
    <row r="75" spans="1:11" ht="14.4" customHeight="1" x14ac:dyDescent="0.3">
      <c r="A75" s="403" t="s">
        <v>398</v>
      </c>
      <c r="B75" s="404" t="s">
        <v>400</v>
      </c>
      <c r="C75" s="405" t="s">
        <v>406</v>
      </c>
      <c r="D75" s="406" t="s">
        <v>407</v>
      </c>
      <c r="E75" s="405" t="s">
        <v>528</v>
      </c>
      <c r="F75" s="406" t="s">
        <v>529</v>
      </c>
      <c r="G75" s="405" t="s">
        <v>676</v>
      </c>
      <c r="H75" s="405" t="s">
        <v>677</v>
      </c>
      <c r="I75" s="407">
        <v>3811.5</v>
      </c>
      <c r="J75" s="407">
        <v>1</v>
      </c>
      <c r="K75" s="408">
        <v>3811.5</v>
      </c>
    </row>
    <row r="76" spans="1:11" ht="14.4" customHeight="1" x14ac:dyDescent="0.3">
      <c r="A76" s="403" t="s">
        <v>398</v>
      </c>
      <c r="B76" s="404" t="s">
        <v>400</v>
      </c>
      <c r="C76" s="405" t="s">
        <v>406</v>
      </c>
      <c r="D76" s="406" t="s">
        <v>407</v>
      </c>
      <c r="E76" s="405" t="s">
        <v>528</v>
      </c>
      <c r="F76" s="406" t="s">
        <v>529</v>
      </c>
      <c r="G76" s="405" t="s">
        <v>678</v>
      </c>
      <c r="H76" s="405" t="s">
        <v>679</v>
      </c>
      <c r="I76" s="407">
        <v>81</v>
      </c>
      <c r="J76" s="407">
        <v>30</v>
      </c>
      <c r="K76" s="408">
        <v>2430</v>
      </c>
    </row>
    <row r="77" spans="1:11" ht="14.4" customHeight="1" x14ac:dyDescent="0.3">
      <c r="A77" s="403" t="s">
        <v>398</v>
      </c>
      <c r="B77" s="404" t="s">
        <v>400</v>
      </c>
      <c r="C77" s="405" t="s">
        <v>406</v>
      </c>
      <c r="D77" s="406" t="s">
        <v>407</v>
      </c>
      <c r="E77" s="405" t="s">
        <v>528</v>
      </c>
      <c r="F77" s="406" t="s">
        <v>529</v>
      </c>
      <c r="G77" s="405" t="s">
        <v>680</v>
      </c>
      <c r="H77" s="405" t="s">
        <v>681</v>
      </c>
      <c r="I77" s="407">
        <v>4207.8500000000004</v>
      </c>
      <c r="J77" s="407">
        <v>1</v>
      </c>
      <c r="K77" s="408">
        <v>4207.8500000000004</v>
      </c>
    </row>
    <row r="78" spans="1:11" ht="14.4" customHeight="1" x14ac:dyDescent="0.3">
      <c r="A78" s="403" t="s">
        <v>398</v>
      </c>
      <c r="B78" s="404" t="s">
        <v>400</v>
      </c>
      <c r="C78" s="405" t="s">
        <v>406</v>
      </c>
      <c r="D78" s="406" t="s">
        <v>407</v>
      </c>
      <c r="E78" s="405" t="s">
        <v>528</v>
      </c>
      <c r="F78" s="406" t="s">
        <v>529</v>
      </c>
      <c r="G78" s="405" t="s">
        <v>682</v>
      </c>
      <c r="H78" s="405" t="s">
        <v>683</v>
      </c>
      <c r="I78" s="407">
        <v>625.51</v>
      </c>
      <c r="J78" s="407">
        <v>2</v>
      </c>
      <c r="K78" s="408">
        <v>1251.02</v>
      </c>
    </row>
    <row r="79" spans="1:11" ht="14.4" customHeight="1" x14ac:dyDescent="0.3">
      <c r="A79" s="403" t="s">
        <v>398</v>
      </c>
      <c r="B79" s="404" t="s">
        <v>400</v>
      </c>
      <c r="C79" s="405" t="s">
        <v>406</v>
      </c>
      <c r="D79" s="406" t="s">
        <v>407</v>
      </c>
      <c r="E79" s="405" t="s">
        <v>528</v>
      </c>
      <c r="F79" s="406" t="s">
        <v>529</v>
      </c>
      <c r="G79" s="405" t="s">
        <v>684</v>
      </c>
      <c r="H79" s="405" t="s">
        <v>685</v>
      </c>
      <c r="I79" s="407">
        <v>625.51</v>
      </c>
      <c r="J79" s="407">
        <v>1</v>
      </c>
      <c r="K79" s="408">
        <v>625.51</v>
      </c>
    </row>
    <row r="80" spans="1:11" ht="14.4" customHeight="1" x14ac:dyDescent="0.3">
      <c r="A80" s="403" t="s">
        <v>398</v>
      </c>
      <c r="B80" s="404" t="s">
        <v>400</v>
      </c>
      <c r="C80" s="405" t="s">
        <v>406</v>
      </c>
      <c r="D80" s="406" t="s">
        <v>407</v>
      </c>
      <c r="E80" s="405" t="s">
        <v>528</v>
      </c>
      <c r="F80" s="406" t="s">
        <v>529</v>
      </c>
      <c r="G80" s="405" t="s">
        <v>686</v>
      </c>
      <c r="H80" s="405" t="s">
        <v>687</v>
      </c>
      <c r="I80" s="407">
        <v>50.4</v>
      </c>
      <c r="J80" s="407">
        <v>30</v>
      </c>
      <c r="K80" s="408">
        <v>1512</v>
      </c>
    </row>
    <row r="81" spans="1:11" ht="14.4" customHeight="1" x14ac:dyDescent="0.3">
      <c r="A81" s="403" t="s">
        <v>398</v>
      </c>
      <c r="B81" s="404" t="s">
        <v>400</v>
      </c>
      <c r="C81" s="405" t="s">
        <v>406</v>
      </c>
      <c r="D81" s="406" t="s">
        <v>407</v>
      </c>
      <c r="E81" s="405" t="s">
        <v>528</v>
      </c>
      <c r="F81" s="406" t="s">
        <v>529</v>
      </c>
      <c r="G81" s="405" t="s">
        <v>688</v>
      </c>
      <c r="H81" s="405" t="s">
        <v>689</v>
      </c>
      <c r="I81" s="407">
        <v>140.5</v>
      </c>
      <c r="J81" s="407">
        <v>6</v>
      </c>
      <c r="K81" s="408">
        <v>843</v>
      </c>
    </row>
    <row r="82" spans="1:11" ht="14.4" customHeight="1" x14ac:dyDescent="0.3">
      <c r="A82" s="403" t="s">
        <v>398</v>
      </c>
      <c r="B82" s="404" t="s">
        <v>400</v>
      </c>
      <c r="C82" s="405" t="s">
        <v>406</v>
      </c>
      <c r="D82" s="406" t="s">
        <v>407</v>
      </c>
      <c r="E82" s="405" t="s">
        <v>528</v>
      </c>
      <c r="F82" s="406" t="s">
        <v>529</v>
      </c>
      <c r="G82" s="405" t="s">
        <v>690</v>
      </c>
      <c r="H82" s="405" t="s">
        <v>691</v>
      </c>
      <c r="I82" s="407">
        <v>50.4</v>
      </c>
      <c r="J82" s="407">
        <v>20</v>
      </c>
      <c r="K82" s="408">
        <v>1008</v>
      </c>
    </row>
    <row r="83" spans="1:11" ht="14.4" customHeight="1" x14ac:dyDescent="0.3">
      <c r="A83" s="403" t="s">
        <v>398</v>
      </c>
      <c r="B83" s="404" t="s">
        <v>400</v>
      </c>
      <c r="C83" s="405" t="s">
        <v>406</v>
      </c>
      <c r="D83" s="406" t="s">
        <v>407</v>
      </c>
      <c r="E83" s="405" t="s">
        <v>528</v>
      </c>
      <c r="F83" s="406" t="s">
        <v>529</v>
      </c>
      <c r="G83" s="405" t="s">
        <v>692</v>
      </c>
      <c r="H83" s="405" t="s">
        <v>693</v>
      </c>
      <c r="I83" s="407">
        <v>1850.7</v>
      </c>
      <c r="J83" s="407">
        <v>1</v>
      </c>
      <c r="K83" s="408">
        <v>1850.7</v>
      </c>
    </row>
    <row r="84" spans="1:11" ht="14.4" customHeight="1" x14ac:dyDescent="0.3">
      <c r="A84" s="403" t="s">
        <v>398</v>
      </c>
      <c r="B84" s="404" t="s">
        <v>400</v>
      </c>
      <c r="C84" s="405" t="s">
        <v>406</v>
      </c>
      <c r="D84" s="406" t="s">
        <v>407</v>
      </c>
      <c r="E84" s="405" t="s">
        <v>528</v>
      </c>
      <c r="F84" s="406" t="s">
        <v>529</v>
      </c>
      <c r="G84" s="405" t="s">
        <v>694</v>
      </c>
      <c r="H84" s="405" t="s">
        <v>695</v>
      </c>
      <c r="I84" s="407">
        <v>19.98</v>
      </c>
      <c r="J84" s="407">
        <v>50</v>
      </c>
      <c r="K84" s="408">
        <v>999</v>
      </c>
    </row>
    <row r="85" spans="1:11" ht="14.4" customHeight="1" x14ac:dyDescent="0.3">
      <c r="A85" s="403" t="s">
        <v>398</v>
      </c>
      <c r="B85" s="404" t="s">
        <v>400</v>
      </c>
      <c r="C85" s="405" t="s">
        <v>406</v>
      </c>
      <c r="D85" s="406" t="s">
        <v>407</v>
      </c>
      <c r="E85" s="405" t="s">
        <v>528</v>
      </c>
      <c r="F85" s="406" t="s">
        <v>529</v>
      </c>
      <c r="G85" s="405" t="s">
        <v>696</v>
      </c>
      <c r="H85" s="405" t="s">
        <v>697</v>
      </c>
      <c r="I85" s="407">
        <v>962</v>
      </c>
      <c r="J85" s="407">
        <v>1</v>
      </c>
      <c r="K85" s="408">
        <v>962</v>
      </c>
    </row>
    <row r="86" spans="1:11" ht="14.4" customHeight="1" x14ac:dyDescent="0.3">
      <c r="A86" s="403" t="s">
        <v>398</v>
      </c>
      <c r="B86" s="404" t="s">
        <v>400</v>
      </c>
      <c r="C86" s="405" t="s">
        <v>406</v>
      </c>
      <c r="D86" s="406" t="s">
        <v>407</v>
      </c>
      <c r="E86" s="405" t="s">
        <v>528</v>
      </c>
      <c r="F86" s="406" t="s">
        <v>529</v>
      </c>
      <c r="G86" s="405" t="s">
        <v>698</v>
      </c>
      <c r="H86" s="405" t="s">
        <v>699</v>
      </c>
      <c r="I86" s="407">
        <v>5244.31</v>
      </c>
      <c r="J86" s="407">
        <v>1</v>
      </c>
      <c r="K86" s="408">
        <v>5244.31</v>
      </c>
    </row>
    <row r="87" spans="1:11" ht="14.4" customHeight="1" x14ac:dyDescent="0.3">
      <c r="A87" s="403" t="s">
        <v>398</v>
      </c>
      <c r="B87" s="404" t="s">
        <v>400</v>
      </c>
      <c r="C87" s="405" t="s">
        <v>406</v>
      </c>
      <c r="D87" s="406" t="s">
        <v>407</v>
      </c>
      <c r="E87" s="405" t="s">
        <v>528</v>
      </c>
      <c r="F87" s="406" t="s">
        <v>529</v>
      </c>
      <c r="G87" s="405" t="s">
        <v>700</v>
      </c>
      <c r="H87" s="405" t="s">
        <v>701</v>
      </c>
      <c r="I87" s="407">
        <v>1447.53</v>
      </c>
      <c r="J87" s="407">
        <v>2</v>
      </c>
      <c r="K87" s="408">
        <v>2895.05</v>
      </c>
    </row>
    <row r="88" spans="1:11" ht="14.4" customHeight="1" x14ac:dyDescent="0.3">
      <c r="A88" s="403" t="s">
        <v>398</v>
      </c>
      <c r="B88" s="404" t="s">
        <v>400</v>
      </c>
      <c r="C88" s="405" t="s">
        <v>406</v>
      </c>
      <c r="D88" s="406" t="s">
        <v>407</v>
      </c>
      <c r="E88" s="405" t="s">
        <v>528</v>
      </c>
      <c r="F88" s="406" t="s">
        <v>529</v>
      </c>
      <c r="G88" s="405" t="s">
        <v>702</v>
      </c>
      <c r="H88" s="405" t="s">
        <v>703</v>
      </c>
      <c r="I88" s="407">
        <v>52.6</v>
      </c>
      <c r="J88" s="407">
        <v>40</v>
      </c>
      <c r="K88" s="408">
        <v>2104.06</v>
      </c>
    </row>
    <row r="89" spans="1:11" ht="14.4" customHeight="1" x14ac:dyDescent="0.3">
      <c r="A89" s="403" t="s">
        <v>398</v>
      </c>
      <c r="B89" s="404" t="s">
        <v>400</v>
      </c>
      <c r="C89" s="405" t="s">
        <v>406</v>
      </c>
      <c r="D89" s="406" t="s">
        <v>407</v>
      </c>
      <c r="E89" s="405" t="s">
        <v>528</v>
      </c>
      <c r="F89" s="406" t="s">
        <v>529</v>
      </c>
      <c r="G89" s="405" t="s">
        <v>704</v>
      </c>
      <c r="H89" s="405" t="s">
        <v>705</v>
      </c>
      <c r="I89" s="407">
        <v>4207.8500000000004</v>
      </c>
      <c r="J89" s="407">
        <v>1</v>
      </c>
      <c r="K89" s="408">
        <v>4207.8500000000004</v>
      </c>
    </row>
    <row r="90" spans="1:11" ht="14.4" customHeight="1" x14ac:dyDescent="0.3">
      <c r="A90" s="403" t="s">
        <v>398</v>
      </c>
      <c r="B90" s="404" t="s">
        <v>400</v>
      </c>
      <c r="C90" s="405" t="s">
        <v>406</v>
      </c>
      <c r="D90" s="406" t="s">
        <v>407</v>
      </c>
      <c r="E90" s="405" t="s">
        <v>528</v>
      </c>
      <c r="F90" s="406" t="s">
        <v>529</v>
      </c>
      <c r="G90" s="405" t="s">
        <v>706</v>
      </c>
      <c r="H90" s="405" t="s">
        <v>707</v>
      </c>
      <c r="I90" s="407">
        <v>3920</v>
      </c>
      <c r="J90" s="407">
        <v>2</v>
      </c>
      <c r="K90" s="408">
        <v>7840</v>
      </c>
    </row>
    <row r="91" spans="1:11" ht="14.4" customHeight="1" x14ac:dyDescent="0.3">
      <c r="A91" s="403" t="s">
        <v>398</v>
      </c>
      <c r="B91" s="404" t="s">
        <v>400</v>
      </c>
      <c r="C91" s="405" t="s">
        <v>406</v>
      </c>
      <c r="D91" s="406" t="s">
        <v>407</v>
      </c>
      <c r="E91" s="405" t="s">
        <v>528</v>
      </c>
      <c r="F91" s="406" t="s">
        <v>529</v>
      </c>
      <c r="G91" s="405" t="s">
        <v>708</v>
      </c>
      <c r="H91" s="405" t="s">
        <v>709</v>
      </c>
      <c r="I91" s="407">
        <v>521.73</v>
      </c>
      <c r="J91" s="407">
        <v>3</v>
      </c>
      <c r="K91" s="408">
        <v>1565.19</v>
      </c>
    </row>
    <row r="92" spans="1:11" ht="14.4" customHeight="1" x14ac:dyDescent="0.3">
      <c r="A92" s="403" t="s">
        <v>398</v>
      </c>
      <c r="B92" s="404" t="s">
        <v>400</v>
      </c>
      <c r="C92" s="405" t="s">
        <v>406</v>
      </c>
      <c r="D92" s="406" t="s">
        <v>407</v>
      </c>
      <c r="E92" s="405" t="s">
        <v>528</v>
      </c>
      <c r="F92" s="406" t="s">
        <v>529</v>
      </c>
      <c r="G92" s="405" t="s">
        <v>710</v>
      </c>
      <c r="H92" s="405" t="s">
        <v>711</v>
      </c>
      <c r="I92" s="407">
        <v>552</v>
      </c>
      <c r="J92" s="407">
        <v>2</v>
      </c>
      <c r="K92" s="408">
        <v>1104</v>
      </c>
    </row>
    <row r="93" spans="1:11" ht="14.4" customHeight="1" x14ac:dyDescent="0.3">
      <c r="A93" s="403" t="s">
        <v>398</v>
      </c>
      <c r="B93" s="404" t="s">
        <v>400</v>
      </c>
      <c r="C93" s="405" t="s">
        <v>406</v>
      </c>
      <c r="D93" s="406" t="s">
        <v>407</v>
      </c>
      <c r="E93" s="405" t="s">
        <v>528</v>
      </c>
      <c r="F93" s="406" t="s">
        <v>529</v>
      </c>
      <c r="G93" s="405" t="s">
        <v>712</v>
      </c>
      <c r="H93" s="405" t="s">
        <v>713</v>
      </c>
      <c r="I93" s="407">
        <v>826.18</v>
      </c>
      <c r="J93" s="407">
        <v>2</v>
      </c>
      <c r="K93" s="408">
        <v>1652.37</v>
      </c>
    </row>
    <row r="94" spans="1:11" ht="14.4" customHeight="1" x14ac:dyDescent="0.3">
      <c r="A94" s="403" t="s">
        <v>398</v>
      </c>
      <c r="B94" s="404" t="s">
        <v>400</v>
      </c>
      <c r="C94" s="405" t="s">
        <v>406</v>
      </c>
      <c r="D94" s="406" t="s">
        <v>407</v>
      </c>
      <c r="E94" s="405" t="s">
        <v>528</v>
      </c>
      <c r="F94" s="406" t="s">
        <v>529</v>
      </c>
      <c r="G94" s="405" t="s">
        <v>714</v>
      </c>
      <c r="H94" s="405" t="s">
        <v>715</v>
      </c>
      <c r="I94" s="407">
        <v>504.75</v>
      </c>
      <c r="J94" s="407">
        <v>1</v>
      </c>
      <c r="K94" s="408">
        <v>504.75</v>
      </c>
    </row>
    <row r="95" spans="1:11" ht="14.4" customHeight="1" x14ac:dyDescent="0.3">
      <c r="A95" s="403" t="s">
        <v>398</v>
      </c>
      <c r="B95" s="404" t="s">
        <v>400</v>
      </c>
      <c r="C95" s="405" t="s">
        <v>406</v>
      </c>
      <c r="D95" s="406" t="s">
        <v>407</v>
      </c>
      <c r="E95" s="405" t="s">
        <v>528</v>
      </c>
      <c r="F95" s="406" t="s">
        <v>529</v>
      </c>
      <c r="G95" s="405" t="s">
        <v>716</v>
      </c>
      <c r="H95" s="405" t="s">
        <v>717</v>
      </c>
      <c r="I95" s="407">
        <v>1886.5</v>
      </c>
      <c r="J95" s="407">
        <v>2</v>
      </c>
      <c r="K95" s="408">
        <v>3773</v>
      </c>
    </row>
    <row r="96" spans="1:11" ht="14.4" customHeight="1" x14ac:dyDescent="0.3">
      <c r="A96" s="403" t="s">
        <v>398</v>
      </c>
      <c r="B96" s="404" t="s">
        <v>400</v>
      </c>
      <c r="C96" s="405" t="s">
        <v>406</v>
      </c>
      <c r="D96" s="406" t="s">
        <v>407</v>
      </c>
      <c r="E96" s="405" t="s">
        <v>528</v>
      </c>
      <c r="F96" s="406" t="s">
        <v>529</v>
      </c>
      <c r="G96" s="405" t="s">
        <v>718</v>
      </c>
      <c r="H96" s="405" t="s">
        <v>719</v>
      </c>
      <c r="I96" s="407">
        <v>1122.8699999999999</v>
      </c>
      <c r="J96" s="407">
        <v>4</v>
      </c>
      <c r="K96" s="408">
        <v>4491.49</v>
      </c>
    </row>
    <row r="97" spans="1:11" ht="14.4" customHeight="1" x14ac:dyDescent="0.3">
      <c r="A97" s="403" t="s">
        <v>398</v>
      </c>
      <c r="B97" s="404" t="s">
        <v>400</v>
      </c>
      <c r="C97" s="405" t="s">
        <v>406</v>
      </c>
      <c r="D97" s="406" t="s">
        <v>407</v>
      </c>
      <c r="E97" s="405" t="s">
        <v>528</v>
      </c>
      <c r="F97" s="406" t="s">
        <v>529</v>
      </c>
      <c r="G97" s="405" t="s">
        <v>720</v>
      </c>
      <c r="H97" s="405" t="s">
        <v>721</v>
      </c>
      <c r="I97" s="407">
        <v>3156.75</v>
      </c>
      <c r="J97" s="407">
        <v>1</v>
      </c>
      <c r="K97" s="408">
        <v>3156.75</v>
      </c>
    </row>
    <row r="98" spans="1:11" ht="14.4" customHeight="1" x14ac:dyDescent="0.3">
      <c r="A98" s="403" t="s">
        <v>398</v>
      </c>
      <c r="B98" s="404" t="s">
        <v>400</v>
      </c>
      <c r="C98" s="405" t="s">
        <v>406</v>
      </c>
      <c r="D98" s="406" t="s">
        <v>407</v>
      </c>
      <c r="E98" s="405" t="s">
        <v>528</v>
      </c>
      <c r="F98" s="406" t="s">
        <v>529</v>
      </c>
      <c r="G98" s="405" t="s">
        <v>722</v>
      </c>
      <c r="H98" s="405" t="s">
        <v>723</v>
      </c>
      <c r="I98" s="407">
        <v>390.83</v>
      </c>
      <c r="J98" s="407">
        <v>5</v>
      </c>
      <c r="K98" s="408">
        <v>1954.15</v>
      </c>
    </row>
    <row r="99" spans="1:11" ht="14.4" customHeight="1" x14ac:dyDescent="0.3">
      <c r="A99" s="403" t="s">
        <v>398</v>
      </c>
      <c r="B99" s="404" t="s">
        <v>400</v>
      </c>
      <c r="C99" s="405" t="s">
        <v>406</v>
      </c>
      <c r="D99" s="406" t="s">
        <v>407</v>
      </c>
      <c r="E99" s="405" t="s">
        <v>528</v>
      </c>
      <c r="F99" s="406" t="s">
        <v>529</v>
      </c>
      <c r="G99" s="405" t="s">
        <v>724</v>
      </c>
      <c r="H99" s="405" t="s">
        <v>725</v>
      </c>
      <c r="I99" s="407">
        <v>2.09</v>
      </c>
      <c r="J99" s="407">
        <v>200</v>
      </c>
      <c r="K99" s="408">
        <v>418.66</v>
      </c>
    </row>
    <row r="100" spans="1:11" ht="14.4" customHeight="1" x14ac:dyDescent="0.3">
      <c r="A100" s="403" t="s">
        <v>398</v>
      </c>
      <c r="B100" s="404" t="s">
        <v>400</v>
      </c>
      <c r="C100" s="405" t="s">
        <v>406</v>
      </c>
      <c r="D100" s="406" t="s">
        <v>407</v>
      </c>
      <c r="E100" s="405" t="s">
        <v>528</v>
      </c>
      <c r="F100" s="406" t="s">
        <v>529</v>
      </c>
      <c r="G100" s="405" t="s">
        <v>726</v>
      </c>
      <c r="H100" s="405" t="s">
        <v>727</v>
      </c>
      <c r="I100" s="407">
        <v>249</v>
      </c>
      <c r="J100" s="407">
        <v>53</v>
      </c>
      <c r="K100" s="408">
        <v>13197</v>
      </c>
    </row>
    <row r="101" spans="1:11" ht="14.4" customHeight="1" x14ac:dyDescent="0.3">
      <c r="A101" s="403" t="s">
        <v>398</v>
      </c>
      <c r="B101" s="404" t="s">
        <v>400</v>
      </c>
      <c r="C101" s="405" t="s">
        <v>406</v>
      </c>
      <c r="D101" s="406" t="s">
        <v>407</v>
      </c>
      <c r="E101" s="405" t="s">
        <v>528</v>
      </c>
      <c r="F101" s="406" t="s">
        <v>529</v>
      </c>
      <c r="G101" s="405" t="s">
        <v>728</v>
      </c>
      <c r="H101" s="405" t="s">
        <v>729</v>
      </c>
      <c r="I101" s="407">
        <v>811.25</v>
      </c>
      <c r="J101" s="407">
        <v>2</v>
      </c>
      <c r="K101" s="408">
        <v>1622.5</v>
      </c>
    </row>
    <row r="102" spans="1:11" ht="14.4" customHeight="1" x14ac:dyDescent="0.3">
      <c r="A102" s="403" t="s">
        <v>398</v>
      </c>
      <c r="B102" s="404" t="s">
        <v>400</v>
      </c>
      <c r="C102" s="405" t="s">
        <v>406</v>
      </c>
      <c r="D102" s="406" t="s">
        <v>407</v>
      </c>
      <c r="E102" s="405" t="s">
        <v>528</v>
      </c>
      <c r="F102" s="406" t="s">
        <v>529</v>
      </c>
      <c r="G102" s="405" t="s">
        <v>730</v>
      </c>
      <c r="H102" s="405" t="s">
        <v>731</v>
      </c>
      <c r="I102" s="407">
        <v>425.32</v>
      </c>
      <c r="J102" s="407">
        <v>1</v>
      </c>
      <c r="K102" s="408">
        <v>425.32</v>
      </c>
    </row>
    <row r="103" spans="1:11" ht="14.4" customHeight="1" x14ac:dyDescent="0.3">
      <c r="A103" s="403" t="s">
        <v>398</v>
      </c>
      <c r="B103" s="404" t="s">
        <v>400</v>
      </c>
      <c r="C103" s="405" t="s">
        <v>406</v>
      </c>
      <c r="D103" s="406" t="s">
        <v>407</v>
      </c>
      <c r="E103" s="405" t="s">
        <v>528</v>
      </c>
      <c r="F103" s="406" t="s">
        <v>529</v>
      </c>
      <c r="G103" s="405" t="s">
        <v>732</v>
      </c>
      <c r="H103" s="405" t="s">
        <v>733</v>
      </c>
      <c r="I103" s="407">
        <v>1380.92</v>
      </c>
      <c r="J103" s="407">
        <v>6</v>
      </c>
      <c r="K103" s="408">
        <v>8285.52</v>
      </c>
    </row>
    <row r="104" spans="1:11" ht="14.4" customHeight="1" x14ac:dyDescent="0.3">
      <c r="A104" s="403" t="s">
        <v>398</v>
      </c>
      <c r="B104" s="404" t="s">
        <v>400</v>
      </c>
      <c r="C104" s="405" t="s">
        <v>406</v>
      </c>
      <c r="D104" s="406" t="s">
        <v>407</v>
      </c>
      <c r="E104" s="405" t="s">
        <v>528</v>
      </c>
      <c r="F104" s="406" t="s">
        <v>529</v>
      </c>
      <c r="G104" s="405" t="s">
        <v>734</v>
      </c>
      <c r="H104" s="405" t="s">
        <v>735</v>
      </c>
      <c r="I104" s="407">
        <v>1020</v>
      </c>
      <c r="J104" s="407">
        <v>9</v>
      </c>
      <c r="K104" s="408">
        <v>9180</v>
      </c>
    </row>
    <row r="105" spans="1:11" ht="14.4" customHeight="1" x14ac:dyDescent="0.3">
      <c r="A105" s="403" t="s">
        <v>398</v>
      </c>
      <c r="B105" s="404" t="s">
        <v>400</v>
      </c>
      <c r="C105" s="405" t="s">
        <v>406</v>
      </c>
      <c r="D105" s="406" t="s">
        <v>407</v>
      </c>
      <c r="E105" s="405" t="s">
        <v>528</v>
      </c>
      <c r="F105" s="406" t="s">
        <v>529</v>
      </c>
      <c r="G105" s="405" t="s">
        <v>736</v>
      </c>
      <c r="H105" s="405" t="s">
        <v>737</v>
      </c>
      <c r="I105" s="407">
        <v>435.6</v>
      </c>
      <c r="J105" s="407">
        <v>1</v>
      </c>
      <c r="K105" s="408">
        <v>435.6</v>
      </c>
    </row>
    <row r="106" spans="1:11" ht="14.4" customHeight="1" x14ac:dyDescent="0.3">
      <c r="A106" s="403" t="s">
        <v>398</v>
      </c>
      <c r="B106" s="404" t="s">
        <v>400</v>
      </c>
      <c r="C106" s="405" t="s">
        <v>406</v>
      </c>
      <c r="D106" s="406" t="s">
        <v>407</v>
      </c>
      <c r="E106" s="405" t="s">
        <v>528</v>
      </c>
      <c r="F106" s="406" t="s">
        <v>529</v>
      </c>
      <c r="G106" s="405" t="s">
        <v>738</v>
      </c>
      <c r="H106" s="405" t="s">
        <v>739</v>
      </c>
      <c r="I106" s="407">
        <v>1152.96</v>
      </c>
      <c r="J106" s="407">
        <v>8</v>
      </c>
      <c r="K106" s="408">
        <v>9223.67</v>
      </c>
    </row>
    <row r="107" spans="1:11" ht="14.4" customHeight="1" x14ac:dyDescent="0.3">
      <c r="A107" s="403" t="s">
        <v>398</v>
      </c>
      <c r="B107" s="404" t="s">
        <v>400</v>
      </c>
      <c r="C107" s="405" t="s">
        <v>406</v>
      </c>
      <c r="D107" s="406" t="s">
        <v>407</v>
      </c>
      <c r="E107" s="405" t="s">
        <v>528</v>
      </c>
      <c r="F107" s="406" t="s">
        <v>529</v>
      </c>
      <c r="G107" s="405" t="s">
        <v>740</v>
      </c>
      <c r="H107" s="405" t="s">
        <v>741</v>
      </c>
      <c r="I107" s="407">
        <v>118.58</v>
      </c>
      <c r="J107" s="407">
        <v>10</v>
      </c>
      <c r="K107" s="408">
        <v>1185.8</v>
      </c>
    </row>
    <row r="108" spans="1:11" ht="14.4" customHeight="1" x14ac:dyDescent="0.3">
      <c r="A108" s="403" t="s">
        <v>398</v>
      </c>
      <c r="B108" s="404" t="s">
        <v>400</v>
      </c>
      <c r="C108" s="405" t="s">
        <v>406</v>
      </c>
      <c r="D108" s="406" t="s">
        <v>407</v>
      </c>
      <c r="E108" s="405" t="s">
        <v>528</v>
      </c>
      <c r="F108" s="406" t="s">
        <v>529</v>
      </c>
      <c r="G108" s="405" t="s">
        <v>742</v>
      </c>
      <c r="H108" s="405" t="s">
        <v>743</v>
      </c>
      <c r="I108" s="407">
        <v>228.69</v>
      </c>
      <c r="J108" s="407">
        <v>4</v>
      </c>
      <c r="K108" s="408">
        <v>914.76</v>
      </c>
    </row>
    <row r="109" spans="1:11" ht="14.4" customHeight="1" x14ac:dyDescent="0.3">
      <c r="A109" s="403" t="s">
        <v>398</v>
      </c>
      <c r="B109" s="404" t="s">
        <v>400</v>
      </c>
      <c r="C109" s="405" t="s">
        <v>406</v>
      </c>
      <c r="D109" s="406" t="s">
        <v>407</v>
      </c>
      <c r="E109" s="405" t="s">
        <v>528</v>
      </c>
      <c r="F109" s="406" t="s">
        <v>529</v>
      </c>
      <c r="G109" s="405" t="s">
        <v>744</v>
      </c>
      <c r="H109" s="405" t="s">
        <v>745</v>
      </c>
      <c r="I109" s="407">
        <v>889.35</v>
      </c>
      <c r="J109" s="407">
        <v>1</v>
      </c>
      <c r="K109" s="408">
        <v>889.35</v>
      </c>
    </row>
    <row r="110" spans="1:11" ht="14.4" customHeight="1" x14ac:dyDescent="0.3">
      <c r="A110" s="403" t="s">
        <v>398</v>
      </c>
      <c r="B110" s="404" t="s">
        <v>400</v>
      </c>
      <c r="C110" s="405" t="s">
        <v>406</v>
      </c>
      <c r="D110" s="406" t="s">
        <v>407</v>
      </c>
      <c r="E110" s="405" t="s">
        <v>528</v>
      </c>
      <c r="F110" s="406" t="s">
        <v>529</v>
      </c>
      <c r="G110" s="405" t="s">
        <v>746</v>
      </c>
      <c r="H110" s="405" t="s">
        <v>747</v>
      </c>
      <c r="I110" s="407">
        <v>50.4</v>
      </c>
      <c r="J110" s="407">
        <v>20</v>
      </c>
      <c r="K110" s="408">
        <v>1008</v>
      </c>
    </row>
    <row r="111" spans="1:11" ht="14.4" customHeight="1" x14ac:dyDescent="0.3">
      <c r="A111" s="403" t="s">
        <v>398</v>
      </c>
      <c r="B111" s="404" t="s">
        <v>400</v>
      </c>
      <c r="C111" s="405" t="s">
        <v>406</v>
      </c>
      <c r="D111" s="406" t="s">
        <v>407</v>
      </c>
      <c r="E111" s="405" t="s">
        <v>528</v>
      </c>
      <c r="F111" s="406" t="s">
        <v>529</v>
      </c>
      <c r="G111" s="405" t="s">
        <v>748</v>
      </c>
      <c r="H111" s="405" t="s">
        <v>749</v>
      </c>
      <c r="I111" s="407">
        <v>50.4</v>
      </c>
      <c r="J111" s="407">
        <v>30</v>
      </c>
      <c r="K111" s="408">
        <v>1512</v>
      </c>
    </row>
    <row r="112" spans="1:11" ht="14.4" customHeight="1" x14ac:dyDescent="0.3">
      <c r="A112" s="403" t="s">
        <v>398</v>
      </c>
      <c r="B112" s="404" t="s">
        <v>400</v>
      </c>
      <c r="C112" s="405" t="s">
        <v>406</v>
      </c>
      <c r="D112" s="406" t="s">
        <v>407</v>
      </c>
      <c r="E112" s="405" t="s">
        <v>528</v>
      </c>
      <c r="F112" s="406" t="s">
        <v>529</v>
      </c>
      <c r="G112" s="405" t="s">
        <v>750</v>
      </c>
      <c r="H112" s="405" t="s">
        <v>751</v>
      </c>
      <c r="I112" s="407">
        <v>50.4</v>
      </c>
      <c r="J112" s="407">
        <v>20</v>
      </c>
      <c r="K112" s="408">
        <v>1008</v>
      </c>
    </row>
    <row r="113" spans="1:11" ht="14.4" customHeight="1" x14ac:dyDescent="0.3">
      <c r="A113" s="403" t="s">
        <v>398</v>
      </c>
      <c r="B113" s="404" t="s">
        <v>400</v>
      </c>
      <c r="C113" s="405" t="s">
        <v>406</v>
      </c>
      <c r="D113" s="406" t="s">
        <v>407</v>
      </c>
      <c r="E113" s="405" t="s">
        <v>528</v>
      </c>
      <c r="F113" s="406" t="s">
        <v>529</v>
      </c>
      <c r="G113" s="405" t="s">
        <v>752</v>
      </c>
      <c r="H113" s="405" t="s">
        <v>753</v>
      </c>
      <c r="I113" s="407">
        <v>517.28</v>
      </c>
      <c r="J113" s="407">
        <v>1</v>
      </c>
      <c r="K113" s="408">
        <v>517.28</v>
      </c>
    </row>
    <row r="114" spans="1:11" ht="14.4" customHeight="1" x14ac:dyDescent="0.3">
      <c r="A114" s="403" t="s">
        <v>398</v>
      </c>
      <c r="B114" s="404" t="s">
        <v>400</v>
      </c>
      <c r="C114" s="405" t="s">
        <v>406</v>
      </c>
      <c r="D114" s="406" t="s">
        <v>407</v>
      </c>
      <c r="E114" s="405" t="s">
        <v>528</v>
      </c>
      <c r="F114" s="406" t="s">
        <v>529</v>
      </c>
      <c r="G114" s="405" t="s">
        <v>754</v>
      </c>
      <c r="H114" s="405" t="s">
        <v>755</v>
      </c>
      <c r="I114" s="407">
        <v>1457.28</v>
      </c>
      <c r="J114" s="407">
        <v>1</v>
      </c>
      <c r="K114" s="408">
        <v>1457.28</v>
      </c>
    </row>
    <row r="115" spans="1:11" ht="14.4" customHeight="1" x14ac:dyDescent="0.3">
      <c r="A115" s="403" t="s">
        <v>398</v>
      </c>
      <c r="B115" s="404" t="s">
        <v>400</v>
      </c>
      <c r="C115" s="405" t="s">
        <v>406</v>
      </c>
      <c r="D115" s="406" t="s">
        <v>407</v>
      </c>
      <c r="E115" s="405" t="s">
        <v>528</v>
      </c>
      <c r="F115" s="406" t="s">
        <v>529</v>
      </c>
      <c r="G115" s="405" t="s">
        <v>756</v>
      </c>
      <c r="H115" s="405" t="s">
        <v>757</v>
      </c>
      <c r="I115" s="407">
        <v>18.600000000000001</v>
      </c>
      <c r="J115" s="407">
        <v>10</v>
      </c>
      <c r="K115" s="408">
        <v>186</v>
      </c>
    </row>
    <row r="116" spans="1:11" ht="14.4" customHeight="1" x14ac:dyDescent="0.3">
      <c r="A116" s="403" t="s">
        <v>398</v>
      </c>
      <c r="B116" s="404" t="s">
        <v>400</v>
      </c>
      <c r="C116" s="405" t="s">
        <v>406</v>
      </c>
      <c r="D116" s="406" t="s">
        <v>407</v>
      </c>
      <c r="E116" s="405" t="s">
        <v>528</v>
      </c>
      <c r="F116" s="406" t="s">
        <v>529</v>
      </c>
      <c r="G116" s="405" t="s">
        <v>758</v>
      </c>
      <c r="H116" s="405" t="s">
        <v>759</v>
      </c>
      <c r="I116" s="407">
        <v>18.600000000000001</v>
      </c>
      <c r="J116" s="407">
        <v>20</v>
      </c>
      <c r="K116" s="408">
        <v>372</v>
      </c>
    </row>
    <row r="117" spans="1:11" ht="14.4" customHeight="1" x14ac:dyDescent="0.3">
      <c r="A117" s="403" t="s">
        <v>398</v>
      </c>
      <c r="B117" s="404" t="s">
        <v>400</v>
      </c>
      <c r="C117" s="405" t="s">
        <v>406</v>
      </c>
      <c r="D117" s="406" t="s">
        <v>407</v>
      </c>
      <c r="E117" s="405" t="s">
        <v>528</v>
      </c>
      <c r="F117" s="406" t="s">
        <v>529</v>
      </c>
      <c r="G117" s="405" t="s">
        <v>760</v>
      </c>
      <c r="H117" s="405" t="s">
        <v>761</v>
      </c>
      <c r="I117" s="407">
        <v>18.600000000000001</v>
      </c>
      <c r="J117" s="407">
        <v>10</v>
      </c>
      <c r="K117" s="408">
        <v>186</v>
      </c>
    </row>
    <row r="118" spans="1:11" ht="14.4" customHeight="1" x14ac:dyDescent="0.3">
      <c r="A118" s="403" t="s">
        <v>398</v>
      </c>
      <c r="B118" s="404" t="s">
        <v>400</v>
      </c>
      <c r="C118" s="405" t="s">
        <v>406</v>
      </c>
      <c r="D118" s="406" t="s">
        <v>407</v>
      </c>
      <c r="E118" s="405" t="s">
        <v>528</v>
      </c>
      <c r="F118" s="406" t="s">
        <v>529</v>
      </c>
      <c r="G118" s="405" t="s">
        <v>762</v>
      </c>
      <c r="H118" s="405" t="s">
        <v>763</v>
      </c>
      <c r="I118" s="407">
        <v>18.600000000000001</v>
      </c>
      <c r="J118" s="407">
        <v>10</v>
      </c>
      <c r="K118" s="408">
        <v>186</v>
      </c>
    </row>
    <row r="119" spans="1:11" ht="14.4" customHeight="1" x14ac:dyDescent="0.3">
      <c r="A119" s="403" t="s">
        <v>398</v>
      </c>
      <c r="B119" s="404" t="s">
        <v>400</v>
      </c>
      <c r="C119" s="405" t="s">
        <v>406</v>
      </c>
      <c r="D119" s="406" t="s">
        <v>407</v>
      </c>
      <c r="E119" s="405" t="s">
        <v>528</v>
      </c>
      <c r="F119" s="406" t="s">
        <v>529</v>
      </c>
      <c r="G119" s="405" t="s">
        <v>764</v>
      </c>
      <c r="H119" s="405" t="s">
        <v>765</v>
      </c>
      <c r="I119" s="407">
        <v>18.600000000000001</v>
      </c>
      <c r="J119" s="407">
        <v>20</v>
      </c>
      <c r="K119" s="408">
        <v>372</v>
      </c>
    </row>
    <row r="120" spans="1:11" ht="14.4" customHeight="1" x14ac:dyDescent="0.3">
      <c r="A120" s="403" t="s">
        <v>398</v>
      </c>
      <c r="B120" s="404" t="s">
        <v>400</v>
      </c>
      <c r="C120" s="405" t="s">
        <v>406</v>
      </c>
      <c r="D120" s="406" t="s">
        <v>407</v>
      </c>
      <c r="E120" s="405" t="s">
        <v>528</v>
      </c>
      <c r="F120" s="406" t="s">
        <v>529</v>
      </c>
      <c r="G120" s="405" t="s">
        <v>766</v>
      </c>
      <c r="H120" s="405" t="s">
        <v>767</v>
      </c>
      <c r="I120" s="407">
        <v>18.600000000000001</v>
      </c>
      <c r="J120" s="407">
        <v>10</v>
      </c>
      <c r="K120" s="408">
        <v>186</v>
      </c>
    </row>
    <row r="121" spans="1:11" ht="14.4" customHeight="1" x14ac:dyDescent="0.3">
      <c r="A121" s="403" t="s">
        <v>398</v>
      </c>
      <c r="B121" s="404" t="s">
        <v>400</v>
      </c>
      <c r="C121" s="405" t="s">
        <v>406</v>
      </c>
      <c r="D121" s="406" t="s">
        <v>407</v>
      </c>
      <c r="E121" s="405" t="s">
        <v>528</v>
      </c>
      <c r="F121" s="406" t="s">
        <v>529</v>
      </c>
      <c r="G121" s="405" t="s">
        <v>768</v>
      </c>
      <c r="H121" s="405" t="s">
        <v>769</v>
      </c>
      <c r="I121" s="407">
        <v>565.91999999999996</v>
      </c>
      <c r="J121" s="407">
        <v>3</v>
      </c>
      <c r="K121" s="408">
        <v>1697.75</v>
      </c>
    </row>
    <row r="122" spans="1:11" ht="14.4" customHeight="1" x14ac:dyDescent="0.3">
      <c r="A122" s="403" t="s">
        <v>398</v>
      </c>
      <c r="B122" s="404" t="s">
        <v>400</v>
      </c>
      <c r="C122" s="405" t="s">
        <v>406</v>
      </c>
      <c r="D122" s="406" t="s">
        <v>407</v>
      </c>
      <c r="E122" s="405" t="s">
        <v>528</v>
      </c>
      <c r="F122" s="406" t="s">
        <v>529</v>
      </c>
      <c r="G122" s="405" t="s">
        <v>770</v>
      </c>
      <c r="H122" s="405" t="s">
        <v>771</v>
      </c>
      <c r="I122" s="407">
        <v>738.1</v>
      </c>
      <c r="J122" s="407">
        <v>1</v>
      </c>
      <c r="K122" s="408">
        <v>738.1</v>
      </c>
    </row>
    <row r="123" spans="1:11" ht="14.4" customHeight="1" x14ac:dyDescent="0.3">
      <c r="A123" s="403" t="s">
        <v>398</v>
      </c>
      <c r="B123" s="404" t="s">
        <v>400</v>
      </c>
      <c r="C123" s="405" t="s">
        <v>406</v>
      </c>
      <c r="D123" s="406" t="s">
        <v>407</v>
      </c>
      <c r="E123" s="405" t="s">
        <v>528</v>
      </c>
      <c r="F123" s="406" t="s">
        <v>529</v>
      </c>
      <c r="G123" s="405" t="s">
        <v>772</v>
      </c>
      <c r="H123" s="405" t="s">
        <v>773</v>
      </c>
      <c r="I123" s="407">
        <v>50.4</v>
      </c>
      <c r="J123" s="407">
        <v>20</v>
      </c>
      <c r="K123" s="408">
        <v>1008</v>
      </c>
    </row>
    <row r="124" spans="1:11" ht="14.4" customHeight="1" x14ac:dyDescent="0.3">
      <c r="A124" s="403" t="s">
        <v>398</v>
      </c>
      <c r="B124" s="404" t="s">
        <v>400</v>
      </c>
      <c r="C124" s="405" t="s">
        <v>406</v>
      </c>
      <c r="D124" s="406" t="s">
        <v>407</v>
      </c>
      <c r="E124" s="405" t="s">
        <v>528</v>
      </c>
      <c r="F124" s="406" t="s">
        <v>529</v>
      </c>
      <c r="G124" s="405" t="s">
        <v>774</v>
      </c>
      <c r="H124" s="405" t="s">
        <v>775</v>
      </c>
      <c r="I124" s="407">
        <v>50.4</v>
      </c>
      <c r="J124" s="407">
        <v>30</v>
      </c>
      <c r="K124" s="408">
        <v>1512</v>
      </c>
    </row>
    <row r="125" spans="1:11" ht="14.4" customHeight="1" x14ac:dyDescent="0.3">
      <c r="A125" s="403" t="s">
        <v>398</v>
      </c>
      <c r="B125" s="404" t="s">
        <v>400</v>
      </c>
      <c r="C125" s="405" t="s">
        <v>406</v>
      </c>
      <c r="D125" s="406" t="s">
        <v>407</v>
      </c>
      <c r="E125" s="405" t="s">
        <v>528</v>
      </c>
      <c r="F125" s="406" t="s">
        <v>529</v>
      </c>
      <c r="G125" s="405" t="s">
        <v>776</v>
      </c>
      <c r="H125" s="405" t="s">
        <v>777</v>
      </c>
      <c r="I125" s="407">
        <v>81</v>
      </c>
      <c r="J125" s="407">
        <v>10</v>
      </c>
      <c r="K125" s="408">
        <v>810</v>
      </c>
    </row>
    <row r="126" spans="1:11" ht="14.4" customHeight="1" x14ac:dyDescent="0.3">
      <c r="A126" s="403" t="s">
        <v>398</v>
      </c>
      <c r="B126" s="404" t="s">
        <v>400</v>
      </c>
      <c r="C126" s="405" t="s">
        <v>406</v>
      </c>
      <c r="D126" s="406" t="s">
        <v>407</v>
      </c>
      <c r="E126" s="405" t="s">
        <v>528</v>
      </c>
      <c r="F126" s="406" t="s">
        <v>529</v>
      </c>
      <c r="G126" s="405" t="s">
        <v>778</v>
      </c>
      <c r="H126" s="405" t="s">
        <v>779</v>
      </c>
      <c r="I126" s="407">
        <v>3498.01</v>
      </c>
      <c r="J126" s="407">
        <v>1</v>
      </c>
      <c r="K126" s="408">
        <v>3498.01</v>
      </c>
    </row>
    <row r="127" spans="1:11" ht="14.4" customHeight="1" x14ac:dyDescent="0.3">
      <c r="A127" s="403" t="s">
        <v>398</v>
      </c>
      <c r="B127" s="404" t="s">
        <v>400</v>
      </c>
      <c r="C127" s="405" t="s">
        <v>406</v>
      </c>
      <c r="D127" s="406" t="s">
        <v>407</v>
      </c>
      <c r="E127" s="405" t="s">
        <v>528</v>
      </c>
      <c r="F127" s="406" t="s">
        <v>529</v>
      </c>
      <c r="G127" s="405" t="s">
        <v>780</v>
      </c>
      <c r="H127" s="405" t="s">
        <v>781</v>
      </c>
      <c r="I127" s="407">
        <v>1281.45</v>
      </c>
      <c r="J127" s="407">
        <v>2</v>
      </c>
      <c r="K127" s="408">
        <v>2562.9</v>
      </c>
    </row>
    <row r="128" spans="1:11" ht="14.4" customHeight="1" x14ac:dyDescent="0.3">
      <c r="A128" s="403" t="s">
        <v>398</v>
      </c>
      <c r="B128" s="404" t="s">
        <v>400</v>
      </c>
      <c r="C128" s="405" t="s">
        <v>406</v>
      </c>
      <c r="D128" s="406" t="s">
        <v>407</v>
      </c>
      <c r="E128" s="405" t="s">
        <v>528</v>
      </c>
      <c r="F128" s="406" t="s">
        <v>529</v>
      </c>
      <c r="G128" s="405" t="s">
        <v>782</v>
      </c>
      <c r="H128" s="405" t="s">
        <v>783</v>
      </c>
      <c r="I128" s="407">
        <v>2577.3000000000002</v>
      </c>
      <c r="J128" s="407">
        <v>1</v>
      </c>
      <c r="K128" s="408">
        <v>2577.3000000000002</v>
      </c>
    </row>
    <row r="129" spans="1:11" ht="14.4" customHeight="1" x14ac:dyDescent="0.3">
      <c r="A129" s="403" t="s">
        <v>398</v>
      </c>
      <c r="B129" s="404" t="s">
        <v>400</v>
      </c>
      <c r="C129" s="405" t="s">
        <v>406</v>
      </c>
      <c r="D129" s="406" t="s">
        <v>407</v>
      </c>
      <c r="E129" s="405" t="s">
        <v>528</v>
      </c>
      <c r="F129" s="406" t="s">
        <v>529</v>
      </c>
      <c r="G129" s="405" t="s">
        <v>784</v>
      </c>
      <c r="H129" s="405" t="s">
        <v>785</v>
      </c>
      <c r="I129" s="407">
        <v>76.42</v>
      </c>
      <c r="J129" s="407">
        <v>50</v>
      </c>
      <c r="K129" s="408">
        <v>3820.8</v>
      </c>
    </row>
    <row r="130" spans="1:11" ht="14.4" customHeight="1" x14ac:dyDescent="0.3">
      <c r="A130" s="403" t="s">
        <v>398</v>
      </c>
      <c r="B130" s="404" t="s">
        <v>400</v>
      </c>
      <c r="C130" s="405" t="s">
        <v>406</v>
      </c>
      <c r="D130" s="406" t="s">
        <v>407</v>
      </c>
      <c r="E130" s="405" t="s">
        <v>528</v>
      </c>
      <c r="F130" s="406" t="s">
        <v>529</v>
      </c>
      <c r="G130" s="405" t="s">
        <v>786</v>
      </c>
      <c r="H130" s="405" t="s">
        <v>787</v>
      </c>
      <c r="I130" s="407">
        <v>696.96</v>
      </c>
      <c r="J130" s="407">
        <v>6</v>
      </c>
      <c r="K130" s="408">
        <v>4181.76</v>
      </c>
    </row>
    <row r="131" spans="1:11" ht="14.4" customHeight="1" x14ac:dyDescent="0.3">
      <c r="A131" s="403" t="s">
        <v>398</v>
      </c>
      <c r="B131" s="404" t="s">
        <v>400</v>
      </c>
      <c r="C131" s="405" t="s">
        <v>406</v>
      </c>
      <c r="D131" s="406" t="s">
        <v>407</v>
      </c>
      <c r="E131" s="405" t="s">
        <v>528</v>
      </c>
      <c r="F131" s="406" t="s">
        <v>529</v>
      </c>
      <c r="G131" s="405" t="s">
        <v>788</v>
      </c>
      <c r="H131" s="405" t="s">
        <v>789</v>
      </c>
      <c r="I131" s="407">
        <v>1010.23</v>
      </c>
      <c r="J131" s="407">
        <v>1</v>
      </c>
      <c r="K131" s="408">
        <v>1010.23</v>
      </c>
    </row>
    <row r="132" spans="1:11" ht="14.4" customHeight="1" x14ac:dyDescent="0.3">
      <c r="A132" s="403" t="s">
        <v>398</v>
      </c>
      <c r="B132" s="404" t="s">
        <v>400</v>
      </c>
      <c r="C132" s="405" t="s">
        <v>406</v>
      </c>
      <c r="D132" s="406" t="s">
        <v>407</v>
      </c>
      <c r="E132" s="405" t="s">
        <v>528</v>
      </c>
      <c r="F132" s="406" t="s">
        <v>529</v>
      </c>
      <c r="G132" s="405" t="s">
        <v>790</v>
      </c>
      <c r="H132" s="405" t="s">
        <v>791</v>
      </c>
      <c r="I132" s="407">
        <v>1688.59</v>
      </c>
      <c r="J132" s="407">
        <v>1</v>
      </c>
      <c r="K132" s="408">
        <v>1688.59</v>
      </c>
    </row>
    <row r="133" spans="1:11" ht="14.4" customHeight="1" x14ac:dyDescent="0.3">
      <c r="A133" s="403" t="s">
        <v>398</v>
      </c>
      <c r="B133" s="404" t="s">
        <v>400</v>
      </c>
      <c r="C133" s="405" t="s">
        <v>406</v>
      </c>
      <c r="D133" s="406" t="s">
        <v>407</v>
      </c>
      <c r="E133" s="405" t="s">
        <v>528</v>
      </c>
      <c r="F133" s="406" t="s">
        <v>529</v>
      </c>
      <c r="G133" s="405" t="s">
        <v>792</v>
      </c>
      <c r="H133" s="405" t="s">
        <v>793</v>
      </c>
      <c r="I133" s="407">
        <v>3.87</v>
      </c>
      <c r="J133" s="407">
        <v>360</v>
      </c>
      <c r="K133" s="408">
        <v>1392</v>
      </c>
    </row>
    <row r="134" spans="1:11" ht="14.4" customHeight="1" x14ac:dyDescent="0.3">
      <c r="A134" s="403" t="s">
        <v>398</v>
      </c>
      <c r="B134" s="404" t="s">
        <v>400</v>
      </c>
      <c r="C134" s="405" t="s">
        <v>406</v>
      </c>
      <c r="D134" s="406" t="s">
        <v>407</v>
      </c>
      <c r="E134" s="405" t="s">
        <v>528</v>
      </c>
      <c r="F134" s="406" t="s">
        <v>529</v>
      </c>
      <c r="G134" s="405" t="s">
        <v>794</v>
      </c>
      <c r="H134" s="405" t="s">
        <v>795</v>
      </c>
      <c r="I134" s="407">
        <v>56.87</v>
      </c>
      <c r="J134" s="407">
        <v>48</v>
      </c>
      <c r="K134" s="408">
        <v>2729.76</v>
      </c>
    </row>
    <row r="135" spans="1:11" ht="14.4" customHeight="1" x14ac:dyDescent="0.3">
      <c r="A135" s="403" t="s">
        <v>398</v>
      </c>
      <c r="B135" s="404" t="s">
        <v>400</v>
      </c>
      <c r="C135" s="405" t="s">
        <v>406</v>
      </c>
      <c r="D135" s="406" t="s">
        <v>407</v>
      </c>
      <c r="E135" s="405" t="s">
        <v>528</v>
      </c>
      <c r="F135" s="406" t="s">
        <v>529</v>
      </c>
      <c r="G135" s="405" t="s">
        <v>796</v>
      </c>
      <c r="H135" s="405" t="s">
        <v>797</v>
      </c>
      <c r="I135" s="407">
        <v>46.5</v>
      </c>
      <c r="J135" s="407">
        <v>40</v>
      </c>
      <c r="K135" s="408">
        <v>1860</v>
      </c>
    </row>
    <row r="136" spans="1:11" ht="14.4" customHeight="1" x14ac:dyDescent="0.3">
      <c r="A136" s="403" t="s">
        <v>398</v>
      </c>
      <c r="B136" s="404" t="s">
        <v>400</v>
      </c>
      <c r="C136" s="405" t="s">
        <v>406</v>
      </c>
      <c r="D136" s="406" t="s">
        <v>407</v>
      </c>
      <c r="E136" s="405" t="s">
        <v>528</v>
      </c>
      <c r="F136" s="406" t="s">
        <v>529</v>
      </c>
      <c r="G136" s="405" t="s">
        <v>798</v>
      </c>
      <c r="H136" s="405" t="s">
        <v>799</v>
      </c>
      <c r="I136" s="407">
        <v>192.6</v>
      </c>
      <c r="J136" s="407">
        <v>2</v>
      </c>
      <c r="K136" s="408">
        <v>385.2</v>
      </c>
    </row>
    <row r="137" spans="1:11" ht="14.4" customHeight="1" x14ac:dyDescent="0.3">
      <c r="A137" s="403" t="s">
        <v>398</v>
      </c>
      <c r="B137" s="404" t="s">
        <v>400</v>
      </c>
      <c r="C137" s="405" t="s">
        <v>406</v>
      </c>
      <c r="D137" s="406" t="s">
        <v>407</v>
      </c>
      <c r="E137" s="405" t="s">
        <v>528</v>
      </c>
      <c r="F137" s="406" t="s">
        <v>529</v>
      </c>
      <c r="G137" s="405" t="s">
        <v>800</v>
      </c>
      <c r="H137" s="405" t="s">
        <v>801</v>
      </c>
      <c r="I137" s="407">
        <v>192.6</v>
      </c>
      <c r="J137" s="407">
        <v>2</v>
      </c>
      <c r="K137" s="408">
        <v>385.2</v>
      </c>
    </row>
    <row r="138" spans="1:11" ht="14.4" customHeight="1" x14ac:dyDescent="0.3">
      <c r="A138" s="403" t="s">
        <v>398</v>
      </c>
      <c r="B138" s="404" t="s">
        <v>400</v>
      </c>
      <c r="C138" s="405" t="s">
        <v>406</v>
      </c>
      <c r="D138" s="406" t="s">
        <v>407</v>
      </c>
      <c r="E138" s="405" t="s">
        <v>528</v>
      </c>
      <c r="F138" s="406" t="s">
        <v>529</v>
      </c>
      <c r="G138" s="405" t="s">
        <v>802</v>
      </c>
      <c r="H138" s="405" t="s">
        <v>803</v>
      </c>
      <c r="I138" s="407">
        <v>192.6</v>
      </c>
      <c r="J138" s="407">
        <v>2</v>
      </c>
      <c r="K138" s="408">
        <v>385.2</v>
      </c>
    </row>
    <row r="139" spans="1:11" ht="14.4" customHeight="1" x14ac:dyDescent="0.3">
      <c r="A139" s="403" t="s">
        <v>398</v>
      </c>
      <c r="B139" s="404" t="s">
        <v>400</v>
      </c>
      <c r="C139" s="405" t="s">
        <v>406</v>
      </c>
      <c r="D139" s="406" t="s">
        <v>407</v>
      </c>
      <c r="E139" s="405" t="s">
        <v>528</v>
      </c>
      <c r="F139" s="406" t="s">
        <v>529</v>
      </c>
      <c r="G139" s="405" t="s">
        <v>804</v>
      </c>
      <c r="H139" s="405" t="s">
        <v>805</v>
      </c>
      <c r="I139" s="407">
        <v>192.6</v>
      </c>
      <c r="J139" s="407">
        <v>2</v>
      </c>
      <c r="K139" s="408">
        <v>385.2</v>
      </c>
    </row>
    <row r="140" spans="1:11" ht="14.4" customHeight="1" x14ac:dyDescent="0.3">
      <c r="A140" s="403" t="s">
        <v>398</v>
      </c>
      <c r="B140" s="404" t="s">
        <v>400</v>
      </c>
      <c r="C140" s="405" t="s">
        <v>406</v>
      </c>
      <c r="D140" s="406" t="s">
        <v>407</v>
      </c>
      <c r="E140" s="405" t="s">
        <v>528</v>
      </c>
      <c r="F140" s="406" t="s">
        <v>529</v>
      </c>
      <c r="G140" s="405" t="s">
        <v>806</v>
      </c>
      <c r="H140" s="405" t="s">
        <v>807</v>
      </c>
      <c r="I140" s="407">
        <v>192.6</v>
      </c>
      <c r="J140" s="407">
        <v>2</v>
      </c>
      <c r="K140" s="408">
        <v>385.2</v>
      </c>
    </row>
    <row r="141" spans="1:11" ht="14.4" customHeight="1" x14ac:dyDescent="0.3">
      <c r="A141" s="403" t="s">
        <v>398</v>
      </c>
      <c r="B141" s="404" t="s">
        <v>400</v>
      </c>
      <c r="C141" s="405" t="s">
        <v>406</v>
      </c>
      <c r="D141" s="406" t="s">
        <v>407</v>
      </c>
      <c r="E141" s="405" t="s">
        <v>528</v>
      </c>
      <c r="F141" s="406" t="s">
        <v>529</v>
      </c>
      <c r="G141" s="405" t="s">
        <v>808</v>
      </c>
      <c r="H141" s="405" t="s">
        <v>809</v>
      </c>
      <c r="I141" s="407">
        <v>192.6</v>
      </c>
      <c r="J141" s="407">
        <v>2</v>
      </c>
      <c r="K141" s="408">
        <v>385.2</v>
      </c>
    </row>
    <row r="142" spans="1:11" ht="14.4" customHeight="1" x14ac:dyDescent="0.3">
      <c r="A142" s="403" t="s">
        <v>398</v>
      </c>
      <c r="B142" s="404" t="s">
        <v>400</v>
      </c>
      <c r="C142" s="405" t="s">
        <v>406</v>
      </c>
      <c r="D142" s="406" t="s">
        <v>407</v>
      </c>
      <c r="E142" s="405" t="s">
        <v>528</v>
      </c>
      <c r="F142" s="406" t="s">
        <v>529</v>
      </c>
      <c r="G142" s="405" t="s">
        <v>810</v>
      </c>
      <c r="H142" s="405" t="s">
        <v>811</v>
      </c>
      <c r="I142" s="407">
        <v>5.0999999999999996</v>
      </c>
      <c r="J142" s="407">
        <v>30</v>
      </c>
      <c r="K142" s="408">
        <v>152.96</v>
      </c>
    </row>
    <row r="143" spans="1:11" ht="14.4" customHeight="1" x14ac:dyDescent="0.3">
      <c r="A143" s="403" t="s">
        <v>398</v>
      </c>
      <c r="B143" s="404" t="s">
        <v>400</v>
      </c>
      <c r="C143" s="405" t="s">
        <v>406</v>
      </c>
      <c r="D143" s="406" t="s">
        <v>407</v>
      </c>
      <c r="E143" s="405" t="s">
        <v>528</v>
      </c>
      <c r="F143" s="406" t="s">
        <v>529</v>
      </c>
      <c r="G143" s="405" t="s">
        <v>812</v>
      </c>
      <c r="H143" s="405" t="s">
        <v>813</v>
      </c>
      <c r="I143" s="407">
        <v>14.32</v>
      </c>
      <c r="J143" s="407">
        <v>24</v>
      </c>
      <c r="K143" s="408">
        <v>343.6</v>
      </c>
    </row>
    <row r="144" spans="1:11" ht="14.4" customHeight="1" x14ac:dyDescent="0.3">
      <c r="A144" s="403" t="s">
        <v>398</v>
      </c>
      <c r="B144" s="404" t="s">
        <v>400</v>
      </c>
      <c r="C144" s="405" t="s">
        <v>406</v>
      </c>
      <c r="D144" s="406" t="s">
        <v>407</v>
      </c>
      <c r="E144" s="405" t="s">
        <v>528</v>
      </c>
      <c r="F144" s="406" t="s">
        <v>529</v>
      </c>
      <c r="G144" s="405" t="s">
        <v>814</v>
      </c>
      <c r="H144" s="405" t="s">
        <v>815</v>
      </c>
      <c r="I144" s="407">
        <v>17.14</v>
      </c>
      <c r="J144" s="407">
        <v>24</v>
      </c>
      <c r="K144" s="408">
        <v>411.35</v>
      </c>
    </row>
    <row r="145" spans="1:11" ht="14.4" customHeight="1" x14ac:dyDescent="0.3">
      <c r="A145" s="403" t="s">
        <v>398</v>
      </c>
      <c r="B145" s="404" t="s">
        <v>400</v>
      </c>
      <c r="C145" s="405" t="s">
        <v>406</v>
      </c>
      <c r="D145" s="406" t="s">
        <v>407</v>
      </c>
      <c r="E145" s="405" t="s">
        <v>528</v>
      </c>
      <c r="F145" s="406" t="s">
        <v>529</v>
      </c>
      <c r="G145" s="405" t="s">
        <v>816</v>
      </c>
      <c r="H145" s="405" t="s">
        <v>817</v>
      </c>
      <c r="I145" s="407">
        <v>875.23333333333323</v>
      </c>
      <c r="J145" s="407">
        <v>8</v>
      </c>
      <c r="K145" s="408">
        <v>4501.2</v>
      </c>
    </row>
    <row r="146" spans="1:11" ht="14.4" customHeight="1" x14ac:dyDescent="0.3">
      <c r="A146" s="403" t="s">
        <v>398</v>
      </c>
      <c r="B146" s="404" t="s">
        <v>400</v>
      </c>
      <c r="C146" s="405" t="s">
        <v>406</v>
      </c>
      <c r="D146" s="406" t="s">
        <v>407</v>
      </c>
      <c r="E146" s="405" t="s">
        <v>528</v>
      </c>
      <c r="F146" s="406" t="s">
        <v>529</v>
      </c>
      <c r="G146" s="405" t="s">
        <v>818</v>
      </c>
      <c r="H146" s="405" t="s">
        <v>819</v>
      </c>
      <c r="I146" s="407">
        <v>894.19</v>
      </c>
      <c r="J146" s="407">
        <v>1</v>
      </c>
      <c r="K146" s="408">
        <v>894.19</v>
      </c>
    </row>
    <row r="147" spans="1:11" ht="14.4" customHeight="1" x14ac:dyDescent="0.3">
      <c r="A147" s="403" t="s">
        <v>398</v>
      </c>
      <c r="B147" s="404" t="s">
        <v>400</v>
      </c>
      <c r="C147" s="405" t="s">
        <v>406</v>
      </c>
      <c r="D147" s="406" t="s">
        <v>407</v>
      </c>
      <c r="E147" s="405" t="s">
        <v>528</v>
      </c>
      <c r="F147" s="406" t="s">
        <v>529</v>
      </c>
      <c r="G147" s="405" t="s">
        <v>820</v>
      </c>
      <c r="H147" s="405" t="s">
        <v>821</v>
      </c>
      <c r="I147" s="407">
        <v>894.19</v>
      </c>
      <c r="J147" s="407">
        <v>1</v>
      </c>
      <c r="K147" s="408">
        <v>894.19</v>
      </c>
    </row>
    <row r="148" spans="1:11" ht="14.4" customHeight="1" x14ac:dyDescent="0.3">
      <c r="A148" s="403" t="s">
        <v>398</v>
      </c>
      <c r="B148" s="404" t="s">
        <v>400</v>
      </c>
      <c r="C148" s="405" t="s">
        <v>406</v>
      </c>
      <c r="D148" s="406" t="s">
        <v>407</v>
      </c>
      <c r="E148" s="405" t="s">
        <v>528</v>
      </c>
      <c r="F148" s="406" t="s">
        <v>529</v>
      </c>
      <c r="G148" s="405" t="s">
        <v>822</v>
      </c>
      <c r="H148" s="405" t="s">
        <v>823</v>
      </c>
      <c r="I148" s="407">
        <v>56.87</v>
      </c>
      <c r="J148" s="407">
        <v>60</v>
      </c>
      <c r="K148" s="408">
        <v>3412.2</v>
      </c>
    </row>
    <row r="149" spans="1:11" ht="14.4" customHeight="1" x14ac:dyDescent="0.3">
      <c r="A149" s="403" t="s">
        <v>398</v>
      </c>
      <c r="B149" s="404" t="s">
        <v>400</v>
      </c>
      <c r="C149" s="405" t="s">
        <v>406</v>
      </c>
      <c r="D149" s="406" t="s">
        <v>407</v>
      </c>
      <c r="E149" s="405" t="s">
        <v>528</v>
      </c>
      <c r="F149" s="406" t="s">
        <v>529</v>
      </c>
      <c r="G149" s="405" t="s">
        <v>824</v>
      </c>
      <c r="H149" s="405" t="s">
        <v>825</v>
      </c>
      <c r="I149" s="407">
        <v>1724.25</v>
      </c>
      <c r="J149" s="407">
        <v>1</v>
      </c>
      <c r="K149" s="408">
        <v>1724.25</v>
      </c>
    </row>
    <row r="150" spans="1:11" ht="14.4" customHeight="1" x14ac:dyDescent="0.3">
      <c r="A150" s="403" t="s">
        <v>398</v>
      </c>
      <c r="B150" s="404" t="s">
        <v>400</v>
      </c>
      <c r="C150" s="405" t="s">
        <v>406</v>
      </c>
      <c r="D150" s="406" t="s">
        <v>407</v>
      </c>
      <c r="E150" s="405" t="s">
        <v>528</v>
      </c>
      <c r="F150" s="406" t="s">
        <v>529</v>
      </c>
      <c r="G150" s="405" t="s">
        <v>826</v>
      </c>
      <c r="H150" s="405" t="s">
        <v>827</v>
      </c>
      <c r="I150" s="407">
        <v>114.16333333333334</v>
      </c>
      <c r="J150" s="407">
        <v>11</v>
      </c>
      <c r="K150" s="408">
        <v>1256.2</v>
      </c>
    </row>
    <row r="151" spans="1:11" ht="14.4" customHeight="1" x14ac:dyDescent="0.3">
      <c r="A151" s="403" t="s">
        <v>398</v>
      </c>
      <c r="B151" s="404" t="s">
        <v>400</v>
      </c>
      <c r="C151" s="405" t="s">
        <v>406</v>
      </c>
      <c r="D151" s="406" t="s">
        <v>407</v>
      </c>
      <c r="E151" s="405" t="s">
        <v>528</v>
      </c>
      <c r="F151" s="406" t="s">
        <v>529</v>
      </c>
      <c r="G151" s="405" t="s">
        <v>828</v>
      </c>
      <c r="H151" s="405" t="s">
        <v>829</v>
      </c>
      <c r="I151" s="407">
        <v>1273</v>
      </c>
      <c r="J151" s="407">
        <v>1</v>
      </c>
      <c r="K151" s="408">
        <v>1273</v>
      </c>
    </row>
    <row r="152" spans="1:11" ht="14.4" customHeight="1" x14ac:dyDescent="0.3">
      <c r="A152" s="403" t="s">
        <v>398</v>
      </c>
      <c r="B152" s="404" t="s">
        <v>400</v>
      </c>
      <c r="C152" s="405" t="s">
        <v>406</v>
      </c>
      <c r="D152" s="406" t="s">
        <v>407</v>
      </c>
      <c r="E152" s="405" t="s">
        <v>528</v>
      </c>
      <c r="F152" s="406" t="s">
        <v>529</v>
      </c>
      <c r="G152" s="405" t="s">
        <v>830</v>
      </c>
      <c r="H152" s="405" t="s">
        <v>831</v>
      </c>
      <c r="I152" s="407">
        <v>6785</v>
      </c>
      <c r="J152" s="407">
        <v>1</v>
      </c>
      <c r="K152" s="408">
        <v>6785</v>
      </c>
    </row>
    <row r="153" spans="1:11" ht="14.4" customHeight="1" x14ac:dyDescent="0.3">
      <c r="A153" s="403" t="s">
        <v>398</v>
      </c>
      <c r="B153" s="404" t="s">
        <v>400</v>
      </c>
      <c r="C153" s="405" t="s">
        <v>406</v>
      </c>
      <c r="D153" s="406" t="s">
        <v>407</v>
      </c>
      <c r="E153" s="405" t="s">
        <v>528</v>
      </c>
      <c r="F153" s="406" t="s">
        <v>529</v>
      </c>
      <c r="G153" s="405" t="s">
        <v>832</v>
      </c>
      <c r="H153" s="405" t="s">
        <v>833</v>
      </c>
      <c r="I153" s="407">
        <v>4207.8500000000004</v>
      </c>
      <c r="J153" s="407">
        <v>1</v>
      </c>
      <c r="K153" s="408">
        <v>4207.8500000000004</v>
      </c>
    </row>
    <row r="154" spans="1:11" ht="14.4" customHeight="1" x14ac:dyDescent="0.3">
      <c r="A154" s="403" t="s">
        <v>398</v>
      </c>
      <c r="B154" s="404" t="s">
        <v>400</v>
      </c>
      <c r="C154" s="405" t="s">
        <v>406</v>
      </c>
      <c r="D154" s="406" t="s">
        <v>407</v>
      </c>
      <c r="E154" s="405" t="s">
        <v>528</v>
      </c>
      <c r="F154" s="406" t="s">
        <v>529</v>
      </c>
      <c r="G154" s="405" t="s">
        <v>834</v>
      </c>
      <c r="H154" s="405" t="s">
        <v>835</v>
      </c>
      <c r="I154" s="407">
        <v>448.31</v>
      </c>
      <c r="J154" s="407">
        <v>2</v>
      </c>
      <c r="K154" s="408">
        <v>896.61</v>
      </c>
    </row>
    <row r="155" spans="1:11" ht="14.4" customHeight="1" x14ac:dyDescent="0.3">
      <c r="A155" s="403" t="s">
        <v>398</v>
      </c>
      <c r="B155" s="404" t="s">
        <v>400</v>
      </c>
      <c r="C155" s="405" t="s">
        <v>406</v>
      </c>
      <c r="D155" s="406" t="s">
        <v>407</v>
      </c>
      <c r="E155" s="405" t="s">
        <v>528</v>
      </c>
      <c r="F155" s="406" t="s">
        <v>529</v>
      </c>
      <c r="G155" s="405" t="s">
        <v>836</v>
      </c>
      <c r="H155" s="405" t="s">
        <v>837</v>
      </c>
      <c r="I155" s="407">
        <v>81</v>
      </c>
      <c r="J155" s="407">
        <v>20</v>
      </c>
      <c r="K155" s="408">
        <v>1620</v>
      </c>
    </row>
    <row r="156" spans="1:11" ht="14.4" customHeight="1" x14ac:dyDescent="0.3">
      <c r="A156" s="403" t="s">
        <v>398</v>
      </c>
      <c r="B156" s="404" t="s">
        <v>400</v>
      </c>
      <c r="C156" s="405" t="s">
        <v>406</v>
      </c>
      <c r="D156" s="406" t="s">
        <v>407</v>
      </c>
      <c r="E156" s="405" t="s">
        <v>528</v>
      </c>
      <c r="F156" s="406" t="s">
        <v>529</v>
      </c>
      <c r="G156" s="405" t="s">
        <v>838</v>
      </c>
      <c r="H156" s="405" t="s">
        <v>839</v>
      </c>
      <c r="I156" s="407">
        <v>81</v>
      </c>
      <c r="J156" s="407">
        <v>10</v>
      </c>
      <c r="K156" s="408">
        <v>810</v>
      </c>
    </row>
    <row r="157" spans="1:11" ht="14.4" customHeight="1" x14ac:dyDescent="0.3">
      <c r="A157" s="403" t="s">
        <v>398</v>
      </c>
      <c r="B157" s="404" t="s">
        <v>400</v>
      </c>
      <c r="C157" s="405" t="s">
        <v>406</v>
      </c>
      <c r="D157" s="406" t="s">
        <v>407</v>
      </c>
      <c r="E157" s="405" t="s">
        <v>528</v>
      </c>
      <c r="F157" s="406" t="s">
        <v>529</v>
      </c>
      <c r="G157" s="405" t="s">
        <v>840</v>
      </c>
      <c r="H157" s="405" t="s">
        <v>841</v>
      </c>
      <c r="I157" s="407">
        <v>59.29</v>
      </c>
      <c r="J157" s="407">
        <v>30</v>
      </c>
      <c r="K157" s="408">
        <v>1778.7</v>
      </c>
    </row>
    <row r="158" spans="1:11" ht="14.4" customHeight="1" x14ac:dyDescent="0.3">
      <c r="A158" s="403" t="s">
        <v>398</v>
      </c>
      <c r="B158" s="404" t="s">
        <v>400</v>
      </c>
      <c r="C158" s="405" t="s">
        <v>406</v>
      </c>
      <c r="D158" s="406" t="s">
        <v>407</v>
      </c>
      <c r="E158" s="405" t="s">
        <v>528</v>
      </c>
      <c r="F158" s="406" t="s">
        <v>529</v>
      </c>
      <c r="G158" s="405" t="s">
        <v>842</v>
      </c>
      <c r="H158" s="405" t="s">
        <v>843</v>
      </c>
      <c r="I158" s="407">
        <v>2390.3999999999996</v>
      </c>
      <c r="J158" s="407">
        <v>3</v>
      </c>
      <c r="K158" s="408">
        <v>7169.28</v>
      </c>
    </row>
    <row r="159" spans="1:11" ht="14.4" customHeight="1" x14ac:dyDescent="0.3">
      <c r="A159" s="403" t="s">
        <v>398</v>
      </c>
      <c r="B159" s="404" t="s">
        <v>400</v>
      </c>
      <c r="C159" s="405" t="s">
        <v>406</v>
      </c>
      <c r="D159" s="406" t="s">
        <v>407</v>
      </c>
      <c r="E159" s="405" t="s">
        <v>528</v>
      </c>
      <c r="F159" s="406" t="s">
        <v>529</v>
      </c>
      <c r="G159" s="405" t="s">
        <v>844</v>
      </c>
      <c r="H159" s="405" t="s">
        <v>845</v>
      </c>
      <c r="I159" s="407">
        <v>204.9</v>
      </c>
      <c r="J159" s="407">
        <v>6</v>
      </c>
      <c r="K159" s="408">
        <v>1309.2</v>
      </c>
    </row>
    <row r="160" spans="1:11" ht="14.4" customHeight="1" x14ac:dyDescent="0.3">
      <c r="A160" s="403" t="s">
        <v>398</v>
      </c>
      <c r="B160" s="404" t="s">
        <v>400</v>
      </c>
      <c r="C160" s="405" t="s">
        <v>406</v>
      </c>
      <c r="D160" s="406" t="s">
        <v>407</v>
      </c>
      <c r="E160" s="405" t="s">
        <v>528</v>
      </c>
      <c r="F160" s="406" t="s">
        <v>529</v>
      </c>
      <c r="G160" s="405" t="s">
        <v>846</v>
      </c>
      <c r="H160" s="405" t="s">
        <v>847</v>
      </c>
      <c r="I160" s="407">
        <v>170</v>
      </c>
      <c r="J160" s="407">
        <v>1</v>
      </c>
      <c r="K160" s="408">
        <v>170</v>
      </c>
    </row>
    <row r="161" spans="1:11" ht="14.4" customHeight="1" x14ac:dyDescent="0.3">
      <c r="A161" s="403" t="s">
        <v>398</v>
      </c>
      <c r="B161" s="404" t="s">
        <v>400</v>
      </c>
      <c r="C161" s="405" t="s">
        <v>406</v>
      </c>
      <c r="D161" s="406" t="s">
        <v>407</v>
      </c>
      <c r="E161" s="405" t="s">
        <v>528</v>
      </c>
      <c r="F161" s="406" t="s">
        <v>529</v>
      </c>
      <c r="G161" s="405" t="s">
        <v>848</v>
      </c>
      <c r="H161" s="405" t="s">
        <v>849</v>
      </c>
      <c r="I161" s="407">
        <v>188</v>
      </c>
      <c r="J161" s="407">
        <v>64</v>
      </c>
      <c r="K161" s="408">
        <v>13148</v>
      </c>
    </row>
    <row r="162" spans="1:11" ht="14.4" customHeight="1" x14ac:dyDescent="0.3">
      <c r="A162" s="403" t="s">
        <v>398</v>
      </c>
      <c r="B162" s="404" t="s">
        <v>400</v>
      </c>
      <c r="C162" s="405" t="s">
        <v>406</v>
      </c>
      <c r="D162" s="406" t="s">
        <v>407</v>
      </c>
      <c r="E162" s="405" t="s">
        <v>528</v>
      </c>
      <c r="F162" s="406" t="s">
        <v>529</v>
      </c>
      <c r="G162" s="405" t="s">
        <v>850</v>
      </c>
      <c r="H162" s="405" t="s">
        <v>851</v>
      </c>
      <c r="I162" s="407">
        <v>798.6</v>
      </c>
      <c r="J162" s="407">
        <v>1</v>
      </c>
      <c r="K162" s="408">
        <v>798.6</v>
      </c>
    </row>
    <row r="163" spans="1:11" ht="14.4" customHeight="1" x14ac:dyDescent="0.3">
      <c r="A163" s="403" t="s">
        <v>398</v>
      </c>
      <c r="B163" s="404" t="s">
        <v>400</v>
      </c>
      <c r="C163" s="405" t="s">
        <v>406</v>
      </c>
      <c r="D163" s="406" t="s">
        <v>407</v>
      </c>
      <c r="E163" s="405" t="s">
        <v>528</v>
      </c>
      <c r="F163" s="406" t="s">
        <v>529</v>
      </c>
      <c r="G163" s="405" t="s">
        <v>852</v>
      </c>
      <c r="H163" s="405" t="s">
        <v>853</v>
      </c>
      <c r="I163" s="407">
        <v>71.39</v>
      </c>
      <c r="J163" s="407">
        <v>60</v>
      </c>
      <c r="K163" s="408">
        <v>4283.3999999999996</v>
      </c>
    </row>
    <row r="164" spans="1:11" ht="14.4" customHeight="1" x14ac:dyDescent="0.3">
      <c r="A164" s="403" t="s">
        <v>398</v>
      </c>
      <c r="B164" s="404" t="s">
        <v>400</v>
      </c>
      <c r="C164" s="405" t="s">
        <v>406</v>
      </c>
      <c r="D164" s="406" t="s">
        <v>407</v>
      </c>
      <c r="E164" s="405" t="s">
        <v>528</v>
      </c>
      <c r="F164" s="406" t="s">
        <v>529</v>
      </c>
      <c r="G164" s="405" t="s">
        <v>854</v>
      </c>
      <c r="H164" s="405" t="s">
        <v>855</v>
      </c>
      <c r="I164" s="407">
        <v>56.87</v>
      </c>
      <c r="J164" s="407">
        <v>30</v>
      </c>
      <c r="K164" s="408">
        <v>1706.1</v>
      </c>
    </row>
    <row r="165" spans="1:11" ht="14.4" customHeight="1" x14ac:dyDescent="0.3">
      <c r="A165" s="403" t="s">
        <v>398</v>
      </c>
      <c r="B165" s="404" t="s">
        <v>400</v>
      </c>
      <c r="C165" s="405" t="s">
        <v>406</v>
      </c>
      <c r="D165" s="406" t="s">
        <v>407</v>
      </c>
      <c r="E165" s="405" t="s">
        <v>528</v>
      </c>
      <c r="F165" s="406" t="s">
        <v>529</v>
      </c>
      <c r="G165" s="405" t="s">
        <v>856</v>
      </c>
      <c r="H165" s="405" t="s">
        <v>857</v>
      </c>
      <c r="I165" s="407">
        <v>204.9</v>
      </c>
      <c r="J165" s="407">
        <v>4</v>
      </c>
      <c r="K165" s="408">
        <v>819.6</v>
      </c>
    </row>
    <row r="166" spans="1:11" ht="14.4" customHeight="1" x14ac:dyDescent="0.3">
      <c r="A166" s="403" t="s">
        <v>398</v>
      </c>
      <c r="B166" s="404" t="s">
        <v>400</v>
      </c>
      <c r="C166" s="405" t="s">
        <v>406</v>
      </c>
      <c r="D166" s="406" t="s">
        <v>407</v>
      </c>
      <c r="E166" s="405" t="s">
        <v>528</v>
      </c>
      <c r="F166" s="406" t="s">
        <v>529</v>
      </c>
      <c r="G166" s="405" t="s">
        <v>858</v>
      </c>
      <c r="H166" s="405" t="s">
        <v>859</v>
      </c>
      <c r="I166" s="407">
        <v>35.5</v>
      </c>
      <c r="J166" s="407">
        <v>9</v>
      </c>
      <c r="K166" s="408">
        <v>319.5</v>
      </c>
    </row>
    <row r="167" spans="1:11" ht="14.4" customHeight="1" x14ac:dyDescent="0.3">
      <c r="A167" s="403" t="s">
        <v>398</v>
      </c>
      <c r="B167" s="404" t="s">
        <v>400</v>
      </c>
      <c r="C167" s="405" t="s">
        <v>406</v>
      </c>
      <c r="D167" s="406" t="s">
        <v>407</v>
      </c>
      <c r="E167" s="405" t="s">
        <v>528</v>
      </c>
      <c r="F167" s="406" t="s">
        <v>529</v>
      </c>
      <c r="G167" s="405" t="s">
        <v>860</v>
      </c>
      <c r="H167" s="405" t="s">
        <v>861</v>
      </c>
      <c r="I167" s="407">
        <v>4097</v>
      </c>
      <c r="J167" s="407">
        <v>1</v>
      </c>
      <c r="K167" s="408">
        <v>4097</v>
      </c>
    </row>
    <row r="168" spans="1:11" ht="14.4" customHeight="1" x14ac:dyDescent="0.3">
      <c r="A168" s="403" t="s">
        <v>398</v>
      </c>
      <c r="B168" s="404" t="s">
        <v>400</v>
      </c>
      <c r="C168" s="405" t="s">
        <v>406</v>
      </c>
      <c r="D168" s="406" t="s">
        <v>407</v>
      </c>
      <c r="E168" s="405" t="s">
        <v>528</v>
      </c>
      <c r="F168" s="406" t="s">
        <v>529</v>
      </c>
      <c r="G168" s="405" t="s">
        <v>862</v>
      </c>
      <c r="H168" s="405" t="s">
        <v>863</v>
      </c>
      <c r="I168" s="407">
        <v>281.93</v>
      </c>
      <c r="J168" s="407">
        <v>1</v>
      </c>
      <c r="K168" s="408">
        <v>281.93</v>
      </c>
    </row>
    <row r="169" spans="1:11" ht="14.4" customHeight="1" x14ac:dyDescent="0.3">
      <c r="A169" s="403" t="s">
        <v>398</v>
      </c>
      <c r="B169" s="404" t="s">
        <v>400</v>
      </c>
      <c r="C169" s="405" t="s">
        <v>406</v>
      </c>
      <c r="D169" s="406" t="s">
        <v>407</v>
      </c>
      <c r="E169" s="405" t="s">
        <v>528</v>
      </c>
      <c r="F169" s="406" t="s">
        <v>529</v>
      </c>
      <c r="G169" s="405" t="s">
        <v>864</v>
      </c>
      <c r="H169" s="405" t="s">
        <v>865</v>
      </c>
      <c r="I169" s="407">
        <v>552</v>
      </c>
      <c r="J169" s="407">
        <v>2</v>
      </c>
      <c r="K169" s="408">
        <v>1104</v>
      </c>
    </row>
    <row r="170" spans="1:11" ht="14.4" customHeight="1" x14ac:dyDescent="0.3">
      <c r="A170" s="403" t="s">
        <v>398</v>
      </c>
      <c r="B170" s="404" t="s">
        <v>400</v>
      </c>
      <c r="C170" s="405" t="s">
        <v>406</v>
      </c>
      <c r="D170" s="406" t="s">
        <v>407</v>
      </c>
      <c r="E170" s="405" t="s">
        <v>528</v>
      </c>
      <c r="F170" s="406" t="s">
        <v>529</v>
      </c>
      <c r="G170" s="405" t="s">
        <v>866</v>
      </c>
      <c r="H170" s="405" t="s">
        <v>867</v>
      </c>
      <c r="I170" s="407">
        <v>18.399999999999999</v>
      </c>
      <c r="J170" s="407">
        <v>60</v>
      </c>
      <c r="K170" s="408">
        <v>1104</v>
      </c>
    </row>
    <row r="171" spans="1:11" ht="14.4" customHeight="1" x14ac:dyDescent="0.3">
      <c r="A171" s="403" t="s">
        <v>398</v>
      </c>
      <c r="B171" s="404" t="s">
        <v>400</v>
      </c>
      <c r="C171" s="405" t="s">
        <v>406</v>
      </c>
      <c r="D171" s="406" t="s">
        <v>407</v>
      </c>
      <c r="E171" s="405" t="s">
        <v>528</v>
      </c>
      <c r="F171" s="406" t="s">
        <v>529</v>
      </c>
      <c r="G171" s="405" t="s">
        <v>868</v>
      </c>
      <c r="H171" s="405" t="s">
        <v>869</v>
      </c>
      <c r="I171" s="407">
        <v>24.17</v>
      </c>
      <c r="J171" s="407">
        <v>36</v>
      </c>
      <c r="K171" s="408">
        <v>870</v>
      </c>
    </row>
    <row r="172" spans="1:11" ht="14.4" customHeight="1" x14ac:dyDescent="0.3">
      <c r="A172" s="403" t="s">
        <v>398</v>
      </c>
      <c r="B172" s="404" t="s">
        <v>400</v>
      </c>
      <c r="C172" s="405" t="s">
        <v>406</v>
      </c>
      <c r="D172" s="406" t="s">
        <v>407</v>
      </c>
      <c r="E172" s="405" t="s">
        <v>528</v>
      </c>
      <c r="F172" s="406" t="s">
        <v>529</v>
      </c>
      <c r="G172" s="405" t="s">
        <v>870</v>
      </c>
      <c r="H172" s="405" t="s">
        <v>871</v>
      </c>
      <c r="I172" s="407">
        <v>854.26</v>
      </c>
      <c r="J172" s="407">
        <v>1</v>
      </c>
      <c r="K172" s="408">
        <v>854.26</v>
      </c>
    </row>
    <row r="173" spans="1:11" ht="14.4" customHeight="1" x14ac:dyDescent="0.3">
      <c r="A173" s="403" t="s">
        <v>398</v>
      </c>
      <c r="B173" s="404" t="s">
        <v>400</v>
      </c>
      <c r="C173" s="405" t="s">
        <v>406</v>
      </c>
      <c r="D173" s="406" t="s">
        <v>407</v>
      </c>
      <c r="E173" s="405" t="s">
        <v>528</v>
      </c>
      <c r="F173" s="406" t="s">
        <v>529</v>
      </c>
      <c r="G173" s="405" t="s">
        <v>872</v>
      </c>
      <c r="H173" s="405" t="s">
        <v>873</v>
      </c>
      <c r="I173" s="407">
        <v>834.9</v>
      </c>
      <c r="J173" s="407">
        <v>1</v>
      </c>
      <c r="K173" s="408">
        <v>834.9</v>
      </c>
    </row>
    <row r="174" spans="1:11" ht="14.4" customHeight="1" x14ac:dyDescent="0.3">
      <c r="A174" s="403" t="s">
        <v>398</v>
      </c>
      <c r="B174" s="404" t="s">
        <v>400</v>
      </c>
      <c r="C174" s="405" t="s">
        <v>406</v>
      </c>
      <c r="D174" s="406" t="s">
        <v>407</v>
      </c>
      <c r="E174" s="405" t="s">
        <v>528</v>
      </c>
      <c r="F174" s="406" t="s">
        <v>529</v>
      </c>
      <c r="G174" s="405" t="s">
        <v>874</v>
      </c>
      <c r="H174" s="405" t="s">
        <v>875</v>
      </c>
      <c r="I174" s="407">
        <v>499</v>
      </c>
      <c r="J174" s="407">
        <v>1</v>
      </c>
      <c r="K174" s="408">
        <v>499</v>
      </c>
    </row>
    <row r="175" spans="1:11" ht="14.4" customHeight="1" x14ac:dyDescent="0.3">
      <c r="A175" s="403" t="s">
        <v>398</v>
      </c>
      <c r="B175" s="404" t="s">
        <v>400</v>
      </c>
      <c r="C175" s="405" t="s">
        <v>406</v>
      </c>
      <c r="D175" s="406" t="s">
        <v>407</v>
      </c>
      <c r="E175" s="405" t="s">
        <v>528</v>
      </c>
      <c r="F175" s="406" t="s">
        <v>529</v>
      </c>
      <c r="G175" s="405" t="s">
        <v>876</v>
      </c>
      <c r="H175" s="405" t="s">
        <v>877</v>
      </c>
      <c r="I175" s="407">
        <v>834.9</v>
      </c>
      <c r="J175" s="407">
        <v>1</v>
      </c>
      <c r="K175" s="408">
        <v>834.9</v>
      </c>
    </row>
    <row r="176" spans="1:11" ht="14.4" customHeight="1" x14ac:dyDescent="0.3">
      <c r="A176" s="403" t="s">
        <v>398</v>
      </c>
      <c r="B176" s="404" t="s">
        <v>400</v>
      </c>
      <c r="C176" s="405" t="s">
        <v>406</v>
      </c>
      <c r="D176" s="406" t="s">
        <v>407</v>
      </c>
      <c r="E176" s="405" t="s">
        <v>528</v>
      </c>
      <c r="F176" s="406" t="s">
        <v>529</v>
      </c>
      <c r="G176" s="405" t="s">
        <v>878</v>
      </c>
      <c r="H176" s="405" t="s">
        <v>879</v>
      </c>
      <c r="I176" s="407">
        <v>47.19</v>
      </c>
      <c r="J176" s="407">
        <v>20</v>
      </c>
      <c r="K176" s="408">
        <v>943.8</v>
      </c>
    </row>
    <row r="177" spans="1:11" ht="14.4" customHeight="1" x14ac:dyDescent="0.3">
      <c r="A177" s="403" t="s">
        <v>398</v>
      </c>
      <c r="B177" s="404" t="s">
        <v>400</v>
      </c>
      <c r="C177" s="405" t="s">
        <v>406</v>
      </c>
      <c r="D177" s="406" t="s">
        <v>407</v>
      </c>
      <c r="E177" s="405" t="s">
        <v>528</v>
      </c>
      <c r="F177" s="406" t="s">
        <v>529</v>
      </c>
      <c r="G177" s="405" t="s">
        <v>880</v>
      </c>
      <c r="H177" s="405" t="s">
        <v>881</v>
      </c>
      <c r="I177" s="407">
        <v>552</v>
      </c>
      <c r="J177" s="407">
        <v>1</v>
      </c>
      <c r="K177" s="408">
        <v>552</v>
      </c>
    </row>
    <row r="178" spans="1:11" ht="14.4" customHeight="1" x14ac:dyDescent="0.3">
      <c r="A178" s="403" t="s">
        <v>398</v>
      </c>
      <c r="B178" s="404" t="s">
        <v>400</v>
      </c>
      <c r="C178" s="405" t="s">
        <v>406</v>
      </c>
      <c r="D178" s="406" t="s">
        <v>407</v>
      </c>
      <c r="E178" s="405" t="s">
        <v>528</v>
      </c>
      <c r="F178" s="406" t="s">
        <v>529</v>
      </c>
      <c r="G178" s="405" t="s">
        <v>882</v>
      </c>
      <c r="H178" s="405" t="s">
        <v>883</v>
      </c>
      <c r="I178" s="407">
        <v>102.3</v>
      </c>
      <c r="J178" s="407">
        <v>6</v>
      </c>
      <c r="K178" s="408">
        <v>613.79999999999995</v>
      </c>
    </row>
    <row r="179" spans="1:11" ht="14.4" customHeight="1" x14ac:dyDescent="0.3">
      <c r="A179" s="403" t="s">
        <v>398</v>
      </c>
      <c r="B179" s="404" t="s">
        <v>400</v>
      </c>
      <c r="C179" s="405" t="s">
        <v>406</v>
      </c>
      <c r="D179" s="406" t="s">
        <v>407</v>
      </c>
      <c r="E179" s="405" t="s">
        <v>528</v>
      </c>
      <c r="F179" s="406" t="s">
        <v>529</v>
      </c>
      <c r="G179" s="405" t="s">
        <v>884</v>
      </c>
      <c r="H179" s="405" t="s">
        <v>885</v>
      </c>
      <c r="I179" s="407">
        <v>85.56</v>
      </c>
      <c r="J179" s="407">
        <v>10</v>
      </c>
      <c r="K179" s="408">
        <v>855.6</v>
      </c>
    </row>
    <row r="180" spans="1:11" ht="14.4" customHeight="1" x14ac:dyDescent="0.3">
      <c r="A180" s="403" t="s">
        <v>398</v>
      </c>
      <c r="B180" s="404" t="s">
        <v>400</v>
      </c>
      <c r="C180" s="405" t="s">
        <v>406</v>
      </c>
      <c r="D180" s="406" t="s">
        <v>407</v>
      </c>
      <c r="E180" s="405" t="s">
        <v>528</v>
      </c>
      <c r="F180" s="406" t="s">
        <v>529</v>
      </c>
      <c r="G180" s="405" t="s">
        <v>886</v>
      </c>
      <c r="H180" s="405" t="s">
        <v>887</v>
      </c>
      <c r="I180" s="407">
        <v>85.56</v>
      </c>
      <c r="J180" s="407">
        <v>10</v>
      </c>
      <c r="K180" s="408">
        <v>855.6</v>
      </c>
    </row>
    <row r="181" spans="1:11" ht="14.4" customHeight="1" x14ac:dyDescent="0.3">
      <c r="A181" s="403" t="s">
        <v>398</v>
      </c>
      <c r="B181" s="404" t="s">
        <v>400</v>
      </c>
      <c r="C181" s="405" t="s">
        <v>406</v>
      </c>
      <c r="D181" s="406" t="s">
        <v>407</v>
      </c>
      <c r="E181" s="405" t="s">
        <v>528</v>
      </c>
      <c r="F181" s="406" t="s">
        <v>529</v>
      </c>
      <c r="G181" s="405" t="s">
        <v>888</v>
      </c>
      <c r="H181" s="405" t="s">
        <v>889</v>
      </c>
      <c r="I181" s="407">
        <v>102.3</v>
      </c>
      <c r="J181" s="407">
        <v>6</v>
      </c>
      <c r="K181" s="408">
        <v>613.79999999999995</v>
      </c>
    </row>
    <row r="182" spans="1:11" ht="14.4" customHeight="1" x14ac:dyDescent="0.3">
      <c r="A182" s="403" t="s">
        <v>398</v>
      </c>
      <c r="B182" s="404" t="s">
        <v>400</v>
      </c>
      <c r="C182" s="405" t="s">
        <v>406</v>
      </c>
      <c r="D182" s="406" t="s">
        <v>407</v>
      </c>
      <c r="E182" s="405" t="s">
        <v>528</v>
      </c>
      <c r="F182" s="406" t="s">
        <v>529</v>
      </c>
      <c r="G182" s="405" t="s">
        <v>890</v>
      </c>
      <c r="H182" s="405" t="s">
        <v>891</v>
      </c>
      <c r="I182" s="407">
        <v>102.3</v>
      </c>
      <c r="J182" s="407">
        <v>6</v>
      </c>
      <c r="K182" s="408">
        <v>613.79999999999995</v>
      </c>
    </row>
    <row r="183" spans="1:11" ht="14.4" customHeight="1" x14ac:dyDescent="0.3">
      <c r="A183" s="403" t="s">
        <v>398</v>
      </c>
      <c r="B183" s="404" t="s">
        <v>400</v>
      </c>
      <c r="C183" s="405" t="s">
        <v>406</v>
      </c>
      <c r="D183" s="406" t="s">
        <v>407</v>
      </c>
      <c r="E183" s="405" t="s">
        <v>528</v>
      </c>
      <c r="F183" s="406" t="s">
        <v>529</v>
      </c>
      <c r="G183" s="405" t="s">
        <v>892</v>
      </c>
      <c r="H183" s="405" t="s">
        <v>893</v>
      </c>
      <c r="I183" s="407">
        <v>18.399999999999999</v>
      </c>
      <c r="J183" s="407">
        <v>60</v>
      </c>
      <c r="K183" s="408">
        <v>1104</v>
      </c>
    </row>
    <row r="184" spans="1:11" ht="14.4" customHeight="1" x14ac:dyDescent="0.3">
      <c r="A184" s="403" t="s">
        <v>398</v>
      </c>
      <c r="B184" s="404" t="s">
        <v>400</v>
      </c>
      <c r="C184" s="405" t="s">
        <v>406</v>
      </c>
      <c r="D184" s="406" t="s">
        <v>407</v>
      </c>
      <c r="E184" s="405" t="s">
        <v>528</v>
      </c>
      <c r="F184" s="406" t="s">
        <v>529</v>
      </c>
      <c r="G184" s="405" t="s">
        <v>894</v>
      </c>
      <c r="H184" s="405" t="s">
        <v>895</v>
      </c>
      <c r="I184" s="407">
        <v>56.87</v>
      </c>
      <c r="J184" s="407">
        <v>30</v>
      </c>
      <c r="K184" s="408">
        <v>1706.1</v>
      </c>
    </row>
    <row r="185" spans="1:11" ht="14.4" customHeight="1" x14ac:dyDescent="0.3">
      <c r="A185" s="403" t="s">
        <v>398</v>
      </c>
      <c r="B185" s="404" t="s">
        <v>400</v>
      </c>
      <c r="C185" s="405" t="s">
        <v>406</v>
      </c>
      <c r="D185" s="406" t="s">
        <v>407</v>
      </c>
      <c r="E185" s="405" t="s">
        <v>528</v>
      </c>
      <c r="F185" s="406" t="s">
        <v>529</v>
      </c>
      <c r="G185" s="405" t="s">
        <v>896</v>
      </c>
      <c r="H185" s="405" t="s">
        <v>897</v>
      </c>
      <c r="I185" s="407">
        <v>18.399999999999999</v>
      </c>
      <c r="J185" s="407">
        <v>60</v>
      </c>
      <c r="K185" s="408">
        <v>1104</v>
      </c>
    </row>
    <row r="186" spans="1:11" ht="14.4" customHeight="1" x14ac:dyDescent="0.3">
      <c r="A186" s="403" t="s">
        <v>398</v>
      </c>
      <c r="B186" s="404" t="s">
        <v>400</v>
      </c>
      <c r="C186" s="405" t="s">
        <v>406</v>
      </c>
      <c r="D186" s="406" t="s">
        <v>407</v>
      </c>
      <c r="E186" s="405" t="s">
        <v>528</v>
      </c>
      <c r="F186" s="406" t="s">
        <v>529</v>
      </c>
      <c r="G186" s="405" t="s">
        <v>898</v>
      </c>
      <c r="H186" s="405" t="s">
        <v>899</v>
      </c>
      <c r="I186" s="407">
        <v>102.3</v>
      </c>
      <c r="J186" s="407">
        <v>6</v>
      </c>
      <c r="K186" s="408">
        <v>613.79999999999995</v>
      </c>
    </row>
    <row r="187" spans="1:11" ht="14.4" customHeight="1" x14ac:dyDescent="0.3">
      <c r="A187" s="403" t="s">
        <v>398</v>
      </c>
      <c r="B187" s="404" t="s">
        <v>400</v>
      </c>
      <c r="C187" s="405" t="s">
        <v>406</v>
      </c>
      <c r="D187" s="406" t="s">
        <v>407</v>
      </c>
      <c r="E187" s="405" t="s">
        <v>528</v>
      </c>
      <c r="F187" s="406" t="s">
        <v>529</v>
      </c>
      <c r="G187" s="405" t="s">
        <v>900</v>
      </c>
      <c r="H187" s="405" t="s">
        <v>901</v>
      </c>
      <c r="I187" s="407">
        <v>319.42</v>
      </c>
      <c r="J187" s="407">
        <v>2</v>
      </c>
      <c r="K187" s="408">
        <v>638.84</v>
      </c>
    </row>
    <row r="188" spans="1:11" ht="14.4" customHeight="1" x14ac:dyDescent="0.3">
      <c r="A188" s="403" t="s">
        <v>398</v>
      </c>
      <c r="B188" s="404" t="s">
        <v>400</v>
      </c>
      <c r="C188" s="405" t="s">
        <v>406</v>
      </c>
      <c r="D188" s="406" t="s">
        <v>407</v>
      </c>
      <c r="E188" s="405" t="s">
        <v>528</v>
      </c>
      <c r="F188" s="406" t="s">
        <v>529</v>
      </c>
      <c r="G188" s="405" t="s">
        <v>902</v>
      </c>
      <c r="H188" s="405" t="s">
        <v>903</v>
      </c>
      <c r="I188" s="407">
        <v>928.65</v>
      </c>
      <c r="J188" s="407">
        <v>1</v>
      </c>
      <c r="K188" s="408">
        <v>928.65</v>
      </c>
    </row>
    <row r="189" spans="1:11" ht="14.4" customHeight="1" x14ac:dyDescent="0.3">
      <c r="A189" s="403" t="s">
        <v>398</v>
      </c>
      <c r="B189" s="404" t="s">
        <v>400</v>
      </c>
      <c r="C189" s="405" t="s">
        <v>406</v>
      </c>
      <c r="D189" s="406" t="s">
        <v>407</v>
      </c>
      <c r="E189" s="405" t="s">
        <v>528</v>
      </c>
      <c r="F189" s="406" t="s">
        <v>529</v>
      </c>
      <c r="G189" s="405" t="s">
        <v>904</v>
      </c>
      <c r="H189" s="405" t="s">
        <v>905</v>
      </c>
      <c r="I189" s="407">
        <v>928.65</v>
      </c>
      <c r="J189" s="407">
        <v>1</v>
      </c>
      <c r="K189" s="408">
        <v>928.65</v>
      </c>
    </row>
    <row r="190" spans="1:11" ht="14.4" customHeight="1" x14ac:dyDescent="0.3">
      <c r="A190" s="403" t="s">
        <v>398</v>
      </c>
      <c r="B190" s="404" t="s">
        <v>400</v>
      </c>
      <c r="C190" s="405" t="s">
        <v>406</v>
      </c>
      <c r="D190" s="406" t="s">
        <v>407</v>
      </c>
      <c r="E190" s="405" t="s">
        <v>528</v>
      </c>
      <c r="F190" s="406" t="s">
        <v>529</v>
      </c>
      <c r="G190" s="405" t="s">
        <v>906</v>
      </c>
      <c r="H190" s="405" t="s">
        <v>907</v>
      </c>
      <c r="I190" s="407">
        <v>753.19</v>
      </c>
      <c r="J190" s="407">
        <v>1</v>
      </c>
      <c r="K190" s="408">
        <v>753.19</v>
      </c>
    </row>
    <row r="191" spans="1:11" ht="14.4" customHeight="1" x14ac:dyDescent="0.3">
      <c r="A191" s="403" t="s">
        <v>398</v>
      </c>
      <c r="B191" s="404" t="s">
        <v>400</v>
      </c>
      <c r="C191" s="405" t="s">
        <v>406</v>
      </c>
      <c r="D191" s="406" t="s">
        <v>407</v>
      </c>
      <c r="E191" s="405" t="s">
        <v>528</v>
      </c>
      <c r="F191" s="406" t="s">
        <v>529</v>
      </c>
      <c r="G191" s="405" t="s">
        <v>908</v>
      </c>
      <c r="H191" s="405" t="s">
        <v>909</v>
      </c>
      <c r="I191" s="407">
        <v>1322.64</v>
      </c>
      <c r="J191" s="407">
        <v>2</v>
      </c>
      <c r="K191" s="408">
        <v>2645.28</v>
      </c>
    </row>
    <row r="192" spans="1:11" ht="14.4" customHeight="1" x14ac:dyDescent="0.3">
      <c r="A192" s="403" t="s">
        <v>398</v>
      </c>
      <c r="B192" s="404" t="s">
        <v>400</v>
      </c>
      <c r="C192" s="405" t="s">
        <v>406</v>
      </c>
      <c r="D192" s="406" t="s">
        <v>407</v>
      </c>
      <c r="E192" s="405" t="s">
        <v>528</v>
      </c>
      <c r="F192" s="406" t="s">
        <v>529</v>
      </c>
      <c r="G192" s="405" t="s">
        <v>910</v>
      </c>
      <c r="H192" s="405" t="s">
        <v>911</v>
      </c>
      <c r="I192" s="407">
        <v>44.77</v>
      </c>
      <c r="J192" s="407">
        <v>30</v>
      </c>
      <c r="K192" s="408">
        <v>1343.1</v>
      </c>
    </row>
    <row r="193" spans="1:11" ht="14.4" customHeight="1" x14ac:dyDescent="0.3">
      <c r="A193" s="403" t="s">
        <v>398</v>
      </c>
      <c r="B193" s="404" t="s">
        <v>400</v>
      </c>
      <c r="C193" s="405" t="s">
        <v>406</v>
      </c>
      <c r="D193" s="406" t="s">
        <v>407</v>
      </c>
      <c r="E193" s="405" t="s">
        <v>528</v>
      </c>
      <c r="F193" s="406" t="s">
        <v>529</v>
      </c>
      <c r="G193" s="405" t="s">
        <v>912</v>
      </c>
      <c r="H193" s="405" t="s">
        <v>913</v>
      </c>
      <c r="I193" s="407">
        <v>293.25</v>
      </c>
      <c r="J193" s="407">
        <v>2</v>
      </c>
      <c r="K193" s="408">
        <v>586.5</v>
      </c>
    </row>
    <row r="194" spans="1:11" ht="14.4" customHeight="1" x14ac:dyDescent="0.3">
      <c r="A194" s="403" t="s">
        <v>398</v>
      </c>
      <c r="B194" s="404" t="s">
        <v>400</v>
      </c>
      <c r="C194" s="405" t="s">
        <v>406</v>
      </c>
      <c r="D194" s="406" t="s">
        <v>407</v>
      </c>
      <c r="E194" s="405" t="s">
        <v>528</v>
      </c>
      <c r="F194" s="406" t="s">
        <v>529</v>
      </c>
      <c r="G194" s="405" t="s">
        <v>914</v>
      </c>
      <c r="H194" s="405" t="s">
        <v>915</v>
      </c>
      <c r="I194" s="407">
        <v>158.62</v>
      </c>
      <c r="J194" s="407">
        <v>2</v>
      </c>
      <c r="K194" s="408">
        <v>317.24</v>
      </c>
    </row>
    <row r="195" spans="1:11" ht="14.4" customHeight="1" x14ac:dyDescent="0.3">
      <c r="A195" s="403" t="s">
        <v>398</v>
      </c>
      <c r="B195" s="404" t="s">
        <v>400</v>
      </c>
      <c r="C195" s="405" t="s">
        <v>406</v>
      </c>
      <c r="D195" s="406" t="s">
        <v>407</v>
      </c>
      <c r="E195" s="405" t="s">
        <v>528</v>
      </c>
      <c r="F195" s="406" t="s">
        <v>529</v>
      </c>
      <c r="G195" s="405" t="s">
        <v>916</v>
      </c>
      <c r="H195" s="405" t="s">
        <v>917</v>
      </c>
      <c r="I195" s="407">
        <v>1669.67</v>
      </c>
      <c r="J195" s="407">
        <v>2</v>
      </c>
      <c r="K195" s="408">
        <v>3339.34</v>
      </c>
    </row>
    <row r="196" spans="1:11" ht="14.4" customHeight="1" x14ac:dyDescent="0.3">
      <c r="A196" s="403" t="s">
        <v>398</v>
      </c>
      <c r="B196" s="404" t="s">
        <v>400</v>
      </c>
      <c r="C196" s="405" t="s">
        <v>406</v>
      </c>
      <c r="D196" s="406" t="s">
        <v>407</v>
      </c>
      <c r="E196" s="405" t="s">
        <v>528</v>
      </c>
      <c r="F196" s="406" t="s">
        <v>529</v>
      </c>
      <c r="G196" s="405" t="s">
        <v>918</v>
      </c>
      <c r="H196" s="405" t="s">
        <v>919</v>
      </c>
      <c r="I196" s="407">
        <v>360.58</v>
      </c>
      <c r="J196" s="407">
        <v>2</v>
      </c>
      <c r="K196" s="408">
        <v>721.16</v>
      </c>
    </row>
    <row r="197" spans="1:11" ht="14.4" customHeight="1" x14ac:dyDescent="0.3">
      <c r="A197" s="403" t="s">
        <v>398</v>
      </c>
      <c r="B197" s="404" t="s">
        <v>400</v>
      </c>
      <c r="C197" s="405" t="s">
        <v>406</v>
      </c>
      <c r="D197" s="406" t="s">
        <v>407</v>
      </c>
      <c r="E197" s="405" t="s">
        <v>528</v>
      </c>
      <c r="F197" s="406" t="s">
        <v>529</v>
      </c>
      <c r="G197" s="405" t="s">
        <v>920</v>
      </c>
      <c r="H197" s="405" t="s">
        <v>921</v>
      </c>
      <c r="I197" s="407">
        <v>723.58</v>
      </c>
      <c r="J197" s="407">
        <v>2</v>
      </c>
      <c r="K197" s="408">
        <v>1447.16</v>
      </c>
    </row>
    <row r="198" spans="1:11" ht="14.4" customHeight="1" x14ac:dyDescent="0.3">
      <c r="A198" s="403" t="s">
        <v>398</v>
      </c>
      <c r="B198" s="404" t="s">
        <v>400</v>
      </c>
      <c r="C198" s="405" t="s">
        <v>406</v>
      </c>
      <c r="D198" s="406" t="s">
        <v>407</v>
      </c>
      <c r="E198" s="405" t="s">
        <v>528</v>
      </c>
      <c r="F198" s="406" t="s">
        <v>529</v>
      </c>
      <c r="G198" s="405" t="s">
        <v>922</v>
      </c>
      <c r="H198" s="405" t="s">
        <v>923</v>
      </c>
      <c r="I198" s="407">
        <v>1.72</v>
      </c>
      <c r="J198" s="407">
        <v>400</v>
      </c>
      <c r="K198" s="408">
        <v>687</v>
      </c>
    </row>
    <row r="199" spans="1:11" ht="14.4" customHeight="1" x14ac:dyDescent="0.3">
      <c r="A199" s="403" t="s">
        <v>398</v>
      </c>
      <c r="B199" s="404" t="s">
        <v>400</v>
      </c>
      <c r="C199" s="405" t="s">
        <v>406</v>
      </c>
      <c r="D199" s="406" t="s">
        <v>407</v>
      </c>
      <c r="E199" s="405" t="s">
        <v>528</v>
      </c>
      <c r="F199" s="406" t="s">
        <v>529</v>
      </c>
      <c r="G199" s="405" t="s">
        <v>924</v>
      </c>
      <c r="H199" s="405" t="s">
        <v>925</v>
      </c>
      <c r="I199" s="407">
        <v>360.58</v>
      </c>
      <c r="J199" s="407">
        <v>2</v>
      </c>
      <c r="K199" s="408">
        <v>721.16</v>
      </c>
    </row>
    <row r="200" spans="1:11" ht="14.4" customHeight="1" x14ac:dyDescent="0.3">
      <c r="A200" s="403" t="s">
        <v>398</v>
      </c>
      <c r="B200" s="404" t="s">
        <v>400</v>
      </c>
      <c r="C200" s="405" t="s">
        <v>406</v>
      </c>
      <c r="D200" s="406" t="s">
        <v>407</v>
      </c>
      <c r="E200" s="405" t="s">
        <v>528</v>
      </c>
      <c r="F200" s="406" t="s">
        <v>529</v>
      </c>
      <c r="G200" s="405" t="s">
        <v>926</v>
      </c>
      <c r="H200" s="405" t="s">
        <v>927</v>
      </c>
      <c r="I200" s="407">
        <v>1756.05</v>
      </c>
      <c r="J200" s="407">
        <v>2</v>
      </c>
      <c r="K200" s="408">
        <v>3512.1</v>
      </c>
    </row>
    <row r="201" spans="1:11" ht="14.4" customHeight="1" x14ac:dyDescent="0.3">
      <c r="A201" s="403" t="s">
        <v>398</v>
      </c>
      <c r="B201" s="404" t="s">
        <v>400</v>
      </c>
      <c r="C201" s="405" t="s">
        <v>406</v>
      </c>
      <c r="D201" s="406" t="s">
        <v>407</v>
      </c>
      <c r="E201" s="405" t="s">
        <v>528</v>
      </c>
      <c r="F201" s="406" t="s">
        <v>529</v>
      </c>
      <c r="G201" s="405" t="s">
        <v>928</v>
      </c>
      <c r="H201" s="405" t="s">
        <v>929</v>
      </c>
      <c r="I201" s="407">
        <v>37.51</v>
      </c>
      <c r="J201" s="407">
        <v>12</v>
      </c>
      <c r="K201" s="408">
        <v>450.12</v>
      </c>
    </row>
    <row r="202" spans="1:11" ht="14.4" customHeight="1" x14ac:dyDescent="0.3">
      <c r="A202" s="403" t="s">
        <v>398</v>
      </c>
      <c r="B202" s="404" t="s">
        <v>400</v>
      </c>
      <c r="C202" s="405" t="s">
        <v>406</v>
      </c>
      <c r="D202" s="406" t="s">
        <v>407</v>
      </c>
      <c r="E202" s="405" t="s">
        <v>528</v>
      </c>
      <c r="F202" s="406" t="s">
        <v>529</v>
      </c>
      <c r="G202" s="405" t="s">
        <v>930</v>
      </c>
      <c r="H202" s="405" t="s">
        <v>931</v>
      </c>
      <c r="I202" s="407">
        <v>512.44000000000005</v>
      </c>
      <c r="J202" s="407">
        <v>10</v>
      </c>
      <c r="K202" s="408">
        <v>5124.3999999999996</v>
      </c>
    </row>
    <row r="203" spans="1:11" ht="14.4" customHeight="1" x14ac:dyDescent="0.3">
      <c r="A203" s="403" t="s">
        <v>398</v>
      </c>
      <c r="B203" s="404" t="s">
        <v>400</v>
      </c>
      <c r="C203" s="405" t="s">
        <v>406</v>
      </c>
      <c r="D203" s="406" t="s">
        <v>407</v>
      </c>
      <c r="E203" s="405" t="s">
        <v>528</v>
      </c>
      <c r="F203" s="406" t="s">
        <v>529</v>
      </c>
      <c r="G203" s="405" t="s">
        <v>932</v>
      </c>
      <c r="H203" s="405" t="s">
        <v>933</v>
      </c>
      <c r="I203" s="407">
        <v>980.1</v>
      </c>
      <c r="J203" s="407">
        <v>1</v>
      </c>
      <c r="K203" s="408">
        <v>980.1</v>
      </c>
    </row>
    <row r="204" spans="1:11" ht="14.4" customHeight="1" x14ac:dyDescent="0.3">
      <c r="A204" s="403" t="s">
        <v>398</v>
      </c>
      <c r="B204" s="404" t="s">
        <v>400</v>
      </c>
      <c r="C204" s="405" t="s">
        <v>406</v>
      </c>
      <c r="D204" s="406" t="s">
        <v>407</v>
      </c>
      <c r="E204" s="405" t="s">
        <v>528</v>
      </c>
      <c r="F204" s="406" t="s">
        <v>529</v>
      </c>
      <c r="G204" s="405" t="s">
        <v>934</v>
      </c>
      <c r="H204" s="405" t="s">
        <v>935</v>
      </c>
      <c r="I204" s="407">
        <v>414.55</v>
      </c>
      <c r="J204" s="407">
        <v>8</v>
      </c>
      <c r="K204" s="408">
        <v>3323.2</v>
      </c>
    </row>
    <row r="205" spans="1:11" ht="14.4" customHeight="1" x14ac:dyDescent="0.3">
      <c r="A205" s="403" t="s">
        <v>398</v>
      </c>
      <c r="B205" s="404" t="s">
        <v>400</v>
      </c>
      <c r="C205" s="405" t="s">
        <v>406</v>
      </c>
      <c r="D205" s="406" t="s">
        <v>407</v>
      </c>
      <c r="E205" s="405" t="s">
        <v>528</v>
      </c>
      <c r="F205" s="406" t="s">
        <v>529</v>
      </c>
      <c r="G205" s="405" t="s">
        <v>936</v>
      </c>
      <c r="H205" s="405" t="s">
        <v>937</v>
      </c>
      <c r="I205" s="407">
        <v>5249</v>
      </c>
      <c r="J205" s="407">
        <v>1</v>
      </c>
      <c r="K205" s="408">
        <v>5249</v>
      </c>
    </row>
    <row r="206" spans="1:11" ht="14.4" customHeight="1" x14ac:dyDescent="0.3">
      <c r="A206" s="403" t="s">
        <v>398</v>
      </c>
      <c r="B206" s="404" t="s">
        <v>400</v>
      </c>
      <c r="C206" s="405" t="s">
        <v>406</v>
      </c>
      <c r="D206" s="406" t="s">
        <v>407</v>
      </c>
      <c r="E206" s="405" t="s">
        <v>528</v>
      </c>
      <c r="F206" s="406" t="s">
        <v>529</v>
      </c>
      <c r="G206" s="405" t="s">
        <v>938</v>
      </c>
      <c r="H206" s="405" t="s">
        <v>939</v>
      </c>
      <c r="I206" s="407">
        <v>834.9</v>
      </c>
      <c r="J206" s="407">
        <v>1</v>
      </c>
      <c r="K206" s="408">
        <v>834.9</v>
      </c>
    </row>
    <row r="207" spans="1:11" ht="14.4" customHeight="1" x14ac:dyDescent="0.3">
      <c r="A207" s="403" t="s">
        <v>398</v>
      </c>
      <c r="B207" s="404" t="s">
        <v>400</v>
      </c>
      <c r="C207" s="405" t="s">
        <v>406</v>
      </c>
      <c r="D207" s="406" t="s">
        <v>407</v>
      </c>
      <c r="E207" s="405" t="s">
        <v>528</v>
      </c>
      <c r="F207" s="406" t="s">
        <v>529</v>
      </c>
      <c r="G207" s="405" t="s">
        <v>940</v>
      </c>
      <c r="H207" s="405" t="s">
        <v>941</v>
      </c>
      <c r="I207" s="407">
        <v>37.51</v>
      </c>
      <c r="J207" s="407">
        <v>12</v>
      </c>
      <c r="K207" s="408">
        <v>450.12</v>
      </c>
    </row>
    <row r="208" spans="1:11" ht="14.4" customHeight="1" x14ac:dyDescent="0.3">
      <c r="A208" s="403" t="s">
        <v>398</v>
      </c>
      <c r="B208" s="404" t="s">
        <v>400</v>
      </c>
      <c r="C208" s="405" t="s">
        <v>406</v>
      </c>
      <c r="D208" s="406" t="s">
        <v>407</v>
      </c>
      <c r="E208" s="405" t="s">
        <v>528</v>
      </c>
      <c r="F208" s="406" t="s">
        <v>529</v>
      </c>
      <c r="G208" s="405" t="s">
        <v>942</v>
      </c>
      <c r="H208" s="405" t="s">
        <v>943</v>
      </c>
      <c r="I208" s="407">
        <v>955.9</v>
      </c>
      <c r="J208" s="407">
        <v>1</v>
      </c>
      <c r="K208" s="408">
        <v>955.9</v>
      </c>
    </row>
    <row r="209" spans="1:11" ht="14.4" customHeight="1" x14ac:dyDescent="0.3">
      <c r="A209" s="403" t="s">
        <v>398</v>
      </c>
      <c r="B209" s="404" t="s">
        <v>400</v>
      </c>
      <c r="C209" s="405" t="s">
        <v>406</v>
      </c>
      <c r="D209" s="406" t="s">
        <v>407</v>
      </c>
      <c r="E209" s="405" t="s">
        <v>528</v>
      </c>
      <c r="F209" s="406" t="s">
        <v>529</v>
      </c>
      <c r="G209" s="405" t="s">
        <v>944</v>
      </c>
      <c r="H209" s="405" t="s">
        <v>945</v>
      </c>
      <c r="I209" s="407">
        <v>592.9</v>
      </c>
      <c r="J209" s="407">
        <v>1</v>
      </c>
      <c r="K209" s="408">
        <v>592.9</v>
      </c>
    </row>
    <row r="210" spans="1:11" ht="14.4" customHeight="1" x14ac:dyDescent="0.3">
      <c r="A210" s="403" t="s">
        <v>398</v>
      </c>
      <c r="B210" s="404" t="s">
        <v>400</v>
      </c>
      <c r="C210" s="405" t="s">
        <v>406</v>
      </c>
      <c r="D210" s="406" t="s">
        <v>407</v>
      </c>
      <c r="E210" s="405" t="s">
        <v>528</v>
      </c>
      <c r="F210" s="406" t="s">
        <v>529</v>
      </c>
      <c r="G210" s="405" t="s">
        <v>946</v>
      </c>
      <c r="H210" s="405" t="s">
        <v>947</v>
      </c>
      <c r="I210" s="407">
        <v>1748</v>
      </c>
      <c r="J210" s="407">
        <v>1</v>
      </c>
      <c r="K210" s="408">
        <v>1748</v>
      </c>
    </row>
    <row r="211" spans="1:11" ht="14.4" customHeight="1" x14ac:dyDescent="0.3">
      <c r="A211" s="403" t="s">
        <v>398</v>
      </c>
      <c r="B211" s="404" t="s">
        <v>400</v>
      </c>
      <c r="C211" s="405" t="s">
        <v>406</v>
      </c>
      <c r="D211" s="406" t="s">
        <v>407</v>
      </c>
      <c r="E211" s="405" t="s">
        <v>528</v>
      </c>
      <c r="F211" s="406" t="s">
        <v>529</v>
      </c>
      <c r="G211" s="405" t="s">
        <v>948</v>
      </c>
      <c r="H211" s="405" t="s">
        <v>949</v>
      </c>
      <c r="I211" s="407">
        <v>118.58</v>
      </c>
      <c r="J211" s="407">
        <v>50</v>
      </c>
      <c r="K211" s="408">
        <v>5929</v>
      </c>
    </row>
    <row r="212" spans="1:11" ht="14.4" customHeight="1" x14ac:dyDescent="0.3">
      <c r="A212" s="403" t="s">
        <v>398</v>
      </c>
      <c r="B212" s="404" t="s">
        <v>400</v>
      </c>
      <c r="C212" s="405" t="s">
        <v>406</v>
      </c>
      <c r="D212" s="406" t="s">
        <v>407</v>
      </c>
      <c r="E212" s="405" t="s">
        <v>528</v>
      </c>
      <c r="F212" s="406" t="s">
        <v>529</v>
      </c>
      <c r="G212" s="405" t="s">
        <v>950</v>
      </c>
      <c r="H212" s="405" t="s">
        <v>951</v>
      </c>
      <c r="I212" s="407">
        <v>1013.38</v>
      </c>
      <c r="J212" s="407">
        <v>3</v>
      </c>
      <c r="K212" s="408">
        <v>3040.14</v>
      </c>
    </row>
    <row r="213" spans="1:11" ht="14.4" customHeight="1" x14ac:dyDescent="0.3">
      <c r="A213" s="403" t="s">
        <v>398</v>
      </c>
      <c r="B213" s="404" t="s">
        <v>400</v>
      </c>
      <c r="C213" s="405" t="s">
        <v>406</v>
      </c>
      <c r="D213" s="406" t="s">
        <v>407</v>
      </c>
      <c r="E213" s="405" t="s">
        <v>528</v>
      </c>
      <c r="F213" s="406" t="s">
        <v>529</v>
      </c>
      <c r="G213" s="405" t="s">
        <v>952</v>
      </c>
      <c r="H213" s="405" t="s">
        <v>953</v>
      </c>
      <c r="I213" s="407">
        <v>146.41</v>
      </c>
      <c r="J213" s="407">
        <v>10</v>
      </c>
      <c r="K213" s="408">
        <v>1464.1</v>
      </c>
    </row>
    <row r="214" spans="1:11" ht="14.4" customHeight="1" x14ac:dyDescent="0.3">
      <c r="A214" s="403" t="s">
        <v>398</v>
      </c>
      <c r="B214" s="404" t="s">
        <v>400</v>
      </c>
      <c r="C214" s="405" t="s">
        <v>406</v>
      </c>
      <c r="D214" s="406" t="s">
        <v>407</v>
      </c>
      <c r="E214" s="405" t="s">
        <v>528</v>
      </c>
      <c r="F214" s="406" t="s">
        <v>529</v>
      </c>
      <c r="G214" s="405" t="s">
        <v>954</v>
      </c>
      <c r="H214" s="405" t="s">
        <v>955</v>
      </c>
      <c r="I214" s="407">
        <v>1064.8</v>
      </c>
      <c r="J214" s="407">
        <v>1</v>
      </c>
      <c r="K214" s="408">
        <v>1064.8</v>
      </c>
    </row>
    <row r="215" spans="1:11" ht="14.4" customHeight="1" x14ac:dyDescent="0.3">
      <c r="A215" s="403" t="s">
        <v>398</v>
      </c>
      <c r="B215" s="404" t="s">
        <v>400</v>
      </c>
      <c r="C215" s="405" t="s">
        <v>406</v>
      </c>
      <c r="D215" s="406" t="s">
        <v>407</v>
      </c>
      <c r="E215" s="405" t="s">
        <v>528</v>
      </c>
      <c r="F215" s="406" t="s">
        <v>529</v>
      </c>
      <c r="G215" s="405" t="s">
        <v>956</v>
      </c>
      <c r="H215" s="405" t="s">
        <v>957</v>
      </c>
      <c r="I215" s="407">
        <v>989.78</v>
      </c>
      <c r="J215" s="407">
        <v>1</v>
      </c>
      <c r="K215" s="408">
        <v>989.78</v>
      </c>
    </row>
    <row r="216" spans="1:11" ht="14.4" customHeight="1" x14ac:dyDescent="0.3">
      <c r="A216" s="403" t="s">
        <v>398</v>
      </c>
      <c r="B216" s="404" t="s">
        <v>400</v>
      </c>
      <c r="C216" s="405" t="s">
        <v>406</v>
      </c>
      <c r="D216" s="406" t="s">
        <v>407</v>
      </c>
      <c r="E216" s="405" t="s">
        <v>528</v>
      </c>
      <c r="F216" s="406" t="s">
        <v>529</v>
      </c>
      <c r="G216" s="405" t="s">
        <v>958</v>
      </c>
      <c r="H216" s="405" t="s">
        <v>959</v>
      </c>
      <c r="I216" s="407">
        <v>2407.8450000000003</v>
      </c>
      <c r="J216" s="407">
        <v>3</v>
      </c>
      <c r="K216" s="408">
        <v>7207.97</v>
      </c>
    </row>
    <row r="217" spans="1:11" ht="14.4" customHeight="1" x14ac:dyDescent="0.3">
      <c r="A217" s="403" t="s">
        <v>398</v>
      </c>
      <c r="B217" s="404" t="s">
        <v>400</v>
      </c>
      <c r="C217" s="405" t="s">
        <v>406</v>
      </c>
      <c r="D217" s="406" t="s">
        <v>407</v>
      </c>
      <c r="E217" s="405" t="s">
        <v>528</v>
      </c>
      <c r="F217" s="406" t="s">
        <v>529</v>
      </c>
      <c r="G217" s="405" t="s">
        <v>960</v>
      </c>
      <c r="H217" s="405" t="s">
        <v>961</v>
      </c>
      <c r="I217" s="407">
        <v>304.3</v>
      </c>
      <c r="J217" s="407">
        <v>10</v>
      </c>
      <c r="K217" s="408">
        <v>3043</v>
      </c>
    </row>
    <row r="218" spans="1:11" ht="14.4" customHeight="1" x14ac:dyDescent="0.3">
      <c r="A218" s="403" t="s">
        <v>398</v>
      </c>
      <c r="B218" s="404" t="s">
        <v>400</v>
      </c>
      <c r="C218" s="405" t="s">
        <v>406</v>
      </c>
      <c r="D218" s="406" t="s">
        <v>407</v>
      </c>
      <c r="E218" s="405" t="s">
        <v>528</v>
      </c>
      <c r="F218" s="406" t="s">
        <v>529</v>
      </c>
      <c r="G218" s="405" t="s">
        <v>962</v>
      </c>
      <c r="H218" s="405" t="s">
        <v>963</v>
      </c>
      <c r="I218" s="407">
        <v>1301.6300000000001</v>
      </c>
      <c r="J218" s="407">
        <v>1</v>
      </c>
      <c r="K218" s="408">
        <v>1301.6300000000001</v>
      </c>
    </row>
    <row r="219" spans="1:11" ht="14.4" customHeight="1" x14ac:dyDescent="0.3">
      <c r="A219" s="403" t="s">
        <v>398</v>
      </c>
      <c r="B219" s="404" t="s">
        <v>400</v>
      </c>
      <c r="C219" s="405" t="s">
        <v>406</v>
      </c>
      <c r="D219" s="406" t="s">
        <v>407</v>
      </c>
      <c r="E219" s="405" t="s">
        <v>528</v>
      </c>
      <c r="F219" s="406" t="s">
        <v>529</v>
      </c>
      <c r="G219" s="405" t="s">
        <v>964</v>
      </c>
      <c r="H219" s="405" t="s">
        <v>965</v>
      </c>
      <c r="I219" s="407">
        <v>74.61</v>
      </c>
      <c r="J219" s="407">
        <v>6</v>
      </c>
      <c r="K219" s="408">
        <v>447.67</v>
      </c>
    </row>
    <row r="220" spans="1:11" ht="14.4" customHeight="1" x14ac:dyDescent="0.3">
      <c r="A220" s="403" t="s">
        <v>398</v>
      </c>
      <c r="B220" s="404" t="s">
        <v>400</v>
      </c>
      <c r="C220" s="405" t="s">
        <v>406</v>
      </c>
      <c r="D220" s="406" t="s">
        <v>407</v>
      </c>
      <c r="E220" s="405" t="s">
        <v>528</v>
      </c>
      <c r="F220" s="406" t="s">
        <v>529</v>
      </c>
      <c r="G220" s="405" t="s">
        <v>966</v>
      </c>
      <c r="H220" s="405" t="s">
        <v>967</v>
      </c>
      <c r="I220" s="407">
        <v>690.91</v>
      </c>
      <c r="J220" s="407">
        <v>1</v>
      </c>
      <c r="K220" s="408">
        <v>690.91</v>
      </c>
    </row>
    <row r="221" spans="1:11" ht="14.4" customHeight="1" x14ac:dyDescent="0.3">
      <c r="A221" s="403" t="s">
        <v>398</v>
      </c>
      <c r="B221" s="404" t="s">
        <v>400</v>
      </c>
      <c r="C221" s="405" t="s">
        <v>406</v>
      </c>
      <c r="D221" s="406" t="s">
        <v>407</v>
      </c>
      <c r="E221" s="405" t="s">
        <v>528</v>
      </c>
      <c r="F221" s="406" t="s">
        <v>529</v>
      </c>
      <c r="G221" s="405" t="s">
        <v>968</v>
      </c>
      <c r="H221" s="405" t="s">
        <v>969</v>
      </c>
      <c r="I221" s="407">
        <v>765.57</v>
      </c>
      <c r="J221" s="407">
        <v>2</v>
      </c>
      <c r="K221" s="408">
        <v>1531.14</v>
      </c>
    </row>
    <row r="222" spans="1:11" ht="14.4" customHeight="1" x14ac:dyDescent="0.3">
      <c r="A222" s="403" t="s">
        <v>398</v>
      </c>
      <c r="B222" s="404" t="s">
        <v>400</v>
      </c>
      <c r="C222" s="405" t="s">
        <v>406</v>
      </c>
      <c r="D222" s="406" t="s">
        <v>407</v>
      </c>
      <c r="E222" s="405" t="s">
        <v>528</v>
      </c>
      <c r="F222" s="406" t="s">
        <v>529</v>
      </c>
      <c r="G222" s="405" t="s">
        <v>970</v>
      </c>
      <c r="H222" s="405" t="s">
        <v>971</v>
      </c>
      <c r="I222" s="407">
        <v>249</v>
      </c>
      <c r="J222" s="407">
        <v>39</v>
      </c>
      <c r="K222" s="408">
        <v>9711</v>
      </c>
    </row>
    <row r="223" spans="1:11" ht="14.4" customHeight="1" x14ac:dyDescent="0.3">
      <c r="A223" s="403" t="s">
        <v>398</v>
      </c>
      <c r="B223" s="404" t="s">
        <v>400</v>
      </c>
      <c r="C223" s="405" t="s">
        <v>406</v>
      </c>
      <c r="D223" s="406" t="s">
        <v>407</v>
      </c>
      <c r="E223" s="405" t="s">
        <v>528</v>
      </c>
      <c r="F223" s="406" t="s">
        <v>529</v>
      </c>
      <c r="G223" s="405" t="s">
        <v>972</v>
      </c>
      <c r="H223" s="405" t="s">
        <v>973</v>
      </c>
      <c r="I223" s="407">
        <v>1128.82</v>
      </c>
      <c r="J223" s="407">
        <v>2</v>
      </c>
      <c r="K223" s="408">
        <v>2257.63</v>
      </c>
    </row>
    <row r="224" spans="1:11" ht="14.4" customHeight="1" x14ac:dyDescent="0.3">
      <c r="A224" s="403" t="s">
        <v>398</v>
      </c>
      <c r="B224" s="404" t="s">
        <v>400</v>
      </c>
      <c r="C224" s="405" t="s">
        <v>406</v>
      </c>
      <c r="D224" s="406" t="s">
        <v>407</v>
      </c>
      <c r="E224" s="405" t="s">
        <v>528</v>
      </c>
      <c r="F224" s="406" t="s">
        <v>529</v>
      </c>
      <c r="G224" s="405" t="s">
        <v>974</v>
      </c>
      <c r="H224" s="405" t="s">
        <v>975</v>
      </c>
      <c r="I224" s="407">
        <v>1330.99</v>
      </c>
      <c r="J224" s="407">
        <v>3</v>
      </c>
      <c r="K224" s="408">
        <v>3992.97</v>
      </c>
    </row>
    <row r="225" spans="1:11" ht="14.4" customHeight="1" x14ac:dyDescent="0.3">
      <c r="A225" s="403" t="s">
        <v>398</v>
      </c>
      <c r="B225" s="404" t="s">
        <v>400</v>
      </c>
      <c r="C225" s="405" t="s">
        <v>406</v>
      </c>
      <c r="D225" s="406" t="s">
        <v>407</v>
      </c>
      <c r="E225" s="405" t="s">
        <v>528</v>
      </c>
      <c r="F225" s="406" t="s">
        <v>529</v>
      </c>
      <c r="G225" s="405" t="s">
        <v>976</v>
      </c>
      <c r="H225" s="405" t="s">
        <v>977</v>
      </c>
      <c r="I225" s="407">
        <v>2194.9</v>
      </c>
      <c r="J225" s="407">
        <v>1</v>
      </c>
      <c r="K225" s="408">
        <v>2194.9</v>
      </c>
    </row>
    <row r="226" spans="1:11" ht="14.4" customHeight="1" x14ac:dyDescent="0.3">
      <c r="A226" s="403" t="s">
        <v>398</v>
      </c>
      <c r="B226" s="404" t="s">
        <v>400</v>
      </c>
      <c r="C226" s="405" t="s">
        <v>406</v>
      </c>
      <c r="D226" s="406" t="s">
        <v>407</v>
      </c>
      <c r="E226" s="405" t="s">
        <v>528</v>
      </c>
      <c r="F226" s="406" t="s">
        <v>529</v>
      </c>
      <c r="G226" s="405" t="s">
        <v>978</v>
      </c>
      <c r="H226" s="405" t="s">
        <v>979</v>
      </c>
      <c r="I226" s="407">
        <v>399.3</v>
      </c>
      <c r="J226" s="407">
        <v>1</v>
      </c>
      <c r="K226" s="408">
        <v>399.3</v>
      </c>
    </row>
    <row r="227" spans="1:11" ht="14.4" customHeight="1" x14ac:dyDescent="0.3">
      <c r="A227" s="403" t="s">
        <v>398</v>
      </c>
      <c r="B227" s="404" t="s">
        <v>400</v>
      </c>
      <c r="C227" s="405" t="s">
        <v>406</v>
      </c>
      <c r="D227" s="406" t="s">
        <v>407</v>
      </c>
      <c r="E227" s="405" t="s">
        <v>528</v>
      </c>
      <c r="F227" s="406" t="s">
        <v>529</v>
      </c>
      <c r="G227" s="405" t="s">
        <v>980</v>
      </c>
      <c r="H227" s="405" t="s">
        <v>981</v>
      </c>
      <c r="I227" s="407">
        <v>455.05</v>
      </c>
      <c r="J227" s="407">
        <v>2</v>
      </c>
      <c r="K227" s="408">
        <v>910.1</v>
      </c>
    </row>
    <row r="228" spans="1:11" ht="14.4" customHeight="1" x14ac:dyDescent="0.3">
      <c r="A228" s="403" t="s">
        <v>398</v>
      </c>
      <c r="B228" s="404" t="s">
        <v>400</v>
      </c>
      <c r="C228" s="405" t="s">
        <v>406</v>
      </c>
      <c r="D228" s="406" t="s">
        <v>407</v>
      </c>
      <c r="E228" s="405" t="s">
        <v>528</v>
      </c>
      <c r="F228" s="406" t="s">
        <v>529</v>
      </c>
      <c r="G228" s="405" t="s">
        <v>982</v>
      </c>
      <c r="H228" s="405" t="s">
        <v>983</v>
      </c>
      <c r="I228" s="407">
        <v>526.35</v>
      </c>
      <c r="J228" s="407">
        <v>2</v>
      </c>
      <c r="K228" s="408">
        <v>1052.7</v>
      </c>
    </row>
    <row r="229" spans="1:11" ht="14.4" customHeight="1" x14ac:dyDescent="0.3">
      <c r="A229" s="403" t="s">
        <v>398</v>
      </c>
      <c r="B229" s="404" t="s">
        <v>400</v>
      </c>
      <c r="C229" s="405" t="s">
        <v>406</v>
      </c>
      <c r="D229" s="406" t="s">
        <v>407</v>
      </c>
      <c r="E229" s="405" t="s">
        <v>528</v>
      </c>
      <c r="F229" s="406" t="s">
        <v>529</v>
      </c>
      <c r="G229" s="405" t="s">
        <v>984</v>
      </c>
      <c r="H229" s="405" t="s">
        <v>985</v>
      </c>
      <c r="I229" s="407">
        <v>974.05</v>
      </c>
      <c r="J229" s="407">
        <v>2</v>
      </c>
      <c r="K229" s="408">
        <v>1948.1</v>
      </c>
    </row>
    <row r="230" spans="1:11" ht="14.4" customHeight="1" x14ac:dyDescent="0.3">
      <c r="A230" s="403" t="s">
        <v>398</v>
      </c>
      <c r="B230" s="404" t="s">
        <v>400</v>
      </c>
      <c r="C230" s="405" t="s">
        <v>406</v>
      </c>
      <c r="D230" s="406" t="s">
        <v>407</v>
      </c>
      <c r="E230" s="405" t="s">
        <v>528</v>
      </c>
      <c r="F230" s="406" t="s">
        <v>529</v>
      </c>
      <c r="G230" s="405" t="s">
        <v>986</v>
      </c>
      <c r="H230" s="405" t="s">
        <v>987</v>
      </c>
      <c r="I230" s="407">
        <v>865.15</v>
      </c>
      <c r="J230" s="407">
        <v>1</v>
      </c>
      <c r="K230" s="408">
        <v>865.15</v>
      </c>
    </row>
    <row r="231" spans="1:11" ht="14.4" customHeight="1" x14ac:dyDescent="0.3">
      <c r="A231" s="403" t="s">
        <v>398</v>
      </c>
      <c r="B231" s="404" t="s">
        <v>400</v>
      </c>
      <c r="C231" s="405" t="s">
        <v>406</v>
      </c>
      <c r="D231" s="406" t="s">
        <v>407</v>
      </c>
      <c r="E231" s="405" t="s">
        <v>528</v>
      </c>
      <c r="F231" s="406" t="s">
        <v>529</v>
      </c>
      <c r="G231" s="405" t="s">
        <v>988</v>
      </c>
      <c r="H231" s="405" t="s">
        <v>989</v>
      </c>
      <c r="I231" s="407">
        <v>548.4</v>
      </c>
      <c r="J231" s="407">
        <v>2</v>
      </c>
      <c r="K231" s="408">
        <v>1096.8</v>
      </c>
    </row>
    <row r="232" spans="1:11" ht="14.4" customHeight="1" x14ac:dyDescent="0.3">
      <c r="A232" s="403" t="s">
        <v>398</v>
      </c>
      <c r="B232" s="404" t="s">
        <v>400</v>
      </c>
      <c r="C232" s="405" t="s">
        <v>406</v>
      </c>
      <c r="D232" s="406" t="s">
        <v>407</v>
      </c>
      <c r="E232" s="405" t="s">
        <v>528</v>
      </c>
      <c r="F232" s="406" t="s">
        <v>529</v>
      </c>
      <c r="G232" s="405" t="s">
        <v>990</v>
      </c>
      <c r="H232" s="405" t="s">
        <v>991</v>
      </c>
      <c r="I232" s="407">
        <v>14.32</v>
      </c>
      <c r="J232" s="407">
        <v>24</v>
      </c>
      <c r="K232" s="408">
        <v>343.6</v>
      </c>
    </row>
    <row r="233" spans="1:11" ht="14.4" customHeight="1" x14ac:dyDescent="0.3">
      <c r="A233" s="403" t="s">
        <v>398</v>
      </c>
      <c r="B233" s="404" t="s">
        <v>400</v>
      </c>
      <c r="C233" s="405" t="s">
        <v>406</v>
      </c>
      <c r="D233" s="406" t="s">
        <v>407</v>
      </c>
      <c r="E233" s="405" t="s">
        <v>528</v>
      </c>
      <c r="F233" s="406" t="s">
        <v>529</v>
      </c>
      <c r="G233" s="405" t="s">
        <v>992</v>
      </c>
      <c r="H233" s="405" t="s">
        <v>993</v>
      </c>
      <c r="I233" s="407">
        <v>37.51</v>
      </c>
      <c r="J233" s="407">
        <v>12</v>
      </c>
      <c r="K233" s="408">
        <v>450.12</v>
      </c>
    </row>
    <row r="234" spans="1:11" ht="14.4" customHeight="1" x14ac:dyDescent="0.3">
      <c r="A234" s="403" t="s">
        <v>398</v>
      </c>
      <c r="B234" s="404" t="s">
        <v>400</v>
      </c>
      <c r="C234" s="405" t="s">
        <v>406</v>
      </c>
      <c r="D234" s="406" t="s">
        <v>407</v>
      </c>
      <c r="E234" s="405" t="s">
        <v>528</v>
      </c>
      <c r="F234" s="406" t="s">
        <v>529</v>
      </c>
      <c r="G234" s="405" t="s">
        <v>994</v>
      </c>
      <c r="H234" s="405" t="s">
        <v>995</v>
      </c>
      <c r="I234" s="407">
        <v>2495.85</v>
      </c>
      <c r="J234" s="407">
        <v>1</v>
      </c>
      <c r="K234" s="408">
        <v>2495.85</v>
      </c>
    </row>
    <row r="235" spans="1:11" ht="14.4" customHeight="1" x14ac:dyDescent="0.3">
      <c r="A235" s="403" t="s">
        <v>398</v>
      </c>
      <c r="B235" s="404" t="s">
        <v>400</v>
      </c>
      <c r="C235" s="405" t="s">
        <v>406</v>
      </c>
      <c r="D235" s="406" t="s">
        <v>407</v>
      </c>
      <c r="E235" s="405" t="s">
        <v>528</v>
      </c>
      <c r="F235" s="406" t="s">
        <v>529</v>
      </c>
      <c r="G235" s="405" t="s">
        <v>996</v>
      </c>
      <c r="H235" s="405" t="s">
        <v>997</v>
      </c>
      <c r="I235" s="407">
        <v>196.64</v>
      </c>
      <c r="J235" s="407">
        <v>3</v>
      </c>
      <c r="K235" s="408">
        <v>589.92999999999995</v>
      </c>
    </row>
    <row r="236" spans="1:11" ht="14.4" customHeight="1" x14ac:dyDescent="0.3">
      <c r="A236" s="403" t="s">
        <v>398</v>
      </c>
      <c r="B236" s="404" t="s">
        <v>400</v>
      </c>
      <c r="C236" s="405" t="s">
        <v>406</v>
      </c>
      <c r="D236" s="406" t="s">
        <v>407</v>
      </c>
      <c r="E236" s="405" t="s">
        <v>528</v>
      </c>
      <c r="F236" s="406" t="s">
        <v>529</v>
      </c>
      <c r="G236" s="405" t="s">
        <v>998</v>
      </c>
      <c r="H236" s="405" t="s">
        <v>999</v>
      </c>
      <c r="I236" s="407">
        <v>1329.79</v>
      </c>
      <c r="J236" s="407">
        <v>1</v>
      </c>
      <c r="K236" s="408">
        <v>1329.79</v>
      </c>
    </row>
    <row r="237" spans="1:11" ht="14.4" customHeight="1" x14ac:dyDescent="0.3">
      <c r="A237" s="403" t="s">
        <v>398</v>
      </c>
      <c r="B237" s="404" t="s">
        <v>400</v>
      </c>
      <c r="C237" s="405" t="s">
        <v>406</v>
      </c>
      <c r="D237" s="406" t="s">
        <v>407</v>
      </c>
      <c r="E237" s="405" t="s">
        <v>528</v>
      </c>
      <c r="F237" s="406" t="s">
        <v>529</v>
      </c>
      <c r="G237" s="405" t="s">
        <v>1000</v>
      </c>
      <c r="H237" s="405" t="s">
        <v>1001</v>
      </c>
      <c r="I237" s="407">
        <v>199.09</v>
      </c>
      <c r="J237" s="407">
        <v>4</v>
      </c>
      <c r="K237" s="408">
        <v>796.36</v>
      </c>
    </row>
    <row r="238" spans="1:11" ht="14.4" customHeight="1" x14ac:dyDescent="0.3">
      <c r="A238" s="403" t="s">
        <v>398</v>
      </c>
      <c r="B238" s="404" t="s">
        <v>400</v>
      </c>
      <c r="C238" s="405" t="s">
        <v>406</v>
      </c>
      <c r="D238" s="406" t="s">
        <v>407</v>
      </c>
      <c r="E238" s="405" t="s">
        <v>528</v>
      </c>
      <c r="F238" s="406" t="s">
        <v>529</v>
      </c>
      <c r="G238" s="405" t="s">
        <v>1002</v>
      </c>
      <c r="H238" s="405" t="s">
        <v>1003</v>
      </c>
      <c r="I238" s="407">
        <v>994.62</v>
      </c>
      <c r="J238" s="407">
        <v>1</v>
      </c>
      <c r="K238" s="408">
        <v>994.62</v>
      </c>
    </row>
    <row r="239" spans="1:11" ht="14.4" customHeight="1" x14ac:dyDescent="0.3">
      <c r="A239" s="403" t="s">
        <v>398</v>
      </c>
      <c r="B239" s="404" t="s">
        <v>400</v>
      </c>
      <c r="C239" s="405" t="s">
        <v>406</v>
      </c>
      <c r="D239" s="406" t="s">
        <v>407</v>
      </c>
      <c r="E239" s="405" t="s">
        <v>528</v>
      </c>
      <c r="F239" s="406" t="s">
        <v>529</v>
      </c>
      <c r="G239" s="405" t="s">
        <v>1004</v>
      </c>
      <c r="H239" s="405" t="s">
        <v>1005</v>
      </c>
      <c r="I239" s="407">
        <v>281.93</v>
      </c>
      <c r="J239" s="407">
        <v>1</v>
      </c>
      <c r="K239" s="408">
        <v>281.93</v>
      </c>
    </row>
    <row r="240" spans="1:11" ht="14.4" customHeight="1" x14ac:dyDescent="0.3">
      <c r="A240" s="403" t="s">
        <v>398</v>
      </c>
      <c r="B240" s="404" t="s">
        <v>400</v>
      </c>
      <c r="C240" s="405" t="s">
        <v>406</v>
      </c>
      <c r="D240" s="406" t="s">
        <v>407</v>
      </c>
      <c r="E240" s="405" t="s">
        <v>528</v>
      </c>
      <c r="F240" s="406" t="s">
        <v>529</v>
      </c>
      <c r="G240" s="405" t="s">
        <v>1006</v>
      </c>
      <c r="H240" s="405" t="s">
        <v>1007</v>
      </c>
      <c r="I240" s="407">
        <v>562.64</v>
      </c>
      <c r="J240" s="407">
        <v>5</v>
      </c>
      <c r="K240" s="408">
        <v>2813.19</v>
      </c>
    </row>
    <row r="241" spans="1:11" ht="14.4" customHeight="1" x14ac:dyDescent="0.3">
      <c r="A241" s="403" t="s">
        <v>398</v>
      </c>
      <c r="B241" s="404" t="s">
        <v>400</v>
      </c>
      <c r="C241" s="405" t="s">
        <v>406</v>
      </c>
      <c r="D241" s="406" t="s">
        <v>407</v>
      </c>
      <c r="E241" s="405" t="s">
        <v>528</v>
      </c>
      <c r="F241" s="406" t="s">
        <v>529</v>
      </c>
      <c r="G241" s="405" t="s">
        <v>1008</v>
      </c>
      <c r="H241" s="405" t="s">
        <v>1009</v>
      </c>
      <c r="I241" s="407">
        <v>1.28</v>
      </c>
      <c r="J241" s="407">
        <v>500</v>
      </c>
      <c r="K241" s="408">
        <v>639.35</v>
      </c>
    </row>
    <row r="242" spans="1:11" ht="14.4" customHeight="1" x14ac:dyDescent="0.3">
      <c r="A242" s="403" t="s">
        <v>398</v>
      </c>
      <c r="B242" s="404" t="s">
        <v>400</v>
      </c>
      <c r="C242" s="405" t="s">
        <v>406</v>
      </c>
      <c r="D242" s="406" t="s">
        <v>407</v>
      </c>
      <c r="E242" s="405" t="s">
        <v>528</v>
      </c>
      <c r="F242" s="406" t="s">
        <v>529</v>
      </c>
      <c r="G242" s="405" t="s">
        <v>1010</v>
      </c>
      <c r="H242" s="405" t="s">
        <v>1011</v>
      </c>
      <c r="I242" s="407">
        <v>756.7</v>
      </c>
      <c r="J242" s="407">
        <v>2</v>
      </c>
      <c r="K242" s="408">
        <v>1513.4</v>
      </c>
    </row>
    <row r="243" spans="1:11" ht="14.4" customHeight="1" x14ac:dyDescent="0.3">
      <c r="A243" s="403" t="s">
        <v>398</v>
      </c>
      <c r="B243" s="404" t="s">
        <v>400</v>
      </c>
      <c r="C243" s="405" t="s">
        <v>406</v>
      </c>
      <c r="D243" s="406" t="s">
        <v>407</v>
      </c>
      <c r="E243" s="405" t="s">
        <v>528</v>
      </c>
      <c r="F243" s="406" t="s">
        <v>529</v>
      </c>
      <c r="G243" s="405" t="s">
        <v>1012</v>
      </c>
      <c r="H243" s="405" t="s">
        <v>1013</v>
      </c>
      <c r="I243" s="407">
        <v>6.8499999999999988</v>
      </c>
      <c r="J243" s="407">
        <v>180</v>
      </c>
      <c r="K243" s="408">
        <v>1233</v>
      </c>
    </row>
    <row r="244" spans="1:11" ht="14.4" customHeight="1" x14ac:dyDescent="0.3">
      <c r="A244" s="403" t="s">
        <v>398</v>
      </c>
      <c r="B244" s="404" t="s">
        <v>400</v>
      </c>
      <c r="C244" s="405" t="s">
        <v>406</v>
      </c>
      <c r="D244" s="406" t="s">
        <v>407</v>
      </c>
      <c r="E244" s="405" t="s">
        <v>528</v>
      </c>
      <c r="F244" s="406" t="s">
        <v>529</v>
      </c>
      <c r="G244" s="405" t="s">
        <v>1014</v>
      </c>
      <c r="H244" s="405" t="s">
        <v>1015</v>
      </c>
      <c r="I244" s="407">
        <v>761.88</v>
      </c>
      <c r="J244" s="407">
        <v>1</v>
      </c>
      <c r="K244" s="408">
        <v>761.88</v>
      </c>
    </row>
    <row r="245" spans="1:11" ht="14.4" customHeight="1" x14ac:dyDescent="0.3">
      <c r="A245" s="403" t="s">
        <v>398</v>
      </c>
      <c r="B245" s="404" t="s">
        <v>400</v>
      </c>
      <c r="C245" s="405" t="s">
        <v>406</v>
      </c>
      <c r="D245" s="406" t="s">
        <v>407</v>
      </c>
      <c r="E245" s="405" t="s">
        <v>528</v>
      </c>
      <c r="F245" s="406" t="s">
        <v>529</v>
      </c>
      <c r="G245" s="405" t="s">
        <v>1016</v>
      </c>
      <c r="H245" s="405" t="s">
        <v>1017</v>
      </c>
      <c r="I245" s="407">
        <v>20</v>
      </c>
      <c r="J245" s="407">
        <v>50</v>
      </c>
      <c r="K245" s="408">
        <v>1000</v>
      </c>
    </row>
    <row r="246" spans="1:11" ht="14.4" customHeight="1" x14ac:dyDescent="0.3">
      <c r="A246" s="403" t="s">
        <v>398</v>
      </c>
      <c r="B246" s="404" t="s">
        <v>400</v>
      </c>
      <c r="C246" s="405" t="s">
        <v>406</v>
      </c>
      <c r="D246" s="406" t="s">
        <v>407</v>
      </c>
      <c r="E246" s="405" t="s">
        <v>528</v>
      </c>
      <c r="F246" s="406" t="s">
        <v>529</v>
      </c>
      <c r="G246" s="405" t="s">
        <v>1018</v>
      </c>
      <c r="H246" s="405" t="s">
        <v>1019</v>
      </c>
      <c r="I246" s="407">
        <v>2.38</v>
      </c>
      <c r="J246" s="407">
        <v>100</v>
      </c>
      <c r="K246" s="408">
        <v>238.37</v>
      </c>
    </row>
    <row r="247" spans="1:11" ht="14.4" customHeight="1" x14ac:dyDescent="0.3">
      <c r="A247" s="403" t="s">
        <v>398</v>
      </c>
      <c r="B247" s="404" t="s">
        <v>400</v>
      </c>
      <c r="C247" s="405" t="s">
        <v>406</v>
      </c>
      <c r="D247" s="406" t="s">
        <v>407</v>
      </c>
      <c r="E247" s="405" t="s">
        <v>528</v>
      </c>
      <c r="F247" s="406" t="s">
        <v>529</v>
      </c>
      <c r="G247" s="405" t="s">
        <v>1020</v>
      </c>
      <c r="H247" s="405" t="s">
        <v>1021</v>
      </c>
      <c r="I247" s="407">
        <v>6785</v>
      </c>
      <c r="J247" s="407">
        <v>1</v>
      </c>
      <c r="K247" s="408">
        <v>6785</v>
      </c>
    </row>
    <row r="248" spans="1:11" ht="14.4" customHeight="1" x14ac:dyDescent="0.3">
      <c r="A248" s="403" t="s">
        <v>398</v>
      </c>
      <c r="B248" s="404" t="s">
        <v>400</v>
      </c>
      <c r="C248" s="405" t="s">
        <v>406</v>
      </c>
      <c r="D248" s="406" t="s">
        <v>407</v>
      </c>
      <c r="E248" s="405" t="s">
        <v>528</v>
      </c>
      <c r="F248" s="406" t="s">
        <v>529</v>
      </c>
      <c r="G248" s="405" t="s">
        <v>1022</v>
      </c>
      <c r="H248" s="405" t="s">
        <v>1023</v>
      </c>
      <c r="I248" s="407">
        <v>894.19</v>
      </c>
      <c r="J248" s="407">
        <v>1</v>
      </c>
      <c r="K248" s="408">
        <v>894.19</v>
      </c>
    </row>
    <row r="249" spans="1:11" ht="14.4" customHeight="1" x14ac:dyDescent="0.3">
      <c r="A249" s="403" t="s">
        <v>398</v>
      </c>
      <c r="B249" s="404" t="s">
        <v>400</v>
      </c>
      <c r="C249" s="405" t="s">
        <v>406</v>
      </c>
      <c r="D249" s="406" t="s">
        <v>407</v>
      </c>
      <c r="E249" s="405" t="s">
        <v>528</v>
      </c>
      <c r="F249" s="406" t="s">
        <v>529</v>
      </c>
      <c r="G249" s="405" t="s">
        <v>1024</v>
      </c>
      <c r="H249" s="405" t="s">
        <v>1025</v>
      </c>
      <c r="I249" s="407">
        <v>843.37</v>
      </c>
      <c r="J249" s="407">
        <v>1</v>
      </c>
      <c r="K249" s="408">
        <v>843.37</v>
      </c>
    </row>
    <row r="250" spans="1:11" ht="14.4" customHeight="1" x14ac:dyDescent="0.3">
      <c r="A250" s="403" t="s">
        <v>398</v>
      </c>
      <c r="B250" s="404" t="s">
        <v>400</v>
      </c>
      <c r="C250" s="405" t="s">
        <v>406</v>
      </c>
      <c r="D250" s="406" t="s">
        <v>407</v>
      </c>
      <c r="E250" s="405" t="s">
        <v>528</v>
      </c>
      <c r="F250" s="406" t="s">
        <v>529</v>
      </c>
      <c r="G250" s="405" t="s">
        <v>1026</v>
      </c>
      <c r="H250" s="405" t="s">
        <v>1027</v>
      </c>
      <c r="I250" s="407">
        <v>454.02</v>
      </c>
      <c r="J250" s="407">
        <v>1</v>
      </c>
      <c r="K250" s="408">
        <v>454.02</v>
      </c>
    </row>
    <row r="251" spans="1:11" ht="14.4" customHeight="1" x14ac:dyDescent="0.3">
      <c r="A251" s="403" t="s">
        <v>398</v>
      </c>
      <c r="B251" s="404" t="s">
        <v>400</v>
      </c>
      <c r="C251" s="405" t="s">
        <v>406</v>
      </c>
      <c r="D251" s="406" t="s">
        <v>407</v>
      </c>
      <c r="E251" s="405" t="s">
        <v>528</v>
      </c>
      <c r="F251" s="406" t="s">
        <v>529</v>
      </c>
      <c r="G251" s="405" t="s">
        <v>1028</v>
      </c>
      <c r="H251" s="405" t="s">
        <v>1029</v>
      </c>
      <c r="I251" s="407">
        <v>865.15</v>
      </c>
      <c r="J251" s="407">
        <v>1</v>
      </c>
      <c r="K251" s="408">
        <v>865.15</v>
      </c>
    </row>
    <row r="252" spans="1:11" ht="14.4" customHeight="1" x14ac:dyDescent="0.3">
      <c r="A252" s="403" t="s">
        <v>398</v>
      </c>
      <c r="B252" s="404" t="s">
        <v>400</v>
      </c>
      <c r="C252" s="405" t="s">
        <v>406</v>
      </c>
      <c r="D252" s="406" t="s">
        <v>407</v>
      </c>
      <c r="E252" s="405" t="s">
        <v>528</v>
      </c>
      <c r="F252" s="406" t="s">
        <v>529</v>
      </c>
      <c r="G252" s="405" t="s">
        <v>1030</v>
      </c>
      <c r="H252" s="405" t="s">
        <v>1031</v>
      </c>
      <c r="I252" s="407">
        <v>74.61</v>
      </c>
      <c r="J252" s="407">
        <v>6</v>
      </c>
      <c r="K252" s="408">
        <v>447.67</v>
      </c>
    </row>
    <row r="253" spans="1:11" ht="14.4" customHeight="1" x14ac:dyDescent="0.3">
      <c r="A253" s="403" t="s">
        <v>398</v>
      </c>
      <c r="B253" s="404" t="s">
        <v>400</v>
      </c>
      <c r="C253" s="405" t="s">
        <v>406</v>
      </c>
      <c r="D253" s="406" t="s">
        <v>407</v>
      </c>
      <c r="E253" s="405" t="s">
        <v>528</v>
      </c>
      <c r="F253" s="406" t="s">
        <v>529</v>
      </c>
      <c r="G253" s="405" t="s">
        <v>1032</v>
      </c>
      <c r="H253" s="405" t="s">
        <v>1033</v>
      </c>
      <c r="I253" s="407">
        <v>1822</v>
      </c>
      <c r="J253" s="407">
        <v>1</v>
      </c>
      <c r="K253" s="408">
        <v>1822</v>
      </c>
    </row>
    <row r="254" spans="1:11" ht="14.4" customHeight="1" x14ac:dyDescent="0.3">
      <c r="A254" s="403" t="s">
        <v>398</v>
      </c>
      <c r="B254" s="404" t="s">
        <v>400</v>
      </c>
      <c r="C254" s="405" t="s">
        <v>406</v>
      </c>
      <c r="D254" s="406" t="s">
        <v>407</v>
      </c>
      <c r="E254" s="405" t="s">
        <v>528</v>
      </c>
      <c r="F254" s="406" t="s">
        <v>529</v>
      </c>
      <c r="G254" s="405" t="s">
        <v>1034</v>
      </c>
      <c r="H254" s="405" t="s">
        <v>1035</v>
      </c>
      <c r="I254" s="407">
        <v>5.0999999999999996</v>
      </c>
      <c r="J254" s="407">
        <v>60</v>
      </c>
      <c r="K254" s="408">
        <v>305.89</v>
      </c>
    </row>
    <row r="255" spans="1:11" ht="14.4" customHeight="1" x14ac:dyDescent="0.3">
      <c r="A255" s="403" t="s">
        <v>398</v>
      </c>
      <c r="B255" s="404" t="s">
        <v>400</v>
      </c>
      <c r="C255" s="405" t="s">
        <v>406</v>
      </c>
      <c r="D255" s="406" t="s">
        <v>407</v>
      </c>
      <c r="E255" s="405" t="s">
        <v>528</v>
      </c>
      <c r="F255" s="406" t="s">
        <v>529</v>
      </c>
      <c r="G255" s="405" t="s">
        <v>1036</v>
      </c>
      <c r="H255" s="405" t="s">
        <v>1037</v>
      </c>
      <c r="I255" s="407">
        <v>526.16999999999996</v>
      </c>
      <c r="J255" s="407">
        <v>5</v>
      </c>
      <c r="K255" s="408">
        <v>2630.85</v>
      </c>
    </row>
    <row r="256" spans="1:11" ht="14.4" customHeight="1" x14ac:dyDescent="0.3">
      <c r="A256" s="403" t="s">
        <v>398</v>
      </c>
      <c r="B256" s="404" t="s">
        <v>400</v>
      </c>
      <c r="C256" s="405" t="s">
        <v>406</v>
      </c>
      <c r="D256" s="406" t="s">
        <v>407</v>
      </c>
      <c r="E256" s="405" t="s">
        <v>528</v>
      </c>
      <c r="F256" s="406" t="s">
        <v>529</v>
      </c>
      <c r="G256" s="405" t="s">
        <v>1038</v>
      </c>
      <c r="H256" s="405" t="s">
        <v>1039</v>
      </c>
      <c r="I256" s="407">
        <v>3.87</v>
      </c>
      <c r="J256" s="407">
        <v>180</v>
      </c>
      <c r="K256" s="408">
        <v>696</v>
      </c>
    </row>
    <row r="257" spans="1:11" ht="14.4" customHeight="1" x14ac:dyDescent="0.3">
      <c r="A257" s="403" t="s">
        <v>398</v>
      </c>
      <c r="B257" s="404" t="s">
        <v>400</v>
      </c>
      <c r="C257" s="405" t="s">
        <v>406</v>
      </c>
      <c r="D257" s="406" t="s">
        <v>407</v>
      </c>
      <c r="E257" s="405" t="s">
        <v>528</v>
      </c>
      <c r="F257" s="406" t="s">
        <v>529</v>
      </c>
      <c r="G257" s="405" t="s">
        <v>1040</v>
      </c>
      <c r="H257" s="405" t="s">
        <v>1041</v>
      </c>
      <c r="I257" s="407">
        <v>107.69</v>
      </c>
      <c r="J257" s="407">
        <v>10</v>
      </c>
      <c r="K257" s="408">
        <v>1076.9000000000001</v>
      </c>
    </row>
    <row r="258" spans="1:11" ht="14.4" customHeight="1" x14ac:dyDescent="0.3">
      <c r="A258" s="403" t="s">
        <v>398</v>
      </c>
      <c r="B258" s="404" t="s">
        <v>400</v>
      </c>
      <c r="C258" s="405" t="s">
        <v>406</v>
      </c>
      <c r="D258" s="406" t="s">
        <v>407</v>
      </c>
      <c r="E258" s="405" t="s">
        <v>528</v>
      </c>
      <c r="F258" s="406" t="s">
        <v>529</v>
      </c>
      <c r="G258" s="405" t="s">
        <v>1042</v>
      </c>
      <c r="H258" s="405" t="s">
        <v>1043</v>
      </c>
      <c r="I258" s="407">
        <v>141.55000000000001</v>
      </c>
      <c r="J258" s="407">
        <v>10</v>
      </c>
      <c r="K258" s="408">
        <v>1415.54</v>
      </c>
    </row>
    <row r="259" spans="1:11" ht="14.4" customHeight="1" x14ac:dyDescent="0.3">
      <c r="A259" s="403" t="s">
        <v>398</v>
      </c>
      <c r="B259" s="404" t="s">
        <v>400</v>
      </c>
      <c r="C259" s="405" t="s">
        <v>406</v>
      </c>
      <c r="D259" s="406" t="s">
        <v>407</v>
      </c>
      <c r="E259" s="405" t="s">
        <v>528</v>
      </c>
      <c r="F259" s="406" t="s">
        <v>529</v>
      </c>
      <c r="G259" s="405" t="s">
        <v>1044</v>
      </c>
      <c r="H259" s="405" t="s">
        <v>1045</v>
      </c>
      <c r="I259" s="407">
        <v>1102.31</v>
      </c>
      <c r="J259" s="407">
        <v>1</v>
      </c>
      <c r="K259" s="408">
        <v>1102.31</v>
      </c>
    </row>
    <row r="260" spans="1:11" ht="14.4" customHeight="1" x14ac:dyDescent="0.3">
      <c r="A260" s="403" t="s">
        <v>398</v>
      </c>
      <c r="B260" s="404" t="s">
        <v>400</v>
      </c>
      <c r="C260" s="405" t="s">
        <v>406</v>
      </c>
      <c r="D260" s="406" t="s">
        <v>407</v>
      </c>
      <c r="E260" s="405" t="s">
        <v>528</v>
      </c>
      <c r="F260" s="406" t="s">
        <v>529</v>
      </c>
      <c r="G260" s="405" t="s">
        <v>1046</v>
      </c>
      <c r="H260" s="405" t="s">
        <v>1047</v>
      </c>
      <c r="I260" s="407">
        <v>37.51</v>
      </c>
      <c r="J260" s="407">
        <v>12</v>
      </c>
      <c r="K260" s="408">
        <v>450.12</v>
      </c>
    </row>
    <row r="261" spans="1:11" ht="14.4" customHeight="1" x14ac:dyDescent="0.3">
      <c r="A261" s="403" t="s">
        <v>398</v>
      </c>
      <c r="B261" s="404" t="s">
        <v>400</v>
      </c>
      <c r="C261" s="405" t="s">
        <v>406</v>
      </c>
      <c r="D261" s="406" t="s">
        <v>407</v>
      </c>
      <c r="E261" s="405" t="s">
        <v>528</v>
      </c>
      <c r="F261" s="406" t="s">
        <v>529</v>
      </c>
      <c r="G261" s="405" t="s">
        <v>1048</v>
      </c>
      <c r="H261" s="405" t="s">
        <v>1049</v>
      </c>
      <c r="I261" s="407">
        <v>843.37</v>
      </c>
      <c r="J261" s="407">
        <v>1</v>
      </c>
      <c r="K261" s="408">
        <v>843.37</v>
      </c>
    </row>
    <row r="262" spans="1:11" ht="14.4" customHeight="1" x14ac:dyDescent="0.3">
      <c r="A262" s="403" t="s">
        <v>398</v>
      </c>
      <c r="B262" s="404" t="s">
        <v>400</v>
      </c>
      <c r="C262" s="405" t="s">
        <v>406</v>
      </c>
      <c r="D262" s="406" t="s">
        <v>407</v>
      </c>
      <c r="E262" s="405" t="s">
        <v>528</v>
      </c>
      <c r="F262" s="406" t="s">
        <v>529</v>
      </c>
      <c r="G262" s="405" t="s">
        <v>1050</v>
      </c>
      <c r="H262" s="405" t="s">
        <v>1051</v>
      </c>
      <c r="I262" s="407">
        <v>5.0999999999999996</v>
      </c>
      <c r="J262" s="407">
        <v>30</v>
      </c>
      <c r="K262" s="408">
        <v>152.96</v>
      </c>
    </row>
    <row r="263" spans="1:11" ht="14.4" customHeight="1" x14ac:dyDescent="0.3">
      <c r="A263" s="403" t="s">
        <v>398</v>
      </c>
      <c r="B263" s="404" t="s">
        <v>400</v>
      </c>
      <c r="C263" s="405" t="s">
        <v>406</v>
      </c>
      <c r="D263" s="406" t="s">
        <v>407</v>
      </c>
      <c r="E263" s="405" t="s">
        <v>528</v>
      </c>
      <c r="F263" s="406" t="s">
        <v>529</v>
      </c>
      <c r="G263" s="405" t="s">
        <v>1052</v>
      </c>
      <c r="H263" s="405" t="s">
        <v>1053</v>
      </c>
      <c r="I263" s="407">
        <v>600.16</v>
      </c>
      <c r="J263" s="407">
        <v>1</v>
      </c>
      <c r="K263" s="408">
        <v>600.16</v>
      </c>
    </row>
    <row r="264" spans="1:11" ht="14.4" customHeight="1" x14ac:dyDescent="0.3">
      <c r="A264" s="403" t="s">
        <v>398</v>
      </c>
      <c r="B264" s="404" t="s">
        <v>400</v>
      </c>
      <c r="C264" s="405" t="s">
        <v>406</v>
      </c>
      <c r="D264" s="406" t="s">
        <v>407</v>
      </c>
      <c r="E264" s="405" t="s">
        <v>528</v>
      </c>
      <c r="F264" s="406" t="s">
        <v>529</v>
      </c>
      <c r="G264" s="405" t="s">
        <v>1054</v>
      </c>
      <c r="H264" s="405" t="s">
        <v>1055</v>
      </c>
      <c r="I264" s="407">
        <v>83.13</v>
      </c>
      <c r="J264" s="407">
        <v>25</v>
      </c>
      <c r="K264" s="408">
        <v>2078.3000000000002</v>
      </c>
    </row>
    <row r="265" spans="1:11" ht="14.4" customHeight="1" x14ac:dyDescent="0.3">
      <c r="A265" s="403" t="s">
        <v>398</v>
      </c>
      <c r="B265" s="404" t="s">
        <v>400</v>
      </c>
      <c r="C265" s="405" t="s">
        <v>406</v>
      </c>
      <c r="D265" s="406" t="s">
        <v>407</v>
      </c>
      <c r="E265" s="405" t="s">
        <v>528</v>
      </c>
      <c r="F265" s="406" t="s">
        <v>529</v>
      </c>
      <c r="G265" s="405" t="s">
        <v>1056</v>
      </c>
      <c r="H265" s="405" t="s">
        <v>1057</v>
      </c>
      <c r="I265" s="407">
        <v>615.89</v>
      </c>
      <c r="J265" s="407">
        <v>1</v>
      </c>
      <c r="K265" s="408">
        <v>615.89</v>
      </c>
    </row>
    <row r="266" spans="1:11" ht="14.4" customHeight="1" x14ac:dyDescent="0.3">
      <c r="A266" s="403" t="s">
        <v>398</v>
      </c>
      <c r="B266" s="404" t="s">
        <v>400</v>
      </c>
      <c r="C266" s="405" t="s">
        <v>406</v>
      </c>
      <c r="D266" s="406" t="s">
        <v>407</v>
      </c>
      <c r="E266" s="405" t="s">
        <v>528</v>
      </c>
      <c r="F266" s="406" t="s">
        <v>529</v>
      </c>
      <c r="G266" s="405" t="s">
        <v>1058</v>
      </c>
      <c r="H266" s="405" t="s">
        <v>1059</v>
      </c>
      <c r="I266" s="407">
        <v>1681.9</v>
      </c>
      <c r="J266" s="407">
        <v>1</v>
      </c>
      <c r="K266" s="408">
        <v>1681.9</v>
      </c>
    </row>
    <row r="267" spans="1:11" ht="14.4" customHeight="1" x14ac:dyDescent="0.3">
      <c r="A267" s="403" t="s">
        <v>398</v>
      </c>
      <c r="B267" s="404" t="s">
        <v>400</v>
      </c>
      <c r="C267" s="405" t="s">
        <v>406</v>
      </c>
      <c r="D267" s="406" t="s">
        <v>407</v>
      </c>
      <c r="E267" s="405" t="s">
        <v>528</v>
      </c>
      <c r="F267" s="406" t="s">
        <v>529</v>
      </c>
      <c r="G267" s="405" t="s">
        <v>1060</v>
      </c>
      <c r="H267" s="405" t="s">
        <v>1061</v>
      </c>
      <c r="I267" s="407">
        <v>6785</v>
      </c>
      <c r="J267" s="407">
        <v>1</v>
      </c>
      <c r="K267" s="408">
        <v>6785</v>
      </c>
    </row>
    <row r="268" spans="1:11" ht="14.4" customHeight="1" x14ac:dyDescent="0.3">
      <c r="A268" s="403" t="s">
        <v>398</v>
      </c>
      <c r="B268" s="404" t="s">
        <v>400</v>
      </c>
      <c r="C268" s="405" t="s">
        <v>406</v>
      </c>
      <c r="D268" s="406" t="s">
        <v>407</v>
      </c>
      <c r="E268" s="405" t="s">
        <v>528</v>
      </c>
      <c r="F268" s="406" t="s">
        <v>529</v>
      </c>
      <c r="G268" s="405" t="s">
        <v>1062</v>
      </c>
      <c r="H268" s="405" t="s">
        <v>1063</v>
      </c>
      <c r="I268" s="407">
        <v>188</v>
      </c>
      <c r="J268" s="407">
        <v>83</v>
      </c>
      <c r="K268" s="408">
        <v>16954.009999999998</v>
      </c>
    </row>
    <row r="269" spans="1:11" ht="14.4" customHeight="1" x14ac:dyDescent="0.3">
      <c r="A269" s="403" t="s">
        <v>398</v>
      </c>
      <c r="B269" s="404" t="s">
        <v>400</v>
      </c>
      <c r="C269" s="405" t="s">
        <v>406</v>
      </c>
      <c r="D269" s="406" t="s">
        <v>407</v>
      </c>
      <c r="E269" s="405" t="s">
        <v>528</v>
      </c>
      <c r="F269" s="406" t="s">
        <v>529</v>
      </c>
      <c r="G269" s="405" t="s">
        <v>1064</v>
      </c>
      <c r="H269" s="405" t="s">
        <v>1065</v>
      </c>
      <c r="I269" s="407">
        <v>526.13</v>
      </c>
      <c r="J269" s="407">
        <v>10</v>
      </c>
      <c r="K269" s="408">
        <v>5261.27</v>
      </c>
    </row>
    <row r="270" spans="1:11" ht="14.4" customHeight="1" x14ac:dyDescent="0.3">
      <c r="A270" s="403" t="s">
        <v>398</v>
      </c>
      <c r="B270" s="404" t="s">
        <v>400</v>
      </c>
      <c r="C270" s="405" t="s">
        <v>406</v>
      </c>
      <c r="D270" s="406" t="s">
        <v>407</v>
      </c>
      <c r="E270" s="405" t="s">
        <v>528</v>
      </c>
      <c r="F270" s="406" t="s">
        <v>529</v>
      </c>
      <c r="G270" s="405" t="s">
        <v>1066</v>
      </c>
      <c r="H270" s="405" t="s">
        <v>1067</v>
      </c>
      <c r="I270" s="407">
        <v>598.95000000000005</v>
      </c>
      <c r="J270" s="407">
        <v>2</v>
      </c>
      <c r="K270" s="408">
        <v>1197.9000000000001</v>
      </c>
    </row>
    <row r="271" spans="1:11" ht="14.4" customHeight="1" x14ac:dyDescent="0.3">
      <c r="A271" s="403" t="s">
        <v>398</v>
      </c>
      <c r="B271" s="404" t="s">
        <v>400</v>
      </c>
      <c r="C271" s="405" t="s">
        <v>406</v>
      </c>
      <c r="D271" s="406" t="s">
        <v>407</v>
      </c>
      <c r="E271" s="405" t="s">
        <v>528</v>
      </c>
      <c r="F271" s="406" t="s">
        <v>529</v>
      </c>
      <c r="G271" s="405" t="s">
        <v>1068</v>
      </c>
      <c r="H271" s="405" t="s">
        <v>1069</v>
      </c>
      <c r="I271" s="407">
        <v>477.95</v>
      </c>
      <c r="J271" s="407">
        <v>1</v>
      </c>
      <c r="K271" s="408">
        <v>477.95</v>
      </c>
    </row>
    <row r="272" spans="1:11" ht="14.4" customHeight="1" x14ac:dyDescent="0.3">
      <c r="A272" s="403" t="s">
        <v>398</v>
      </c>
      <c r="B272" s="404" t="s">
        <v>400</v>
      </c>
      <c r="C272" s="405" t="s">
        <v>406</v>
      </c>
      <c r="D272" s="406" t="s">
        <v>407</v>
      </c>
      <c r="E272" s="405" t="s">
        <v>528</v>
      </c>
      <c r="F272" s="406" t="s">
        <v>529</v>
      </c>
      <c r="G272" s="405" t="s">
        <v>1070</v>
      </c>
      <c r="H272" s="405" t="s">
        <v>1071</v>
      </c>
      <c r="I272" s="407">
        <v>1862.11</v>
      </c>
      <c r="J272" s="407">
        <v>1</v>
      </c>
      <c r="K272" s="408">
        <v>1862.11</v>
      </c>
    </row>
    <row r="273" spans="1:11" ht="14.4" customHeight="1" x14ac:dyDescent="0.3">
      <c r="A273" s="403" t="s">
        <v>398</v>
      </c>
      <c r="B273" s="404" t="s">
        <v>400</v>
      </c>
      <c r="C273" s="405" t="s">
        <v>406</v>
      </c>
      <c r="D273" s="406" t="s">
        <v>407</v>
      </c>
      <c r="E273" s="405" t="s">
        <v>528</v>
      </c>
      <c r="F273" s="406" t="s">
        <v>529</v>
      </c>
      <c r="G273" s="405" t="s">
        <v>1072</v>
      </c>
      <c r="H273" s="405" t="s">
        <v>1073</v>
      </c>
      <c r="I273" s="407">
        <v>865.15</v>
      </c>
      <c r="J273" s="407">
        <v>1</v>
      </c>
      <c r="K273" s="408">
        <v>865.15</v>
      </c>
    </row>
    <row r="274" spans="1:11" ht="14.4" customHeight="1" x14ac:dyDescent="0.3">
      <c r="A274" s="403" t="s">
        <v>398</v>
      </c>
      <c r="B274" s="404" t="s">
        <v>400</v>
      </c>
      <c r="C274" s="405" t="s">
        <v>406</v>
      </c>
      <c r="D274" s="406" t="s">
        <v>407</v>
      </c>
      <c r="E274" s="405" t="s">
        <v>528</v>
      </c>
      <c r="F274" s="406" t="s">
        <v>529</v>
      </c>
      <c r="G274" s="405" t="s">
        <v>1074</v>
      </c>
      <c r="H274" s="405" t="s">
        <v>1075</v>
      </c>
      <c r="I274" s="407">
        <v>3.32</v>
      </c>
      <c r="J274" s="407">
        <v>300</v>
      </c>
      <c r="K274" s="408">
        <v>995</v>
      </c>
    </row>
    <row r="275" spans="1:11" ht="14.4" customHeight="1" x14ac:dyDescent="0.3">
      <c r="A275" s="403" t="s">
        <v>398</v>
      </c>
      <c r="B275" s="404" t="s">
        <v>400</v>
      </c>
      <c r="C275" s="405" t="s">
        <v>406</v>
      </c>
      <c r="D275" s="406" t="s">
        <v>407</v>
      </c>
      <c r="E275" s="405" t="s">
        <v>528</v>
      </c>
      <c r="F275" s="406" t="s">
        <v>529</v>
      </c>
      <c r="G275" s="405" t="s">
        <v>1076</v>
      </c>
      <c r="H275" s="405" t="s">
        <v>1077</v>
      </c>
      <c r="I275" s="407">
        <v>6785</v>
      </c>
      <c r="J275" s="407">
        <v>1</v>
      </c>
      <c r="K275" s="408">
        <v>6785</v>
      </c>
    </row>
    <row r="276" spans="1:11" ht="14.4" customHeight="1" x14ac:dyDescent="0.3">
      <c r="A276" s="403" t="s">
        <v>398</v>
      </c>
      <c r="B276" s="404" t="s">
        <v>400</v>
      </c>
      <c r="C276" s="405" t="s">
        <v>406</v>
      </c>
      <c r="D276" s="406" t="s">
        <v>407</v>
      </c>
      <c r="E276" s="405" t="s">
        <v>530</v>
      </c>
      <c r="F276" s="406" t="s">
        <v>531</v>
      </c>
      <c r="G276" s="405" t="s">
        <v>1078</v>
      </c>
      <c r="H276" s="405" t="s">
        <v>1079</v>
      </c>
      <c r="I276" s="407">
        <v>72.040000000000006</v>
      </c>
      <c r="J276" s="407">
        <v>24</v>
      </c>
      <c r="K276" s="408">
        <v>1728.86</v>
      </c>
    </row>
    <row r="277" spans="1:11" ht="14.4" customHeight="1" x14ac:dyDescent="0.3">
      <c r="A277" s="403" t="s">
        <v>398</v>
      </c>
      <c r="B277" s="404" t="s">
        <v>400</v>
      </c>
      <c r="C277" s="405" t="s">
        <v>406</v>
      </c>
      <c r="D277" s="406" t="s">
        <v>407</v>
      </c>
      <c r="E277" s="405" t="s">
        <v>530</v>
      </c>
      <c r="F277" s="406" t="s">
        <v>531</v>
      </c>
      <c r="G277" s="405" t="s">
        <v>1080</v>
      </c>
      <c r="H277" s="405" t="s">
        <v>1081</v>
      </c>
      <c r="I277" s="407">
        <v>79.760000000000005</v>
      </c>
      <c r="J277" s="407">
        <v>36</v>
      </c>
      <c r="K277" s="408">
        <v>2871.5</v>
      </c>
    </row>
    <row r="278" spans="1:11" ht="14.4" customHeight="1" x14ac:dyDescent="0.3">
      <c r="A278" s="403" t="s">
        <v>398</v>
      </c>
      <c r="B278" s="404" t="s">
        <v>400</v>
      </c>
      <c r="C278" s="405" t="s">
        <v>406</v>
      </c>
      <c r="D278" s="406" t="s">
        <v>407</v>
      </c>
      <c r="E278" s="405" t="s">
        <v>530</v>
      </c>
      <c r="F278" s="406" t="s">
        <v>531</v>
      </c>
      <c r="G278" s="405" t="s">
        <v>1082</v>
      </c>
      <c r="H278" s="405" t="s">
        <v>1083</v>
      </c>
      <c r="I278" s="407">
        <v>45.11</v>
      </c>
      <c r="J278" s="407">
        <v>72</v>
      </c>
      <c r="K278" s="408">
        <v>3247.6</v>
      </c>
    </row>
    <row r="279" spans="1:11" ht="14.4" customHeight="1" x14ac:dyDescent="0.3">
      <c r="A279" s="403" t="s">
        <v>398</v>
      </c>
      <c r="B279" s="404" t="s">
        <v>400</v>
      </c>
      <c r="C279" s="405" t="s">
        <v>406</v>
      </c>
      <c r="D279" s="406" t="s">
        <v>407</v>
      </c>
      <c r="E279" s="405" t="s">
        <v>532</v>
      </c>
      <c r="F279" s="406" t="s">
        <v>533</v>
      </c>
      <c r="G279" s="405" t="s">
        <v>1084</v>
      </c>
      <c r="H279" s="405" t="s">
        <v>1085</v>
      </c>
      <c r="I279" s="407">
        <v>0.3</v>
      </c>
      <c r="J279" s="407">
        <v>800</v>
      </c>
      <c r="K279" s="408">
        <v>240</v>
      </c>
    </row>
    <row r="280" spans="1:11" ht="14.4" customHeight="1" x14ac:dyDescent="0.3">
      <c r="A280" s="403" t="s">
        <v>398</v>
      </c>
      <c r="B280" s="404" t="s">
        <v>400</v>
      </c>
      <c r="C280" s="405" t="s">
        <v>406</v>
      </c>
      <c r="D280" s="406" t="s">
        <v>407</v>
      </c>
      <c r="E280" s="405" t="s">
        <v>532</v>
      </c>
      <c r="F280" s="406" t="s">
        <v>533</v>
      </c>
      <c r="G280" s="405" t="s">
        <v>1086</v>
      </c>
      <c r="H280" s="405" t="s">
        <v>1087</v>
      </c>
      <c r="I280" s="407">
        <v>0.3</v>
      </c>
      <c r="J280" s="407">
        <v>600</v>
      </c>
      <c r="K280" s="408">
        <v>180</v>
      </c>
    </row>
    <row r="281" spans="1:11" ht="14.4" customHeight="1" x14ac:dyDescent="0.3">
      <c r="A281" s="403" t="s">
        <v>398</v>
      </c>
      <c r="B281" s="404" t="s">
        <v>400</v>
      </c>
      <c r="C281" s="405" t="s">
        <v>406</v>
      </c>
      <c r="D281" s="406" t="s">
        <v>407</v>
      </c>
      <c r="E281" s="405" t="s">
        <v>534</v>
      </c>
      <c r="F281" s="406" t="s">
        <v>535</v>
      </c>
      <c r="G281" s="405" t="s">
        <v>1088</v>
      </c>
      <c r="H281" s="405" t="s">
        <v>1089</v>
      </c>
      <c r="I281" s="407">
        <v>10.55</v>
      </c>
      <c r="J281" s="407">
        <v>80</v>
      </c>
      <c r="K281" s="408">
        <v>844.1</v>
      </c>
    </row>
    <row r="282" spans="1:11" ht="14.4" customHeight="1" x14ac:dyDescent="0.3">
      <c r="A282" s="403" t="s">
        <v>398</v>
      </c>
      <c r="B282" s="404" t="s">
        <v>400</v>
      </c>
      <c r="C282" s="405" t="s">
        <v>406</v>
      </c>
      <c r="D282" s="406" t="s">
        <v>407</v>
      </c>
      <c r="E282" s="405" t="s">
        <v>534</v>
      </c>
      <c r="F282" s="406" t="s">
        <v>535</v>
      </c>
      <c r="G282" s="405" t="s">
        <v>1090</v>
      </c>
      <c r="H282" s="405" t="s">
        <v>1091</v>
      </c>
      <c r="I282" s="407">
        <v>0.74</v>
      </c>
      <c r="J282" s="407">
        <v>300</v>
      </c>
      <c r="K282" s="408">
        <v>222</v>
      </c>
    </row>
    <row r="283" spans="1:11" ht="14.4" customHeight="1" x14ac:dyDescent="0.3">
      <c r="A283" s="403" t="s">
        <v>398</v>
      </c>
      <c r="B283" s="404" t="s">
        <v>400</v>
      </c>
      <c r="C283" s="405" t="s">
        <v>406</v>
      </c>
      <c r="D283" s="406" t="s">
        <v>407</v>
      </c>
      <c r="E283" s="405" t="s">
        <v>534</v>
      </c>
      <c r="F283" s="406" t="s">
        <v>535</v>
      </c>
      <c r="G283" s="405" t="s">
        <v>1092</v>
      </c>
      <c r="H283" s="405" t="s">
        <v>1093</v>
      </c>
      <c r="I283" s="407">
        <v>7.5</v>
      </c>
      <c r="J283" s="407">
        <v>50</v>
      </c>
      <c r="K283" s="408">
        <v>375</v>
      </c>
    </row>
    <row r="284" spans="1:11" ht="14.4" customHeight="1" x14ac:dyDescent="0.3">
      <c r="A284" s="403" t="s">
        <v>398</v>
      </c>
      <c r="B284" s="404" t="s">
        <v>400</v>
      </c>
      <c r="C284" s="405" t="s">
        <v>406</v>
      </c>
      <c r="D284" s="406" t="s">
        <v>407</v>
      </c>
      <c r="E284" s="405" t="s">
        <v>534</v>
      </c>
      <c r="F284" s="406" t="s">
        <v>535</v>
      </c>
      <c r="G284" s="405" t="s">
        <v>1094</v>
      </c>
      <c r="H284" s="405" t="s">
        <v>1095</v>
      </c>
      <c r="I284" s="407">
        <v>7.5</v>
      </c>
      <c r="J284" s="407">
        <v>50</v>
      </c>
      <c r="K284" s="408">
        <v>375</v>
      </c>
    </row>
    <row r="285" spans="1:11" ht="14.4" customHeight="1" x14ac:dyDescent="0.3">
      <c r="A285" s="403" t="s">
        <v>398</v>
      </c>
      <c r="B285" s="404" t="s">
        <v>400</v>
      </c>
      <c r="C285" s="405" t="s">
        <v>406</v>
      </c>
      <c r="D285" s="406" t="s">
        <v>407</v>
      </c>
      <c r="E285" s="405" t="s">
        <v>534</v>
      </c>
      <c r="F285" s="406" t="s">
        <v>535</v>
      </c>
      <c r="G285" s="405" t="s">
        <v>1096</v>
      </c>
      <c r="H285" s="405" t="s">
        <v>1097</v>
      </c>
      <c r="I285" s="407">
        <v>7.5</v>
      </c>
      <c r="J285" s="407">
        <v>50</v>
      </c>
      <c r="K285" s="408">
        <v>375</v>
      </c>
    </row>
    <row r="286" spans="1:11" ht="14.4" customHeight="1" x14ac:dyDescent="0.3">
      <c r="A286" s="403" t="s">
        <v>398</v>
      </c>
      <c r="B286" s="404" t="s">
        <v>400</v>
      </c>
      <c r="C286" s="405" t="s">
        <v>406</v>
      </c>
      <c r="D286" s="406" t="s">
        <v>407</v>
      </c>
      <c r="E286" s="405" t="s">
        <v>534</v>
      </c>
      <c r="F286" s="406" t="s">
        <v>535</v>
      </c>
      <c r="G286" s="405" t="s">
        <v>1098</v>
      </c>
      <c r="H286" s="405" t="s">
        <v>1099</v>
      </c>
      <c r="I286" s="407">
        <v>7.5</v>
      </c>
      <c r="J286" s="407">
        <v>50</v>
      </c>
      <c r="K286" s="408">
        <v>375</v>
      </c>
    </row>
    <row r="287" spans="1:11" ht="14.4" customHeight="1" x14ac:dyDescent="0.3">
      <c r="A287" s="403" t="s">
        <v>398</v>
      </c>
      <c r="B287" s="404" t="s">
        <v>400</v>
      </c>
      <c r="C287" s="405" t="s">
        <v>406</v>
      </c>
      <c r="D287" s="406" t="s">
        <v>407</v>
      </c>
      <c r="E287" s="405" t="s">
        <v>534</v>
      </c>
      <c r="F287" s="406" t="s">
        <v>535</v>
      </c>
      <c r="G287" s="405" t="s">
        <v>1100</v>
      </c>
      <c r="H287" s="405" t="s">
        <v>1101</v>
      </c>
      <c r="I287" s="407">
        <v>0.81</v>
      </c>
      <c r="J287" s="407">
        <v>4000</v>
      </c>
      <c r="K287" s="408">
        <v>3228.24</v>
      </c>
    </row>
    <row r="288" spans="1:11" ht="14.4" customHeight="1" x14ac:dyDescent="0.3">
      <c r="A288" s="403" t="s">
        <v>398</v>
      </c>
      <c r="B288" s="404" t="s">
        <v>400</v>
      </c>
      <c r="C288" s="405" t="s">
        <v>406</v>
      </c>
      <c r="D288" s="406" t="s">
        <v>407</v>
      </c>
      <c r="E288" s="405" t="s">
        <v>534</v>
      </c>
      <c r="F288" s="406" t="s">
        <v>535</v>
      </c>
      <c r="G288" s="405" t="s">
        <v>1102</v>
      </c>
      <c r="H288" s="405" t="s">
        <v>1103</v>
      </c>
      <c r="I288" s="407">
        <v>0.78</v>
      </c>
      <c r="J288" s="407">
        <v>2000</v>
      </c>
      <c r="K288" s="408">
        <v>1560</v>
      </c>
    </row>
    <row r="289" spans="1:11" ht="14.4" customHeight="1" x14ac:dyDescent="0.3">
      <c r="A289" s="403" t="s">
        <v>398</v>
      </c>
      <c r="B289" s="404" t="s">
        <v>400</v>
      </c>
      <c r="C289" s="405" t="s">
        <v>406</v>
      </c>
      <c r="D289" s="406" t="s">
        <v>407</v>
      </c>
      <c r="E289" s="405" t="s">
        <v>534</v>
      </c>
      <c r="F289" s="406" t="s">
        <v>535</v>
      </c>
      <c r="G289" s="405" t="s">
        <v>1104</v>
      </c>
      <c r="H289" s="405" t="s">
        <v>1105</v>
      </c>
      <c r="I289" s="407">
        <v>0.77</v>
      </c>
      <c r="J289" s="407">
        <v>8000</v>
      </c>
      <c r="K289" s="408">
        <v>6160</v>
      </c>
    </row>
    <row r="290" spans="1:11" ht="14.4" customHeight="1" x14ac:dyDescent="0.3">
      <c r="A290" s="403" t="s">
        <v>398</v>
      </c>
      <c r="B290" s="404" t="s">
        <v>400</v>
      </c>
      <c r="C290" s="405" t="s">
        <v>406</v>
      </c>
      <c r="D290" s="406" t="s">
        <v>407</v>
      </c>
      <c r="E290" s="405" t="s">
        <v>534</v>
      </c>
      <c r="F290" s="406" t="s">
        <v>535</v>
      </c>
      <c r="G290" s="405" t="s">
        <v>1106</v>
      </c>
      <c r="H290" s="405" t="s">
        <v>1107</v>
      </c>
      <c r="I290" s="407">
        <v>0.77333333333333343</v>
      </c>
      <c r="J290" s="407">
        <v>11000</v>
      </c>
      <c r="K290" s="408">
        <v>8530</v>
      </c>
    </row>
    <row r="291" spans="1:11" ht="14.4" customHeight="1" x14ac:dyDescent="0.3">
      <c r="A291" s="403" t="s">
        <v>398</v>
      </c>
      <c r="B291" s="404" t="s">
        <v>400</v>
      </c>
      <c r="C291" s="405" t="s">
        <v>406</v>
      </c>
      <c r="D291" s="406" t="s">
        <v>407</v>
      </c>
      <c r="E291" s="405" t="s">
        <v>534</v>
      </c>
      <c r="F291" s="406" t="s">
        <v>535</v>
      </c>
      <c r="G291" s="405" t="s">
        <v>1108</v>
      </c>
      <c r="H291" s="405" t="s">
        <v>1109</v>
      </c>
      <c r="I291" s="407">
        <v>1.9</v>
      </c>
      <c r="J291" s="407">
        <v>600</v>
      </c>
      <c r="K291" s="408">
        <v>1139.82</v>
      </c>
    </row>
    <row r="292" spans="1:11" ht="14.4" customHeight="1" x14ac:dyDescent="0.3">
      <c r="A292" s="403" t="s">
        <v>398</v>
      </c>
      <c r="B292" s="404" t="s">
        <v>400</v>
      </c>
      <c r="C292" s="405" t="s">
        <v>406</v>
      </c>
      <c r="D292" s="406" t="s">
        <v>407</v>
      </c>
      <c r="E292" s="405" t="s">
        <v>534</v>
      </c>
      <c r="F292" s="406" t="s">
        <v>535</v>
      </c>
      <c r="G292" s="405" t="s">
        <v>1110</v>
      </c>
      <c r="H292" s="405" t="s">
        <v>1111</v>
      </c>
      <c r="I292" s="407">
        <v>0.81</v>
      </c>
      <c r="J292" s="407">
        <v>4000</v>
      </c>
      <c r="K292" s="408">
        <v>3228.3</v>
      </c>
    </row>
    <row r="293" spans="1:11" ht="14.4" customHeight="1" thickBot="1" x14ac:dyDescent="0.35">
      <c r="A293" s="409" t="s">
        <v>398</v>
      </c>
      <c r="B293" s="410" t="s">
        <v>400</v>
      </c>
      <c r="C293" s="411" t="s">
        <v>406</v>
      </c>
      <c r="D293" s="412" t="s">
        <v>407</v>
      </c>
      <c r="E293" s="411" t="s">
        <v>534</v>
      </c>
      <c r="F293" s="412" t="s">
        <v>535</v>
      </c>
      <c r="G293" s="411" t="s">
        <v>1112</v>
      </c>
      <c r="H293" s="411" t="s">
        <v>1113</v>
      </c>
      <c r="I293" s="413">
        <v>0.79</v>
      </c>
      <c r="J293" s="413">
        <v>1000</v>
      </c>
      <c r="K293" s="414">
        <v>786.5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M31"/>
  <sheetViews>
    <sheetView showGridLines="0" showRowColHeaders="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M1"/>
    </sheetView>
  </sheetViews>
  <sheetFormatPr defaultRowHeight="14.4" outlineLevelRow="1" x14ac:dyDescent="0.3"/>
  <cols>
    <col min="1" max="1" width="37.21875" customWidth="1"/>
    <col min="2" max="3" width="12.21875" customWidth="1"/>
    <col min="4" max="4" width="12.21875" hidden="1" customWidth="1"/>
    <col min="5" max="5" width="12.21875" customWidth="1"/>
    <col min="6" max="6" width="12.21875" hidden="1" customWidth="1"/>
    <col min="7" max="8" width="12.21875" customWidth="1"/>
    <col min="9" max="11" width="12.21875" hidden="1" customWidth="1"/>
    <col min="12" max="13" width="12.21875" customWidth="1"/>
  </cols>
  <sheetData>
    <row r="1" spans="1:13" ht="18.600000000000001" thickBot="1" x14ac:dyDescent="0.4">
      <c r="A1" s="335" t="s">
        <v>96</v>
      </c>
      <c r="B1" s="336"/>
      <c r="C1" s="336"/>
      <c r="D1" s="336"/>
      <c r="E1" s="336"/>
      <c r="F1" s="336"/>
      <c r="G1" s="336"/>
      <c r="H1" s="336"/>
      <c r="I1" s="336"/>
      <c r="J1" s="336"/>
      <c r="K1" s="336"/>
      <c r="L1" s="336"/>
      <c r="M1" s="336"/>
    </row>
    <row r="2" spans="1:13" ht="15" thickBot="1" x14ac:dyDescent="0.35">
      <c r="A2" s="217" t="s">
        <v>223</v>
      </c>
      <c r="B2" s="218"/>
      <c r="C2" s="218"/>
      <c r="D2" s="218"/>
      <c r="E2" s="218"/>
      <c r="F2" s="218"/>
      <c r="G2" s="218"/>
      <c r="H2" s="218"/>
      <c r="I2" s="218"/>
      <c r="J2" s="218"/>
      <c r="K2" s="218"/>
      <c r="L2" s="218"/>
      <c r="M2" s="218"/>
    </row>
    <row r="3" spans="1:13" x14ac:dyDescent="0.3">
      <c r="A3" s="238" t="s">
        <v>217</v>
      </c>
      <c r="B3" s="337" t="s">
        <v>194</v>
      </c>
      <c r="C3" s="219">
        <v>0</v>
      </c>
      <c r="D3" s="220">
        <v>101</v>
      </c>
      <c r="E3" s="220">
        <v>102</v>
      </c>
      <c r="F3" s="241">
        <v>203</v>
      </c>
      <c r="G3" s="220" t="s">
        <v>174</v>
      </c>
      <c r="H3" s="220" t="s">
        <v>175</v>
      </c>
      <c r="I3" s="220" t="s">
        <v>176</v>
      </c>
      <c r="J3" s="220" t="s">
        <v>177</v>
      </c>
      <c r="K3" s="220" t="s">
        <v>178</v>
      </c>
      <c r="L3" s="220">
        <v>930</v>
      </c>
      <c r="M3" s="221">
        <v>940</v>
      </c>
    </row>
    <row r="4" spans="1:13" ht="60.6" outlineLevel="1" thickBot="1" x14ac:dyDescent="0.35">
      <c r="A4" s="239">
        <v>2014</v>
      </c>
      <c r="B4" s="338"/>
      <c r="C4" s="222" t="s">
        <v>195</v>
      </c>
      <c r="D4" s="223" t="s">
        <v>196</v>
      </c>
      <c r="E4" s="223" t="s">
        <v>197</v>
      </c>
      <c r="F4" s="242" t="s">
        <v>198</v>
      </c>
      <c r="G4" s="223" t="s">
        <v>199</v>
      </c>
      <c r="H4" s="223" t="s">
        <v>200</v>
      </c>
      <c r="I4" s="223" t="s">
        <v>201</v>
      </c>
      <c r="J4" s="223" t="s">
        <v>202</v>
      </c>
      <c r="K4" s="223" t="s">
        <v>203</v>
      </c>
      <c r="L4" s="223" t="s">
        <v>204</v>
      </c>
      <c r="M4" s="224" t="s">
        <v>205</v>
      </c>
    </row>
    <row r="5" spans="1:13" x14ac:dyDescent="0.3">
      <c r="A5" s="225" t="s">
        <v>206</v>
      </c>
      <c r="B5" s="269"/>
      <c r="C5" s="270"/>
      <c r="D5" s="271"/>
      <c r="E5" s="271"/>
      <c r="F5" s="271"/>
      <c r="G5" s="271"/>
      <c r="H5" s="271"/>
      <c r="I5" s="271"/>
      <c r="J5" s="271"/>
      <c r="K5" s="271"/>
      <c r="L5" s="271"/>
      <c r="M5" s="272"/>
    </row>
    <row r="6" spans="1:13" ht="15" collapsed="1" thickBot="1" x14ac:dyDescent="0.35">
      <c r="A6" s="226" t="s">
        <v>63</v>
      </c>
      <c r="B6" s="273">
        <f xml:space="preserve">
TRUNC(IF($A$4&lt;=12,SUMIFS('ON Data'!D:D,'ON Data'!$B:$B,$A$4,'ON Data'!$C:$C,1),SUMIFS('ON Data'!D:D,'ON Data'!$C:$C,1)/'ON Data'!$B$3),1)</f>
        <v>55.7</v>
      </c>
      <c r="C6" s="274">
        <f xml:space="preserve">
TRUNC(IF($A$4&lt;=12,SUMIFS('ON Data'!E:E,'ON Data'!$B:$B,$A$4,'ON Data'!$C:$C,1),SUMIFS('ON Data'!E:E,'ON Data'!$C:$C,1)/'ON Data'!$B$3),1)</f>
        <v>0</v>
      </c>
      <c r="D6" s="275">
        <f xml:space="preserve">
TRUNC(IF($A$4&lt;=12,SUMIFS('ON Data'!F:F,'ON Data'!$B:$B,$A$4,'ON Data'!$C:$C,1),SUMIFS('ON Data'!F:F,'ON Data'!$C:$C,1)/'ON Data'!$B$3),1)</f>
        <v>0</v>
      </c>
      <c r="E6" s="275">
        <f xml:space="preserve">
TRUNC(IF($A$4&lt;=12,SUMIFS('ON Data'!G:G,'ON Data'!$B:$B,$A$4,'ON Data'!$C:$C,1),SUMIFS('ON Data'!G:G,'ON Data'!$C:$C,1)/'ON Data'!$B$3),1)</f>
        <v>11.9</v>
      </c>
      <c r="F6" s="275">
        <f xml:space="preserve">
TRUNC(IF($A$4&lt;=12,SUMIFS('ON Data'!H:H,'ON Data'!$B:$B,$A$4,'ON Data'!$C:$C,1),SUMIFS('ON Data'!H:H,'ON Data'!$C:$C,1)/'ON Data'!$B$3),1)</f>
        <v>0</v>
      </c>
      <c r="G6" s="275">
        <f xml:space="preserve">
TRUNC(IF($A$4&lt;=12,SUMIFS('ON Data'!I:I,'ON Data'!$B:$B,$A$4,'ON Data'!$C:$C,1),SUMIFS('ON Data'!I:I,'ON Data'!$C:$C,1)/'ON Data'!$B$3),1)</f>
        <v>29</v>
      </c>
      <c r="H6" s="275">
        <f xml:space="preserve">
TRUNC(IF($A$4&lt;=12,SUMIFS('ON Data'!J:J,'ON Data'!$B:$B,$A$4,'ON Data'!$C:$C,1),SUMIFS('ON Data'!J:J,'ON Data'!$C:$C,1)/'ON Data'!$B$3),1)</f>
        <v>12.8</v>
      </c>
      <c r="I6" s="275">
        <f xml:space="preserve">
TRUNC(IF($A$4&lt;=12,SUMIFS('ON Data'!K:K,'ON Data'!$B:$B,$A$4,'ON Data'!$C:$C,1),SUMIFS('ON Data'!K:K,'ON Data'!$C:$C,1)/'ON Data'!$B$3),1)</f>
        <v>0</v>
      </c>
      <c r="J6" s="275">
        <f xml:space="preserve">
TRUNC(IF($A$4&lt;=12,SUMIFS('ON Data'!L:L,'ON Data'!$B:$B,$A$4,'ON Data'!$C:$C,1),SUMIFS('ON Data'!L:L,'ON Data'!$C:$C,1)/'ON Data'!$B$3),1)</f>
        <v>0</v>
      </c>
      <c r="K6" s="275">
        <f xml:space="preserve">
TRUNC(IF($A$4&lt;=12,SUMIFS('ON Data'!M:M,'ON Data'!$B:$B,$A$4,'ON Data'!$C:$C,1),SUMIFS('ON Data'!M:M,'ON Data'!$C:$C,1)/'ON Data'!$B$3),1)</f>
        <v>0</v>
      </c>
      <c r="L6" s="275">
        <f xml:space="preserve">
TRUNC(IF($A$4&lt;=12,SUMIFS('ON Data'!N:N,'ON Data'!$B:$B,$A$4,'ON Data'!$C:$C,1),SUMIFS('ON Data'!N:N,'ON Data'!$C:$C,1)/'ON Data'!$B$3),1)</f>
        <v>0.8</v>
      </c>
      <c r="M6" s="276">
        <f xml:space="preserve">
TRUNC(IF($A$4&lt;=12,SUMIFS('ON Data'!O:O,'ON Data'!$B:$B,$A$4,'ON Data'!$C:$C,1),SUMIFS('ON Data'!O:O,'ON Data'!$C:$C,1)/'ON Data'!$B$3),1)</f>
        <v>1</v>
      </c>
    </row>
    <row r="7" spans="1:13" hidden="1" outlineLevel="1" x14ac:dyDescent="0.3">
      <c r="A7" s="226" t="s">
        <v>97</v>
      </c>
      <c r="B7" s="273"/>
      <c r="C7" s="277"/>
      <c r="D7" s="275"/>
      <c r="E7" s="275"/>
      <c r="F7" s="275"/>
      <c r="G7" s="275"/>
      <c r="H7" s="275"/>
      <c r="I7" s="275"/>
      <c r="J7" s="275"/>
      <c r="K7" s="275"/>
      <c r="L7" s="275"/>
      <c r="M7" s="276"/>
    </row>
    <row r="8" spans="1:13" hidden="1" outlineLevel="1" x14ac:dyDescent="0.3">
      <c r="A8" s="226" t="s">
        <v>65</v>
      </c>
      <c r="B8" s="273"/>
      <c r="C8" s="277"/>
      <c r="D8" s="275"/>
      <c r="E8" s="275"/>
      <c r="F8" s="275"/>
      <c r="G8" s="275"/>
      <c r="H8" s="275"/>
      <c r="I8" s="275"/>
      <c r="J8" s="275"/>
      <c r="K8" s="275"/>
      <c r="L8" s="275"/>
      <c r="M8" s="276"/>
    </row>
    <row r="9" spans="1:13" ht="15" hidden="1" outlineLevel="1" thickBot="1" x14ac:dyDescent="0.35">
      <c r="A9" s="227" t="s">
        <v>58</v>
      </c>
      <c r="B9" s="278"/>
      <c r="C9" s="279"/>
      <c r="D9" s="280"/>
      <c r="E9" s="280"/>
      <c r="F9" s="280"/>
      <c r="G9" s="280"/>
      <c r="H9" s="280"/>
      <c r="I9" s="280"/>
      <c r="J9" s="280"/>
      <c r="K9" s="280"/>
      <c r="L9" s="280"/>
      <c r="M9" s="281"/>
    </row>
    <row r="10" spans="1:13" x14ac:dyDescent="0.3">
      <c r="A10" s="228" t="s">
        <v>207</v>
      </c>
      <c r="B10" s="243"/>
      <c r="C10" s="244"/>
      <c r="D10" s="245"/>
      <c r="E10" s="245"/>
      <c r="F10" s="245"/>
      <c r="G10" s="245"/>
      <c r="H10" s="245"/>
      <c r="I10" s="245"/>
      <c r="J10" s="245"/>
      <c r="K10" s="245"/>
      <c r="L10" s="245"/>
      <c r="M10" s="246"/>
    </row>
    <row r="11" spans="1:13" x14ac:dyDescent="0.3">
      <c r="A11" s="229" t="s">
        <v>208</v>
      </c>
      <c r="B11" s="247">
        <f xml:space="preserve">
IF($A$4&lt;=12,SUMIFS('ON Data'!D:D,'ON Data'!$B:$B,$A$4,'ON Data'!$C:$C,2),SUMIFS('ON Data'!D:D,'ON Data'!$C:$C,2))</f>
        <v>17943.18</v>
      </c>
      <c r="C11" s="248">
        <f xml:space="preserve">
IF($A$4&lt;=12,SUMIFS('ON Data'!E:E,'ON Data'!$B:$B,$A$4,'ON Data'!$C:$C,2),SUMIFS('ON Data'!E:E,'ON Data'!$C:$C,2))</f>
        <v>0</v>
      </c>
      <c r="D11" s="249">
        <f xml:space="preserve">
IF($A$4&lt;=12,SUMIFS('ON Data'!F:F,'ON Data'!$B:$B,$A$4,'ON Data'!$C:$C,2),SUMIFS('ON Data'!F:F,'ON Data'!$C:$C,2))</f>
        <v>0</v>
      </c>
      <c r="E11" s="249">
        <f xml:space="preserve">
IF($A$4&lt;=12,SUMIFS('ON Data'!G:G,'ON Data'!$B:$B,$A$4,'ON Data'!$C:$C,2),SUMIFS('ON Data'!G:G,'ON Data'!$C:$C,2))</f>
        <v>3753.1</v>
      </c>
      <c r="F11" s="249">
        <f xml:space="preserve">
IF($A$4&lt;=12,SUMIFS('ON Data'!H:H,'ON Data'!$B:$B,$A$4,'ON Data'!$C:$C,2),SUMIFS('ON Data'!H:H,'ON Data'!$C:$C,2))</f>
        <v>0</v>
      </c>
      <c r="G11" s="249">
        <f xml:space="preserve">
IF($A$4&lt;=12,SUMIFS('ON Data'!I:I,'ON Data'!$B:$B,$A$4,'ON Data'!$C:$C,2),SUMIFS('ON Data'!I:I,'ON Data'!$C:$C,2))</f>
        <v>9240</v>
      </c>
      <c r="H11" s="249">
        <f xml:space="preserve">
IF($A$4&lt;=12,SUMIFS('ON Data'!J:J,'ON Data'!$B:$B,$A$4,'ON Data'!$C:$C,2),SUMIFS('ON Data'!J:J,'ON Data'!$C:$C,2))</f>
        <v>4327.68</v>
      </c>
      <c r="I11" s="249">
        <f xml:space="preserve">
IF($A$4&lt;=12,SUMIFS('ON Data'!K:K,'ON Data'!$B:$B,$A$4,'ON Data'!$C:$C,2),SUMIFS('ON Data'!K:K,'ON Data'!$C:$C,2))</f>
        <v>0</v>
      </c>
      <c r="J11" s="249">
        <f xml:space="preserve">
IF($A$4&lt;=12,SUMIFS('ON Data'!L:L,'ON Data'!$B:$B,$A$4,'ON Data'!$C:$C,2),SUMIFS('ON Data'!L:L,'ON Data'!$C:$C,2))</f>
        <v>0</v>
      </c>
      <c r="K11" s="249">
        <f xml:space="preserve">
IF($A$4&lt;=12,SUMIFS('ON Data'!M:M,'ON Data'!$B:$B,$A$4,'ON Data'!$C:$C,2),SUMIFS('ON Data'!M:M,'ON Data'!$C:$C,2))</f>
        <v>0</v>
      </c>
      <c r="L11" s="249">
        <f xml:space="preserve">
IF($A$4&lt;=12,SUMIFS('ON Data'!N:N,'ON Data'!$B:$B,$A$4,'ON Data'!$C:$C,2),SUMIFS('ON Data'!N:N,'ON Data'!$C:$C,2))</f>
        <v>278.39999999999998</v>
      </c>
      <c r="M11" s="250">
        <f xml:space="preserve">
IF($A$4&lt;=12,SUMIFS('ON Data'!O:O,'ON Data'!$B:$B,$A$4,'ON Data'!$C:$C,2),SUMIFS('ON Data'!O:O,'ON Data'!$C:$C,2))</f>
        <v>344</v>
      </c>
    </row>
    <row r="12" spans="1:13" x14ac:dyDescent="0.3">
      <c r="A12" s="229" t="s">
        <v>209</v>
      </c>
      <c r="B12" s="247">
        <f xml:space="preserve">
IF($A$4&lt;=12,SUMIFS('ON Data'!D:D,'ON Data'!$B:$B,$A$4,'ON Data'!$C:$C,3),SUMIFS('ON Data'!D:D,'ON Data'!$C:$C,3))</f>
        <v>0</v>
      </c>
      <c r="C12" s="248">
        <f xml:space="preserve">
IF($A$4&lt;=12,SUMIFS('ON Data'!E:E,'ON Data'!$B:$B,$A$4,'ON Data'!$C:$C,3),SUMIFS('ON Data'!E:E,'ON Data'!$C:$C,3))</f>
        <v>0</v>
      </c>
      <c r="D12" s="249">
        <f xml:space="preserve">
IF($A$4&lt;=12,SUMIFS('ON Data'!F:F,'ON Data'!$B:$B,$A$4,'ON Data'!$C:$C,3),SUMIFS('ON Data'!F:F,'ON Data'!$C:$C,3))</f>
        <v>0</v>
      </c>
      <c r="E12" s="249">
        <f xml:space="preserve">
IF($A$4&lt;=12,SUMIFS('ON Data'!G:G,'ON Data'!$B:$B,$A$4,'ON Data'!$C:$C,3),SUMIFS('ON Data'!G:G,'ON Data'!$C:$C,3))</f>
        <v>0</v>
      </c>
      <c r="F12" s="249">
        <f xml:space="preserve">
IF($A$4&lt;=12,SUMIFS('ON Data'!H:H,'ON Data'!$B:$B,$A$4,'ON Data'!$C:$C,3),SUMIFS('ON Data'!H:H,'ON Data'!$C:$C,3))</f>
        <v>0</v>
      </c>
      <c r="G12" s="249">
        <f xml:space="preserve">
IF($A$4&lt;=12,SUMIFS('ON Data'!I:I,'ON Data'!$B:$B,$A$4,'ON Data'!$C:$C,3),SUMIFS('ON Data'!I:I,'ON Data'!$C:$C,3))</f>
        <v>0</v>
      </c>
      <c r="H12" s="249">
        <f xml:space="preserve">
IF($A$4&lt;=12,SUMIFS('ON Data'!J:J,'ON Data'!$B:$B,$A$4,'ON Data'!$C:$C,3),SUMIFS('ON Data'!J:J,'ON Data'!$C:$C,3))</f>
        <v>0</v>
      </c>
      <c r="I12" s="249">
        <f xml:space="preserve">
IF($A$4&lt;=12,SUMIFS('ON Data'!K:K,'ON Data'!$B:$B,$A$4,'ON Data'!$C:$C,3),SUMIFS('ON Data'!K:K,'ON Data'!$C:$C,3))</f>
        <v>0</v>
      </c>
      <c r="J12" s="249">
        <f xml:space="preserve">
IF($A$4&lt;=12,SUMIFS('ON Data'!L:L,'ON Data'!$B:$B,$A$4,'ON Data'!$C:$C,3),SUMIFS('ON Data'!L:L,'ON Data'!$C:$C,3))</f>
        <v>0</v>
      </c>
      <c r="K12" s="249">
        <f xml:space="preserve">
IF($A$4&lt;=12,SUMIFS('ON Data'!M:M,'ON Data'!$B:$B,$A$4,'ON Data'!$C:$C,3),SUMIFS('ON Data'!M:M,'ON Data'!$C:$C,3))</f>
        <v>0</v>
      </c>
      <c r="L12" s="249">
        <f xml:space="preserve">
IF($A$4&lt;=12,SUMIFS('ON Data'!N:N,'ON Data'!$B:$B,$A$4,'ON Data'!$C:$C,3),SUMIFS('ON Data'!N:N,'ON Data'!$C:$C,3))</f>
        <v>0</v>
      </c>
      <c r="M12" s="250">
        <f xml:space="preserve">
IF($A$4&lt;=12,SUMIFS('ON Data'!O:O,'ON Data'!$B:$B,$A$4,'ON Data'!$C:$C,3),SUMIFS('ON Data'!O:O,'ON Data'!$C:$C,3))</f>
        <v>0</v>
      </c>
    </row>
    <row r="13" spans="1:13" x14ac:dyDescent="0.3">
      <c r="A13" s="229" t="s">
        <v>218</v>
      </c>
      <c r="B13" s="247">
        <f xml:space="preserve">
IF($A$4&lt;=12,SUMIFS('ON Data'!D:D,'ON Data'!$B:$B,$A$4,'ON Data'!$C:$C,4),SUMIFS('ON Data'!D:D,'ON Data'!$C:$C,4))</f>
        <v>0</v>
      </c>
      <c r="C13" s="248">
        <f xml:space="preserve">
IF($A$4&lt;=12,SUMIFS('ON Data'!E:E,'ON Data'!$B:$B,$A$4,'ON Data'!$C:$C,4),SUMIFS('ON Data'!E:E,'ON Data'!$C:$C,4))</f>
        <v>0</v>
      </c>
      <c r="D13" s="249">
        <f xml:space="preserve">
IF($A$4&lt;=12,SUMIFS('ON Data'!F:F,'ON Data'!$B:$B,$A$4,'ON Data'!$C:$C,4),SUMIFS('ON Data'!F:F,'ON Data'!$C:$C,4))</f>
        <v>0</v>
      </c>
      <c r="E13" s="249">
        <f xml:space="preserve">
IF($A$4&lt;=12,SUMIFS('ON Data'!G:G,'ON Data'!$B:$B,$A$4,'ON Data'!$C:$C,4),SUMIFS('ON Data'!G:G,'ON Data'!$C:$C,4))</f>
        <v>0</v>
      </c>
      <c r="F13" s="249">
        <f xml:space="preserve">
IF($A$4&lt;=12,SUMIFS('ON Data'!H:H,'ON Data'!$B:$B,$A$4,'ON Data'!$C:$C,4),SUMIFS('ON Data'!H:H,'ON Data'!$C:$C,4))</f>
        <v>0</v>
      </c>
      <c r="G13" s="249">
        <f xml:space="preserve">
IF($A$4&lt;=12,SUMIFS('ON Data'!I:I,'ON Data'!$B:$B,$A$4,'ON Data'!$C:$C,4),SUMIFS('ON Data'!I:I,'ON Data'!$C:$C,4))</f>
        <v>0</v>
      </c>
      <c r="H13" s="249">
        <f xml:space="preserve">
IF($A$4&lt;=12,SUMIFS('ON Data'!J:J,'ON Data'!$B:$B,$A$4,'ON Data'!$C:$C,4),SUMIFS('ON Data'!J:J,'ON Data'!$C:$C,4))</f>
        <v>0</v>
      </c>
      <c r="I13" s="249">
        <f xml:space="preserve">
IF($A$4&lt;=12,SUMIFS('ON Data'!K:K,'ON Data'!$B:$B,$A$4,'ON Data'!$C:$C,4),SUMIFS('ON Data'!K:K,'ON Data'!$C:$C,4))</f>
        <v>0</v>
      </c>
      <c r="J13" s="249">
        <f xml:space="preserve">
IF($A$4&lt;=12,SUMIFS('ON Data'!L:L,'ON Data'!$B:$B,$A$4,'ON Data'!$C:$C,4),SUMIFS('ON Data'!L:L,'ON Data'!$C:$C,4))</f>
        <v>0</v>
      </c>
      <c r="K13" s="249">
        <f xml:space="preserve">
IF($A$4&lt;=12,SUMIFS('ON Data'!M:M,'ON Data'!$B:$B,$A$4,'ON Data'!$C:$C,4),SUMIFS('ON Data'!M:M,'ON Data'!$C:$C,4))</f>
        <v>0</v>
      </c>
      <c r="L13" s="249">
        <f xml:space="preserve">
IF($A$4&lt;=12,SUMIFS('ON Data'!N:N,'ON Data'!$B:$B,$A$4,'ON Data'!$C:$C,4),SUMIFS('ON Data'!N:N,'ON Data'!$C:$C,4))</f>
        <v>0</v>
      </c>
      <c r="M13" s="250">
        <f xml:space="preserve">
IF($A$4&lt;=12,SUMIFS('ON Data'!O:O,'ON Data'!$B:$B,$A$4,'ON Data'!$C:$C,4),SUMIFS('ON Data'!O:O,'ON Data'!$C:$C,4))</f>
        <v>0</v>
      </c>
    </row>
    <row r="14" spans="1:13" ht="15" thickBot="1" x14ac:dyDescent="0.35">
      <c r="A14" s="230" t="s">
        <v>210</v>
      </c>
      <c r="B14" s="251">
        <f xml:space="preserve">
IF($A$4&lt;=12,SUMIFS('ON Data'!D:D,'ON Data'!$B:$B,$A$4,'ON Data'!$C:$C,5),SUMIFS('ON Data'!D:D,'ON Data'!$C:$C,5))</f>
        <v>199</v>
      </c>
      <c r="C14" s="252">
        <f xml:space="preserve">
IF($A$4&lt;=12,SUMIFS('ON Data'!E:E,'ON Data'!$B:$B,$A$4,'ON Data'!$C:$C,5),SUMIFS('ON Data'!E:E,'ON Data'!$C:$C,5))</f>
        <v>199</v>
      </c>
      <c r="D14" s="253">
        <f xml:space="preserve">
IF($A$4&lt;=12,SUMIFS('ON Data'!F:F,'ON Data'!$B:$B,$A$4,'ON Data'!$C:$C,5),SUMIFS('ON Data'!F:F,'ON Data'!$C:$C,5))</f>
        <v>0</v>
      </c>
      <c r="E14" s="253">
        <f xml:space="preserve">
IF($A$4&lt;=12,SUMIFS('ON Data'!G:G,'ON Data'!$B:$B,$A$4,'ON Data'!$C:$C,5),SUMIFS('ON Data'!G:G,'ON Data'!$C:$C,5))</f>
        <v>0</v>
      </c>
      <c r="F14" s="253">
        <f xml:space="preserve">
IF($A$4&lt;=12,SUMIFS('ON Data'!H:H,'ON Data'!$B:$B,$A$4,'ON Data'!$C:$C,5),SUMIFS('ON Data'!H:H,'ON Data'!$C:$C,5))</f>
        <v>0</v>
      </c>
      <c r="G14" s="253">
        <f xml:space="preserve">
IF($A$4&lt;=12,SUMIFS('ON Data'!I:I,'ON Data'!$B:$B,$A$4,'ON Data'!$C:$C,5),SUMIFS('ON Data'!I:I,'ON Data'!$C:$C,5))</f>
        <v>0</v>
      </c>
      <c r="H14" s="253">
        <f xml:space="preserve">
IF($A$4&lt;=12,SUMIFS('ON Data'!J:J,'ON Data'!$B:$B,$A$4,'ON Data'!$C:$C,5),SUMIFS('ON Data'!J:J,'ON Data'!$C:$C,5))</f>
        <v>0</v>
      </c>
      <c r="I14" s="253">
        <f xml:space="preserve">
IF($A$4&lt;=12,SUMIFS('ON Data'!K:K,'ON Data'!$B:$B,$A$4,'ON Data'!$C:$C,5),SUMIFS('ON Data'!K:K,'ON Data'!$C:$C,5))</f>
        <v>0</v>
      </c>
      <c r="J14" s="253">
        <f xml:space="preserve">
IF($A$4&lt;=12,SUMIFS('ON Data'!L:L,'ON Data'!$B:$B,$A$4,'ON Data'!$C:$C,5),SUMIFS('ON Data'!L:L,'ON Data'!$C:$C,5))</f>
        <v>0</v>
      </c>
      <c r="K14" s="253">
        <f xml:space="preserve">
IF($A$4&lt;=12,SUMIFS('ON Data'!M:M,'ON Data'!$B:$B,$A$4,'ON Data'!$C:$C,5),SUMIFS('ON Data'!M:M,'ON Data'!$C:$C,5))</f>
        <v>0</v>
      </c>
      <c r="L14" s="253">
        <f xml:space="preserve">
IF($A$4&lt;=12,SUMIFS('ON Data'!N:N,'ON Data'!$B:$B,$A$4,'ON Data'!$C:$C,5),SUMIFS('ON Data'!N:N,'ON Data'!$C:$C,5))</f>
        <v>0</v>
      </c>
      <c r="M14" s="254">
        <f xml:space="preserve">
IF($A$4&lt;=12,SUMIFS('ON Data'!O:O,'ON Data'!$B:$B,$A$4,'ON Data'!$C:$C,5),SUMIFS('ON Data'!O:O,'ON Data'!$C:$C,5))</f>
        <v>0</v>
      </c>
    </row>
    <row r="15" spans="1:13" x14ac:dyDescent="0.3">
      <c r="A15" s="151" t="s">
        <v>222</v>
      </c>
      <c r="B15" s="255"/>
      <c r="C15" s="256"/>
      <c r="D15" s="257"/>
      <c r="E15" s="257"/>
      <c r="F15" s="257"/>
      <c r="G15" s="257"/>
      <c r="H15" s="257"/>
      <c r="I15" s="257"/>
      <c r="J15" s="257"/>
      <c r="K15" s="257"/>
      <c r="L15" s="257"/>
      <c r="M15" s="258"/>
    </row>
    <row r="16" spans="1:13" x14ac:dyDescent="0.3">
      <c r="A16" s="231" t="s">
        <v>211</v>
      </c>
      <c r="B16" s="247">
        <f xml:space="preserve">
IF($A$4&lt;=12,SUMIFS('ON Data'!D:D,'ON Data'!$B:$B,$A$4,'ON Data'!$C:$C,7),SUMIFS('ON Data'!D:D,'ON Data'!$C:$C,7))</f>
        <v>0</v>
      </c>
      <c r="C16" s="248">
        <f xml:space="preserve">
IF($A$4&lt;=12,SUMIFS('ON Data'!E:E,'ON Data'!$B:$B,$A$4,'ON Data'!$C:$C,7),SUMIFS('ON Data'!E:E,'ON Data'!$C:$C,7))</f>
        <v>0</v>
      </c>
      <c r="D16" s="249">
        <f xml:space="preserve">
IF($A$4&lt;=12,SUMIFS('ON Data'!F:F,'ON Data'!$B:$B,$A$4,'ON Data'!$C:$C,7),SUMIFS('ON Data'!F:F,'ON Data'!$C:$C,7))</f>
        <v>0</v>
      </c>
      <c r="E16" s="249">
        <f xml:space="preserve">
IF($A$4&lt;=12,SUMIFS('ON Data'!G:G,'ON Data'!$B:$B,$A$4,'ON Data'!$C:$C,7),SUMIFS('ON Data'!G:G,'ON Data'!$C:$C,7))</f>
        <v>0</v>
      </c>
      <c r="F16" s="249">
        <f xml:space="preserve">
IF($A$4&lt;=12,SUMIFS('ON Data'!H:H,'ON Data'!$B:$B,$A$4,'ON Data'!$C:$C,7),SUMIFS('ON Data'!H:H,'ON Data'!$C:$C,7))</f>
        <v>0</v>
      </c>
      <c r="G16" s="249">
        <f xml:space="preserve">
IF($A$4&lt;=12,SUMIFS('ON Data'!I:I,'ON Data'!$B:$B,$A$4,'ON Data'!$C:$C,7),SUMIFS('ON Data'!I:I,'ON Data'!$C:$C,7))</f>
        <v>0</v>
      </c>
      <c r="H16" s="249">
        <f xml:space="preserve">
IF($A$4&lt;=12,SUMIFS('ON Data'!J:J,'ON Data'!$B:$B,$A$4,'ON Data'!$C:$C,7),SUMIFS('ON Data'!J:J,'ON Data'!$C:$C,7))</f>
        <v>0</v>
      </c>
      <c r="I16" s="249">
        <f xml:space="preserve">
IF($A$4&lt;=12,SUMIFS('ON Data'!K:K,'ON Data'!$B:$B,$A$4,'ON Data'!$C:$C,7),SUMIFS('ON Data'!K:K,'ON Data'!$C:$C,7))</f>
        <v>0</v>
      </c>
      <c r="J16" s="249">
        <f xml:space="preserve">
IF($A$4&lt;=12,SUMIFS('ON Data'!L:L,'ON Data'!$B:$B,$A$4,'ON Data'!$C:$C,7),SUMIFS('ON Data'!L:L,'ON Data'!$C:$C,7))</f>
        <v>0</v>
      </c>
      <c r="K16" s="249">
        <f xml:space="preserve">
IF($A$4&lt;=12,SUMIFS('ON Data'!M:M,'ON Data'!$B:$B,$A$4,'ON Data'!$C:$C,7),SUMIFS('ON Data'!M:M,'ON Data'!$C:$C,7))</f>
        <v>0</v>
      </c>
      <c r="L16" s="249">
        <f xml:space="preserve">
IF($A$4&lt;=12,SUMIFS('ON Data'!N:N,'ON Data'!$B:$B,$A$4,'ON Data'!$C:$C,7),SUMIFS('ON Data'!N:N,'ON Data'!$C:$C,7))</f>
        <v>0</v>
      </c>
      <c r="M16" s="250">
        <f xml:space="preserve">
IF($A$4&lt;=12,SUMIFS('ON Data'!O:O,'ON Data'!$B:$B,$A$4,'ON Data'!$C:$C,7),SUMIFS('ON Data'!O:O,'ON Data'!$C:$C,7))</f>
        <v>0</v>
      </c>
    </row>
    <row r="17" spans="1:13" x14ac:dyDescent="0.3">
      <c r="A17" s="231" t="s">
        <v>212</v>
      </c>
      <c r="B17" s="247">
        <f xml:space="preserve">
IF($A$4&lt;=12,SUMIFS('ON Data'!D:D,'ON Data'!$B:$B,$A$4,'ON Data'!$C:$C,8),SUMIFS('ON Data'!D:D,'ON Data'!$C:$C,8))</f>
        <v>0</v>
      </c>
      <c r="C17" s="248">
        <f xml:space="preserve">
IF($A$4&lt;=12,SUMIFS('ON Data'!E:E,'ON Data'!$B:$B,$A$4,'ON Data'!$C:$C,8),SUMIFS('ON Data'!E:E,'ON Data'!$C:$C,8))</f>
        <v>0</v>
      </c>
      <c r="D17" s="249">
        <f xml:space="preserve">
IF($A$4&lt;=12,SUMIFS('ON Data'!F:F,'ON Data'!$B:$B,$A$4,'ON Data'!$C:$C,8),SUMIFS('ON Data'!F:F,'ON Data'!$C:$C,8))</f>
        <v>0</v>
      </c>
      <c r="E17" s="249">
        <f xml:space="preserve">
IF($A$4&lt;=12,SUMIFS('ON Data'!G:G,'ON Data'!$B:$B,$A$4,'ON Data'!$C:$C,8),SUMIFS('ON Data'!G:G,'ON Data'!$C:$C,8))</f>
        <v>0</v>
      </c>
      <c r="F17" s="249">
        <f xml:space="preserve">
IF($A$4&lt;=12,SUMIFS('ON Data'!H:H,'ON Data'!$B:$B,$A$4,'ON Data'!$C:$C,8),SUMIFS('ON Data'!H:H,'ON Data'!$C:$C,8))</f>
        <v>0</v>
      </c>
      <c r="G17" s="249">
        <f xml:space="preserve">
IF($A$4&lt;=12,SUMIFS('ON Data'!I:I,'ON Data'!$B:$B,$A$4,'ON Data'!$C:$C,8),SUMIFS('ON Data'!I:I,'ON Data'!$C:$C,8))</f>
        <v>0</v>
      </c>
      <c r="H17" s="249">
        <f xml:space="preserve">
IF($A$4&lt;=12,SUMIFS('ON Data'!J:J,'ON Data'!$B:$B,$A$4,'ON Data'!$C:$C,8),SUMIFS('ON Data'!J:J,'ON Data'!$C:$C,8))</f>
        <v>0</v>
      </c>
      <c r="I17" s="249">
        <f xml:space="preserve">
IF($A$4&lt;=12,SUMIFS('ON Data'!K:K,'ON Data'!$B:$B,$A$4,'ON Data'!$C:$C,8),SUMIFS('ON Data'!K:K,'ON Data'!$C:$C,8))</f>
        <v>0</v>
      </c>
      <c r="J17" s="249">
        <f xml:space="preserve">
IF($A$4&lt;=12,SUMIFS('ON Data'!L:L,'ON Data'!$B:$B,$A$4,'ON Data'!$C:$C,8),SUMIFS('ON Data'!L:L,'ON Data'!$C:$C,8))</f>
        <v>0</v>
      </c>
      <c r="K17" s="249">
        <f xml:space="preserve">
IF($A$4&lt;=12,SUMIFS('ON Data'!M:M,'ON Data'!$B:$B,$A$4,'ON Data'!$C:$C,8),SUMIFS('ON Data'!M:M,'ON Data'!$C:$C,8))</f>
        <v>0</v>
      </c>
      <c r="L17" s="249">
        <f xml:space="preserve">
IF($A$4&lt;=12,SUMIFS('ON Data'!N:N,'ON Data'!$B:$B,$A$4,'ON Data'!$C:$C,8),SUMIFS('ON Data'!N:N,'ON Data'!$C:$C,8))</f>
        <v>0</v>
      </c>
      <c r="M17" s="250">
        <f xml:space="preserve">
IF($A$4&lt;=12,SUMIFS('ON Data'!O:O,'ON Data'!$B:$B,$A$4,'ON Data'!$C:$C,8),SUMIFS('ON Data'!O:O,'ON Data'!$C:$C,8))</f>
        <v>0</v>
      </c>
    </row>
    <row r="18" spans="1:13" x14ac:dyDescent="0.3">
      <c r="A18" s="231" t="s">
        <v>213</v>
      </c>
      <c r="B18" s="247">
        <f xml:space="preserve">
B19-B16-B17</f>
        <v>37515</v>
      </c>
      <c r="C18" s="248">
        <f t="shared" ref="C18:M18" si="0" xml:space="preserve">
C19-C16-C17</f>
        <v>0</v>
      </c>
      <c r="D18" s="249">
        <f t="shared" si="0"/>
        <v>0</v>
      </c>
      <c r="E18" s="249">
        <f t="shared" si="0"/>
        <v>15430</v>
      </c>
      <c r="F18" s="249">
        <f t="shared" si="0"/>
        <v>0</v>
      </c>
      <c r="G18" s="249">
        <f t="shared" si="0"/>
        <v>10432</v>
      </c>
      <c r="H18" s="249">
        <f t="shared" si="0"/>
        <v>11653</v>
      </c>
      <c r="I18" s="249">
        <f t="shared" si="0"/>
        <v>0</v>
      </c>
      <c r="J18" s="249">
        <f t="shared" si="0"/>
        <v>0</v>
      </c>
      <c r="K18" s="249">
        <f t="shared" si="0"/>
        <v>0</v>
      </c>
      <c r="L18" s="249">
        <f t="shared" si="0"/>
        <v>0</v>
      </c>
      <c r="M18" s="250">
        <f t="shared" si="0"/>
        <v>0</v>
      </c>
    </row>
    <row r="19" spans="1:13" ht="15" thickBot="1" x14ac:dyDescent="0.35">
      <c r="A19" s="232" t="s">
        <v>214</v>
      </c>
      <c r="B19" s="259">
        <f xml:space="preserve">
IF($A$4&lt;=12,SUMIFS('ON Data'!D:D,'ON Data'!$B:$B,$A$4,'ON Data'!$C:$C,9),SUMIFS('ON Data'!D:D,'ON Data'!$C:$C,9))</f>
        <v>37515</v>
      </c>
      <c r="C19" s="260">
        <f xml:space="preserve">
IF($A$4&lt;=12,SUMIFS('ON Data'!E:E,'ON Data'!$B:$B,$A$4,'ON Data'!$C:$C,9),SUMIFS('ON Data'!E:E,'ON Data'!$C:$C,9))</f>
        <v>0</v>
      </c>
      <c r="D19" s="261">
        <f xml:space="preserve">
IF($A$4&lt;=12,SUMIFS('ON Data'!F:F,'ON Data'!$B:$B,$A$4,'ON Data'!$C:$C,9),SUMIFS('ON Data'!F:F,'ON Data'!$C:$C,9))</f>
        <v>0</v>
      </c>
      <c r="E19" s="261">
        <f xml:space="preserve">
IF($A$4&lt;=12,SUMIFS('ON Data'!G:G,'ON Data'!$B:$B,$A$4,'ON Data'!$C:$C,9),SUMIFS('ON Data'!G:G,'ON Data'!$C:$C,9))</f>
        <v>15430</v>
      </c>
      <c r="F19" s="261">
        <f xml:space="preserve">
IF($A$4&lt;=12,SUMIFS('ON Data'!H:H,'ON Data'!$B:$B,$A$4,'ON Data'!$C:$C,9),SUMIFS('ON Data'!H:H,'ON Data'!$C:$C,9))</f>
        <v>0</v>
      </c>
      <c r="G19" s="261">
        <f xml:space="preserve">
IF($A$4&lt;=12,SUMIFS('ON Data'!I:I,'ON Data'!$B:$B,$A$4,'ON Data'!$C:$C,9),SUMIFS('ON Data'!I:I,'ON Data'!$C:$C,9))</f>
        <v>10432</v>
      </c>
      <c r="H19" s="261">
        <f xml:space="preserve">
IF($A$4&lt;=12,SUMIFS('ON Data'!J:J,'ON Data'!$B:$B,$A$4,'ON Data'!$C:$C,9),SUMIFS('ON Data'!J:J,'ON Data'!$C:$C,9))</f>
        <v>11653</v>
      </c>
      <c r="I19" s="261">
        <f xml:space="preserve">
IF($A$4&lt;=12,SUMIFS('ON Data'!K:K,'ON Data'!$B:$B,$A$4,'ON Data'!$C:$C,9),SUMIFS('ON Data'!K:K,'ON Data'!$C:$C,9))</f>
        <v>0</v>
      </c>
      <c r="J19" s="261">
        <f xml:space="preserve">
IF($A$4&lt;=12,SUMIFS('ON Data'!L:L,'ON Data'!$B:$B,$A$4,'ON Data'!$C:$C,9),SUMIFS('ON Data'!L:L,'ON Data'!$C:$C,9))</f>
        <v>0</v>
      </c>
      <c r="K19" s="261">
        <f xml:space="preserve">
IF($A$4&lt;=12,SUMIFS('ON Data'!M:M,'ON Data'!$B:$B,$A$4,'ON Data'!$C:$C,9),SUMIFS('ON Data'!M:M,'ON Data'!$C:$C,9))</f>
        <v>0</v>
      </c>
      <c r="L19" s="261">
        <f xml:space="preserve">
IF($A$4&lt;=12,SUMIFS('ON Data'!N:N,'ON Data'!$B:$B,$A$4,'ON Data'!$C:$C,9),SUMIFS('ON Data'!N:N,'ON Data'!$C:$C,9))</f>
        <v>0</v>
      </c>
      <c r="M19" s="262">
        <f xml:space="preserve">
IF($A$4&lt;=12,SUMIFS('ON Data'!O:O,'ON Data'!$B:$B,$A$4,'ON Data'!$C:$C,9),SUMIFS('ON Data'!O:O,'ON Data'!$C:$C,9))</f>
        <v>0</v>
      </c>
    </row>
    <row r="20" spans="1:13" ht="15" collapsed="1" thickBot="1" x14ac:dyDescent="0.35">
      <c r="A20" s="233" t="s">
        <v>63</v>
      </c>
      <c r="B20" s="263">
        <f xml:space="preserve">
IF($A$4&lt;=12,SUMIFS('ON Data'!D:D,'ON Data'!$B:$B,$A$4,'ON Data'!$C:$C,6),SUMIFS('ON Data'!D:D,'ON Data'!$C:$C,6))</f>
        <v>3077354</v>
      </c>
      <c r="C20" s="264">
        <f xml:space="preserve">
IF($A$4&lt;=12,SUMIFS('ON Data'!E:E,'ON Data'!$B:$B,$A$4,'ON Data'!$C:$C,6),SUMIFS('ON Data'!E:E,'ON Data'!$C:$C,6))</f>
        <v>32620</v>
      </c>
      <c r="D20" s="265">
        <f xml:space="preserve">
IF($A$4&lt;=12,SUMIFS('ON Data'!F:F,'ON Data'!$B:$B,$A$4,'ON Data'!$C:$C,6),SUMIFS('ON Data'!F:F,'ON Data'!$C:$C,6))</f>
        <v>0</v>
      </c>
      <c r="E20" s="265">
        <f xml:space="preserve">
IF($A$4&lt;=12,SUMIFS('ON Data'!G:G,'ON Data'!$B:$B,$A$4,'ON Data'!$C:$C,6),SUMIFS('ON Data'!G:G,'ON Data'!$C:$C,6))</f>
        <v>1013516</v>
      </c>
      <c r="F20" s="265">
        <f xml:space="preserve">
IF($A$4&lt;=12,SUMIFS('ON Data'!H:H,'ON Data'!$B:$B,$A$4,'ON Data'!$C:$C,6),SUMIFS('ON Data'!H:H,'ON Data'!$C:$C,6))</f>
        <v>0</v>
      </c>
      <c r="G20" s="265">
        <f xml:space="preserve">
IF($A$4&lt;=12,SUMIFS('ON Data'!I:I,'ON Data'!$B:$B,$A$4,'ON Data'!$C:$C,6),SUMIFS('ON Data'!I:I,'ON Data'!$C:$C,6))</f>
        <v>1411481</v>
      </c>
      <c r="H20" s="265">
        <f xml:space="preserve">
IF($A$4&lt;=12,SUMIFS('ON Data'!J:J,'ON Data'!$B:$B,$A$4,'ON Data'!$C:$C,6),SUMIFS('ON Data'!J:J,'ON Data'!$C:$C,6))</f>
        <v>566048</v>
      </c>
      <c r="I20" s="265">
        <f xml:space="preserve">
IF($A$4&lt;=12,SUMIFS('ON Data'!K:K,'ON Data'!$B:$B,$A$4,'ON Data'!$C:$C,6),SUMIFS('ON Data'!K:K,'ON Data'!$C:$C,6))</f>
        <v>0</v>
      </c>
      <c r="J20" s="265">
        <f xml:space="preserve">
IF($A$4&lt;=12,SUMIFS('ON Data'!L:L,'ON Data'!$B:$B,$A$4,'ON Data'!$C:$C,6),SUMIFS('ON Data'!L:L,'ON Data'!$C:$C,6))</f>
        <v>0</v>
      </c>
      <c r="K20" s="265">
        <f xml:space="preserve">
IF($A$4&lt;=12,SUMIFS('ON Data'!M:M,'ON Data'!$B:$B,$A$4,'ON Data'!$C:$C,6),SUMIFS('ON Data'!M:M,'ON Data'!$C:$C,6))</f>
        <v>0</v>
      </c>
      <c r="L20" s="265">
        <f xml:space="preserve">
IF($A$4&lt;=12,SUMIFS('ON Data'!N:N,'ON Data'!$B:$B,$A$4,'ON Data'!$C:$C,6),SUMIFS('ON Data'!N:N,'ON Data'!$C:$C,6))</f>
        <v>25689</v>
      </c>
      <c r="M20" s="266">
        <f xml:space="preserve">
IF($A$4&lt;=12,SUMIFS('ON Data'!O:O,'ON Data'!$B:$B,$A$4,'ON Data'!$C:$C,6),SUMIFS('ON Data'!O:O,'ON Data'!$C:$C,6))</f>
        <v>28000</v>
      </c>
    </row>
    <row r="21" spans="1:13" hidden="1" outlineLevel="1" x14ac:dyDescent="0.3">
      <c r="A21" s="226" t="s">
        <v>97</v>
      </c>
      <c r="B21" s="247"/>
      <c r="C21" s="248"/>
      <c r="D21" s="249"/>
      <c r="E21" s="249"/>
      <c r="F21" s="249"/>
      <c r="G21" s="249"/>
      <c r="H21" s="249"/>
      <c r="I21" s="249"/>
      <c r="J21" s="249"/>
      <c r="K21" s="249"/>
      <c r="L21" s="249"/>
      <c r="M21" s="250"/>
    </row>
    <row r="22" spans="1:13" hidden="1" outlineLevel="1" x14ac:dyDescent="0.3">
      <c r="A22" s="226" t="s">
        <v>65</v>
      </c>
      <c r="B22" s="247"/>
      <c r="C22" s="248"/>
      <c r="D22" s="249"/>
      <c r="E22" s="249"/>
      <c r="F22" s="249"/>
      <c r="G22" s="249"/>
      <c r="H22" s="249"/>
      <c r="I22" s="249"/>
      <c r="J22" s="249"/>
      <c r="K22" s="249"/>
      <c r="L22" s="249"/>
      <c r="M22" s="250"/>
    </row>
    <row r="23" spans="1:13" ht="15" hidden="1" outlineLevel="1" thickBot="1" x14ac:dyDescent="0.35">
      <c r="A23" s="234" t="s">
        <v>58</v>
      </c>
      <c r="B23" s="251"/>
      <c r="C23" s="252"/>
      <c r="D23" s="253"/>
      <c r="E23" s="253"/>
      <c r="F23" s="253"/>
      <c r="G23" s="253"/>
      <c r="H23" s="253"/>
      <c r="I23" s="253"/>
      <c r="J23" s="253"/>
      <c r="K23" s="253"/>
      <c r="L23" s="253"/>
      <c r="M23" s="254"/>
    </row>
    <row r="24" spans="1:13" x14ac:dyDescent="0.3">
      <c r="A24" s="228" t="s">
        <v>215</v>
      </c>
      <c r="B24" s="243"/>
      <c r="C24" s="244"/>
      <c r="D24" s="342" t="s">
        <v>196</v>
      </c>
      <c r="E24" s="343"/>
      <c r="F24" s="344" t="s">
        <v>216</v>
      </c>
      <c r="G24" s="344"/>
      <c r="H24" s="344"/>
      <c r="I24" s="344"/>
      <c r="J24" s="245"/>
      <c r="K24" s="245"/>
      <c r="L24" s="245"/>
      <c r="M24" s="246"/>
    </row>
    <row r="25" spans="1:13" ht="15" collapsed="1" thickBot="1" x14ac:dyDescent="0.35">
      <c r="A25" s="229" t="s">
        <v>63</v>
      </c>
      <c r="B25" s="247">
        <f>SUM(D25:I25)</f>
        <v>0</v>
      </c>
      <c r="C25" s="267">
        <v>0</v>
      </c>
      <c r="D25" s="339">
        <v>0</v>
      </c>
      <c r="E25" s="340"/>
      <c r="F25" s="341">
        <v>0</v>
      </c>
      <c r="G25" s="341"/>
      <c r="H25" s="341"/>
      <c r="I25" s="341"/>
      <c r="J25" s="249">
        <v>0</v>
      </c>
      <c r="K25" s="249">
        <v>0</v>
      </c>
      <c r="L25" s="249">
        <v>0</v>
      </c>
      <c r="M25" s="250">
        <v>0</v>
      </c>
    </row>
    <row r="26" spans="1:13" hidden="1" outlineLevel="1" x14ac:dyDescent="0.3">
      <c r="A26" s="235" t="s">
        <v>97</v>
      </c>
      <c r="B26" s="259">
        <f t="shared" ref="B26:B28" si="1">SUM(D26:I26)</f>
        <v>0</v>
      </c>
      <c r="C26" s="267">
        <v>0</v>
      </c>
      <c r="D26" s="339">
        <v>0</v>
      </c>
      <c r="E26" s="340"/>
      <c r="F26" s="341">
        <v>0</v>
      </c>
      <c r="G26" s="341"/>
      <c r="H26" s="341"/>
      <c r="I26" s="341"/>
      <c r="J26" s="249">
        <v>0</v>
      </c>
      <c r="K26" s="249">
        <v>0</v>
      </c>
      <c r="L26" s="249">
        <v>0</v>
      </c>
      <c r="M26" s="250">
        <v>0</v>
      </c>
    </row>
    <row r="27" spans="1:13" hidden="1" outlineLevel="1" x14ac:dyDescent="0.3">
      <c r="A27" s="235" t="s">
        <v>65</v>
      </c>
      <c r="B27" s="259">
        <f t="shared" si="1"/>
        <v>0</v>
      </c>
      <c r="C27" s="267">
        <v>0</v>
      </c>
      <c r="D27" s="339">
        <v>0</v>
      </c>
      <c r="E27" s="340"/>
      <c r="F27" s="341">
        <v>0</v>
      </c>
      <c r="G27" s="341"/>
      <c r="H27" s="341"/>
      <c r="I27" s="341"/>
      <c r="J27" s="249">
        <v>0</v>
      </c>
      <c r="K27" s="249">
        <v>0</v>
      </c>
      <c r="L27" s="249">
        <v>0</v>
      </c>
      <c r="M27" s="250">
        <v>0</v>
      </c>
    </row>
    <row r="28" spans="1:13" ht="15" hidden="1" outlineLevel="1" thickBot="1" x14ac:dyDescent="0.35">
      <c r="A28" s="235" t="s">
        <v>58</v>
      </c>
      <c r="B28" s="259">
        <f t="shared" si="1"/>
        <v>0</v>
      </c>
      <c r="C28" s="268">
        <v>0</v>
      </c>
      <c r="D28" s="332">
        <v>0</v>
      </c>
      <c r="E28" s="333"/>
      <c r="F28" s="334">
        <v>0</v>
      </c>
      <c r="G28" s="334"/>
      <c r="H28" s="334"/>
      <c r="I28" s="334"/>
      <c r="J28" s="253">
        <v>0</v>
      </c>
      <c r="K28" s="253">
        <v>0</v>
      </c>
      <c r="L28" s="253">
        <v>0</v>
      </c>
      <c r="M28" s="254">
        <v>0</v>
      </c>
    </row>
    <row r="29" spans="1:13" x14ac:dyDescent="0.3">
      <c r="A29" s="236"/>
      <c r="B29" s="236"/>
      <c r="C29" s="237"/>
      <c r="D29" s="236"/>
      <c r="E29" s="236"/>
      <c r="F29" s="237"/>
      <c r="G29" s="236"/>
      <c r="H29" s="236"/>
      <c r="I29" s="236"/>
      <c r="J29" s="236"/>
      <c r="K29" s="236"/>
      <c r="L29" s="236"/>
      <c r="M29" s="236"/>
    </row>
    <row r="30" spans="1:13" x14ac:dyDescent="0.3">
      <c r="A30" s="103" t="s">
        <v>139</v>
      </c>
      <c r="B30" s="120"/>
      <c r="C30" s="120"/>
      <c r="D30" s="120"/>
      <c r="E30" s="120"/>
      <c r="F30" s="120"/>
      <c r="G30" s="120"/>
      <c r="H30" s="120"/>
      <c r="I30" s="139"/>
      <c r="J30" s="139"/>
      <c r="K30" s="139"/>
      <c r="L30" s="139"/>
      <c r="M30" s="139"/>
    </row>
    <row r="31" spans="1:13" ht="14.4" customHeight="1" x14ac:dyDescent="0.3">
      <c r="A31" s="284" t="s">
        <v>221</v>
      </c>
      <c r="B31" s="285"/>
      <c r="C31" s="285"/>
      <c r="D31" s="285"/>
      <c r="E31" s="285"/>
      <c r="F31" s="285"/>
      <c r="G31" s="285"/>
      <c r="H31" s="285"/>
    </row>
  </sheetData>
  <mergeCells count="12">
    <mergeCell ref="D28:E28"/>
    <mergeCell ref="F28:I28"/>
    <mergeCell ref="A1:M1"/>
    <mergeCell ref="B3:B4"/>
    <mergeCell ref="D25:E25"/>
    <mergeCell ref="F25:I25"/>
    <mergeCell ref="D24:E24"/>
    <mergeCell ref="F24:I24"/>
    <mergeCell ref="D26:E26"/>
    <mergeCell ref="D27:E27"/>
    <mergeCell ref="F26:I26"/>
    <mergeCell ref="F27:I27"/>
  </mergeCells>
  <hyperlinks>
    <hyperlink ref="A2" location="Obsah!A1" display="Zpět na Obsah  KL 01  1.-4.měsíc"/>
  </hyperlinks>
  <pageMargins left="0.25" right="0.25" top="0.75" bottom="0.75" header="0.3" footer="0.3"/>
  <pageSetup paperSize="9" scale="77" orientation="landscape" r:id="rId1"/>
  <ignoredErrors>
    <ignoredError sqref="B27:B28 B25:B26" formulaRange="1"/>
    <ignoredError sqref="B6:M6" evalError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'ON Data'!$R$3:$R$16</xm:f>
          </x14:formula1>
          <xm:sqref>A4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R16"/>
  <sheetViews>
    <sheetView showGridLines="0" showRowColHeaders="0" workbookViewId="0"/>
  </sheetViews>
  <sheetFormatPr defaultRowHeight="14.4" x14ac:dyDescent="0.3"/>
  <cols>
    <col min="1" max="16384" width="8.88671875" style="213"/>
  </cols>
  <sheetData>
    <row r="1" spans="1:18" x14ac:dyDescent="0.3">
      <c r="A1" s="213" t="s">
        <v>1115</v>
      </c>
    </row>
    <row r="2" spans="1:18" x14ac:dyDescent="0.3">
      <c r="A2" s="217" t="s">
        <v>223</v>
      </c>
    </row>
    <row r="3" spans="1:18" x14ac:dyDescent="0.3">
      <c r="B3" s="214">
        <f>MAX(B5:B1048576)</f>
        <v>2</v>
      </c>
      <c r="D3" s="214">
        <f t="shared" ref="D3:G3" si="0">SUM(D5:D1048576)</f>
        <v>3133122.59</v>
      </c>
      <c r="E3" s="214">
        <f t="shared" si="0"/>
        <v>32819</v>
      </c>
      <c r="F3" s="214">
        <f t="shared" si="0"/>
        <v>0</v>
      </c>
      <c r="G3" s="214">
        <f t="shared" si="0"/>
        <v>1032723.05</v>
      </c>
      <c r="H3" s="214">
        <f t="shared" ref="H3:O3" si="1">SUM(H5:H1048576)</f>
        <v>0</v>
      </c>
      <c r="I3" s="214">
        <f t="shared" si="1"/>
        <v>1431211</v>
      </c>
      <c r="J3" s="214">
        <f t="shared" si="1"/>
        <v>582054.43999999994</v>
      </c>
      <c r="K3" s="214">
        <f t="shared" si="1"/>
        <v>0</v>
      </c>
      <c r="L3" s="214">
        <f t="shared" si="1"/>
        <v>0</v>
      </c>
      <c r="M3" s="214">
        <f t="shared" si="1"/>
        <v>0</v>
      </c>
      <c r="N3" s="214">
        <f t="shared" si="1"/>
        <v>25969.1</v>
      </c>
      <c r="O3" s="214">
        <f t="shared" si="1"/>
        <v>28346</v>
      </c>
      <c r="Q3" s="213" t="s">
        <v>181</v>
      </c>
      <c r="R3" s="240">
        <v>2014</v>
      </c>
    </row>
    <row r="4" spans="1:18" x14ac:dyDescent="0.3">
      <c r="A4" s="215" t="s">
        <v>8</v>
      </c>
      <c r="B4" s="216" t="s">
        <v>57</v>
      </c>
      <c r="C4" s="216" t="s">
        <v>169</v>
      </c>
      <c r="D4" s="216" t="s">
        <v>6</v>
      </c>
      <c r="E4" s="216" t="s">
        <v>170</v>
      </c>
      <c r="F4" s="216" t="s">
        <v>171</v>
      </c>
      <c r="G4" s="216" t="s">
        <v>172</v>
      </c>
      <c r="H4" s="216" t="s">
        <v>173</v>
      </c>
      <c r="I4" s="216" t="s">
        <v>174</v>
      </c>
      <c r="J4" s="216" t="s">
        <v>175</v>
      </c>
      <c r="K4" s="216" t="s">
        <v>176</v>
      </c>
      <c r="L4" s="216" t="s">
        <v>177</v>
      </c>
      <c r="M4" s="216" t="s">
        <v>178</v>
      </c>
      <c r="N4" s="216" t="s">
        <v>179</v>
      </c>
      <c r="O4" s="216" t="s">
        <v>180</v>
      </c>
      <c r="Q4" s="213" t="s">
        <v>182</v>
      </c>
      <c r="R4" s="240">
        <v>1</v>
      </c>
    </row>
    <row r="5" spans="1:18" x14ac:dyDescent="0.3">
      <c r="A5" s="213">
        <v>24</v>
      </c>
      <c r="B5" s="213">
        <v>1</v>
      </c>
      <c r="C5" s="213">
        <v>1</v>
      </c>
      <c r="D5" s="213">
        <v>55.13</v>
      </c>
      <c r="E5" s="213">
        <v>0</v>
      </c>
      <c r="F5" s="213">
        <v>0</v>
      </c>
      <c r="G5" s="213">
        <v>11.4</v>
      </c>
      <c r="H5" s="213">
        <v>0</v>
      </c>
      <c r="I5" s="213">
        <v>29</v>
      </c>
      <c r="J5" s="213">
        <v>12.88</v>
      </c>
      <c r="K5" s="213">
        <v>0</v>
      </c>
      <c r="L5" s="213">
        <v>0</v>
      </c>
      <c r="M5" s="213">
        <v>0</v>
      </c>
      <c r="N5" s="213">
        <v>0.85</v>
      </c>
      <c r="O5" s="213">
        <v>1</v>
      </c>
      <c r="Q5" s="213" t="s">
        <v>183</v>
      </c>
      <c r="R5" s="240">
        <v>2</v>
      </c>
    </row>
    <row r="6" spans="1:18" x14ac:dyDescent="0.3">
      <c r="A6" s="213">
        <v>24</v>
      </c>
      <c r="B6" s="213">
        <v>1</v>
      </c>
      <c r="C6" s="213">
        <v>2</v>
      </c>
      <c r="D6" s="213">
        <v>9410.82</v>
      </c>
      <c r="E6" s="213">
        <v>0</v>
      </c>
      <c r="F6" s="213">
        <v>0</v>
      </c>
      <c r="G6" s="213">
        <v>1890.5</v>
      </c>
      <c r="H6" s="213">
        <v>0</v>
      </c>
      <c r="I6" s="213">
        <v>4864</v>
      </c>
      <c r="J6" s="213">
        <v>2329.92</v>
      </c>
      <c r="K6" s="213">
        <v>0</v>
      </c>
      <c r="L6" s="213">
        <v>0</v>
      </c>
      <c r="M6" s="213">
        <v>0</v>
      </c>
      <c r="N6" s="213">
        <v>142.4</v>
      </c>
      <c r="O6" s="213">
        <v>184</v>
      </c>
      <c r="Q6" s="213" t="s">
        <v>184</v>
      </c>
      <c r="R6" s="240">
        <v>3</v>
      </c>
    </row>
    <row r="7" spans="1:18" x14ac:dyDescent="0.3">
      <c r="A7" s="213">
        <v>24</v>
      </c>
      <c r="B7" s="213">
        <v>1</v>
      </c>
      <c r="C7" s="213">
        <v>5</v>
      </c>
      <c r="D7" s="213">
        <v>99</v>
      </c>
      <c r="E7" s="213">
        <v>99</v>
      </c>
      <c r="F7" s="213">
        <v>0</v>
      </c>
      <c r="G7" s="213">
        <v>0</v>
      </c>
      <c r="H7" s="213">
        <v>0</v>
      </c>
      <c r="I7" s="213">
        <v>0</v>
      </c>
      <c r="J7" s="213">
        <v>0</v>
      </c>
      <c r="K7" s="213">
        <v>0</v>
      </c>
      <c r="L7" s="213">
        <v>0</v>
      </c>
      <c r="M7" s="213">
        <v>0</v>
      </c>
      <c r="N7" s="213">
        <v>0</v>
      </c>
      <c r="O7" s="213">
        <v>0</v>
      </c>
      <c r="Q7" s="213" t="s">
        <v>185</v>
      </c>
      <c r="R7" s="240">
        <v>4</v>
      </c>
    </row>
    <row r="8" spans="1:18" x14ac:dyDescent="0.3">
      <c r="A8" s="213">
        <v>24</v>
      </c>
      <c r="B8" s="213">
        <v>1</v>
      </c>
      <c r="C8" s="213">
        <v>6</v>
      </c>
      <c r="D8" s="213">
        <v>1529386</v>
      </c>
      <c r="E8" s="213">
        <v>16010</v>
      </c>
      <c r="F8" s="213">
        <v>0</v>
      </c>
      <c r="G8" s="213">
        <v>499328</v>
      </c>
      <c r="H8" s="213">
        <v>0</v>
      </c>
      <c r="I8" s="213">
        <v>704388</v>
      </c>
      <c r="J8" s="213">
        <v>282728</v>
      </c>
      <c r="K8" s="213">
        <v>0</v>
      </c>
      <c r="L8" s="213">
        <v>0</v>
      </c>
      <c r="M8" s="213">
        <v>0</v>
      </c>
      <c r="N8" s="213">
        <v>12932</v>
      </c>
      <c r="O8" s="213">
        <v>14000</v>
      </c>
      <c r="Q8" s="213" t="s">
        <v>186</v>
      </c>
      <c r="R8" s="240">
        <v>5</v>
      </c>
    </row>
    <row r="9" spans="1:18" x14ac:dyDescent="0.3">
      <c r="A9" s="213">
        <v>24</v>
      </c>
      <c r="B9" s="213">
        <v>1</v>
      </c>
      <c r="C9" s="213">
        <v>9</v>
      </c>
      <c r="D9" s="213">
        <v>10432</v>
      </c>
      <c r="E9" s="213">
        <v>0</v>
      </c>
      <c r="F9" s="213">
        <v>0</v>
      </c>
      <c r="G9" s="213">
        <v>0</v>
      </c>
      <c r="H9" s="213">
        <v>0</v>
      </c>
      <c r="I9" s="213">
        <v>10432</v>
      </c>
      <c r="J9" s="213">
        <v>0</v>
      </c>
      <c r="K9" s="213">
        <v>0</v>
      </c>
      <c r="L9" s="213">
        <v>0</v>
      </c>
      <c r="M9" s="213">
        <v>0</v>
      </c>
      <c r="N9" s="213">
        <v>0</v>
      </c>
      <c r="O9" s="213">
        <v>0</v>
      </c>
      <c r="Q9" s="213" t="s">
        <v>187</v>
      </c>
      <c r="R9" s="240">
        <v>6</v>
      </c>
    </row>
    <row r="10" spans="1:18" x14ac:dyDescent="0.3">
      <c r="A10" s="213">
        <v>24</v>
      </c>
      <c r="B10" s="213">
        <v>2</v>
      </c>
      <c r="C10" s="213">
        <v>1</v>
      </c>
      <c r="D10" s="213">
        <v>56.28</v>
      </c>
      <c r="E10" s="213">
        <v>0</v>
      </c>
      <c r="F10" s="213">
        <v>0</v>
      </c>
      <c r="G10" s="213">
        <v>12.55</v>
      </c>
      <c r="H10" s="213">
        <v>0</v>
      </c>
      <c r="I10" s="213">
        <v>29</v>
      </c>
      <c r="J10" s="213">
        <v>12.88</v>
      </c>
      <c r="K10" s="213">
        <v>0</v>
      </c>
      <c r="L10" s="213">
        <v>0</v>
      </c>
      <c r="M10" s="213">
        <v>0</v>
      </c>
      <c r="N10" s="213">
        <v>0.85</v>
      </c>
      <c r="O10" s="213">
        <v>1</v>
      </c>
      <c r="Q10" s="213" t="s">
        <v>188</v>
      </c>
      <c r="R10" s="240">
        <v>7</v>
      </c>
    </row>
    <row r="11" spans="1:18" x14ac:dyDescent="0.3">
      <c r="A11" s="213">
        <v>24</v>
      </c>
      <c r="B11" s="213">
        <v>2</v>
      </c>
      <c r="C11" s="213">
        <v>2</v>
      </c>
      <c r="D11" s="213">
        <v>8532.36</v>
      </c>
      <c r="E11" s="213">
        <v>0</v>
      </c>
      <c r="F11" s="213">
        <v>0</v>
      </c>
      <c r="G11" s="213">
        <v>1862.6</v>
      </c>
      <c r="H11" s="213">
        <v>0</v>
      </c>
      <c r="I11" s="213">
        <v>4376</v>
      </c>
      <c r="J11" s="213">
        <v>1997.76</v>
      </c>
      <c r="K11" s="213">
        <v>0</v>
      </c>
      <c r="L11" s="213">
        <v>0</v>
      </c>
      <c r="M11" s="213">
        <v>0</v>
      </c>
      <c r="N11" s="213">
        <v>136</v>
      </c>
      <c r="O11" s="213">
        <v>160</v>
      </c>
      <c r="Q11" s="213" t="s">
        <v>189</v>
      </c>
      <c r="R11" s="240">
        <v>8</v>
      </c>
    </row>
    <row r="12" spans="1:18" x14ac:dyDescent="0.3">
      <c r="A12" s="213">
        <v>24</v>
      </c>
      <c r="B12" s="213">
        <v>2</v>
      </c>
      <c r="C12" s="213">
        <v>5</v>
      </c>
      <c r="D12" s="213">
        <v>100</v>
      </c>
      <c r="E12" s="213">
        <v>100</v>
      </c>
      <c r="F12" s="213">
        <v>0</v>
      </c>
      <c r="G12" s="213">
        <v>0</v>
      </c>
      <c r="H12" s="213">
        <v>0</v>
      </c>
      <c r="I12" s="213">
        <v>0</v>
      </c>
      <c r="J12" s="213">
        <v>0</v>
      </c>
      <c r="K12" s="213">
        <v>0</v>
      </c>
      <c r="L12" s="213">
        <v>0</v>
      </c>
      <c r="M12" s="213">
        <v>0</v>
      </c>
      <c r="N12" s="213">
        <v>0</v>
      </c>
      <c r="O12" s="213">
        <v>0</v>
      </c>
      <c r="Q12" s="213" t="s">
        <v>190</v>
      </c>
      <c r="R12" s="240">
        <v>9</v>
      </c>
    </row>
    <row r="13" spans="1:18" x14ac:dyDescent="0.3">
      <c r="A13" s="213">
        <v>24</v>
      </c>
      <c r="B13" s="213">
        <v>2</v>
      </c>
      <c r="C13" s="213">
        <v>6</v>
      </c>
      <c r="D13" s="213">
        <v>1547968</v>
      </c>
      <c r="E13" s="213">
        <v>16610</v>
      </c>
      <c r="F13" s="213">
        <v>0</v>
      </c>
      <c r="G13" s="213">
        <v>514188</v>
      </c>
      <c r="H13" s="213">
        <v>0</v>
      </c>
      <c r="I13" s="213">
        <v>707093</v>
      </c>
      <c r="J13" s="213">
        <v>283320</v>
      </c>
      <c r="K13" s="213">
        <v>0</v>
      </c>
      <c r="L13" s="213">
        <v>0</v>
      </c>
      <c r="M13" s="213">
        <v>0</v>
      </c>
      <c r="N13" s="213">
        <v>12757</v>
      </c>
      <c r="O13" s="213">
        <v>14000</v>
      </c>
      <c r="Q13" s="213" t="s">
        <v>191</v>
      </c>
      <c r="R13" s="240">
        <v>10</v>
      </c>
    </row>
    <row r="14" spans="1:18" x14ac:dyDescent="0.3">
      <c r="A14" s="213">
        <v>24</v>
      </c>
      <c r="B14" s="213">
        <v>2</v>
      </c>
      <c r="C14" s="213">
        <v>9</v>
      </c>
      <c r="D14" s="213">
        <v>27083</v>
      </c>
      <c r="E14" s="213">
        <v>0</v>
      </c>
      <c r="F14" s="213">
        <v>0</v>
      </c>
      <c r="G14" s="213">
        <v>15430</v>
      </c>
      <c r="H14" s="213">
        <v>0</v>
      </c>
      <c r="I14" s="213">
        <v>0</v>
      </c>
      <c r="J14" s="213">
        <v>11653</v>
      </c>
      <c r="K14" s="213">
        <v>0</v>
      </c>
      <c r="L14" s="213">
        <v>0</v>
      </c>
      <c r="M14" s="213">
        <v>0</v>
      </c>
      <c r="N14" s="213">
        <v>0</v>
      </c>
      <c r="O14" s="213">
        <v>0</v>
      </c>
      <c r="Q14" s="213" t="s">
        <v>192</v>
      </c>
      <c r="R14" s="240">
        <v>11</v>
      </c>
    </row>
    <row r="15" spans="1:18" x14ac:dyDescent="0.3">
      <c r="Q15" s="213" t="s">
        <v>193</v>
      </c>
      <c r="R15" s="240">
        <v>12</v>
      </c>
    </row>
    <row r="16" spans="1:18" x14ac:dyDescent="0.3">
      <c r="Q16" s="213" t="s">
        <v>181</v>
      </c>
      <c r="R16" s="240">
        <v>2014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pageSetUpPr fitToPage="1"/>
  </sheetPr>
  <dimension ref="A1:S10"/>
  <sheetViews>
    <sheetView showGridLines="0" showRowColHeaders="0" workbookViewId="0">
      <pane ySplit="5" topLeftCell="A6" activePane="bottomLeft" state="frozen"/>
      <selection activeCell="A2" sqref="A2:M2"/>
      <selection pane="bottomLeft" sqref="A1:S1"/>
    </sheetView>
  </sheetViews>
  <sheetFormatPr defaultRowHeight="14.4" customHeight="1" x14ac:dyDescent="0.3"/>
  <cols>
    <col min="1" max="1" width="46.6640625" style="120" bestFit="1" customWidth="1"/>
    <col min="2" max="2" width="7.77734375" style="96" customWidth="1"/>
    <col min="3" max="3" width="5.44140625" style="120" hidden="1" customWidth="1"/>
    <col min="4" max="4" width="7.77734375" style="96" customWidth="1"/>
    <col min="5" max="5" width="5.44140625" style="120" hidden="1" customWidth="1"/>
    <col min="6" max="6" width="7.77734375" style="96" customWidth="1"/>
    <col min="7" max="7" width="7.77734375" style="199" customWidth="1"/>
    <col min="8" max="8" width="7.77734375" style="96" customWidth="1"/>
    <col min="9" max="9" width="5.44140625" style="120" hidden="1" customWidth="1"/>
    <col min="10" max="10" width="7.77734375" style="96" customWidth="1"/>
    <col min="11" max="11" width="5.44140625" style="120" hidden="1" customWidth="1"/>
    <col min="12" max="12" width="7.77734375" style="96" customWidth="1"/>
    <col min="13" max="13" width="7.77734375" style="199" customWidth="1"/>
    <col min="14" max="14" width="7.77734375" style="96" customWidth="1"/>
    <col min="15" max="15" width="5" style="120" hidden="1" customWidth="1"/>
    <col min="16" max="16" width="7.77734375" style="96" customWidth="1"/>
    <col min="17" max="17" width="5" style="120" hidden="1" customWidth="1"/>
    <col min="18" max="18" width="7.77734375" style="96" customWidth="1"/>
    <col min="19" max="19" width="7.77734375" style="199" customWidth="1"/>
    <col min="20" max="16384" width="8.88671875" style="120"/>
  </cols>
  <sheetData>
    <row r="1" spans="1:19" ht="18.600000000000001" customHeight="1" thickBot="1" x14ac:dyDescent="0.4">
      <c r="A1" s="345" t="s">
        <v>1120</v>
      </c>
      <c r="B1" s="290"/>
      <c r="C1" s="290"/>
      <c r="D1" s="290"/>
      <c r="E1" s="290"/>
      <c r="F1" s="290"/>
      <c r="G1" s="290"/>
      <c r="H1" s="290"/>
      <c r="I1" s="290"/>
      <c r="J1" s="290"/>
      <c r="K1" s="290"/>
      <c r="L1" s="290"/>
      <c r="M1" s="290"/>
      <c r="N1" s="290"/>
      <c r="O1" s="290"/>
      <c r="P1" s="290"/>
      <c r="Q1" s="290"/>
      <c r="R1" s="290"/>
      <c r="S1" s="290"/>
    </row>
    <row r="2" spans="1:19" ht="14.4" customHeight="1" thickBot="1" x14ac:dyDescent="0.35">
      <c r="A2" s="217" t="s">
        <v>223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</row>
    <row r="3" spans="1:19" ht="14.4" customHeight="1" thickBot="1" x14ac:dyDescent="0.35">
      <c r="A3" s="205" t="s">
        <v>113</v>
      </c>
      <c r="B3" s="206">
        <f>SUBTOTAL(9,B6:B1048576)</f>
        <v>3943529.0700000022</v>
      </c>
      <c r="C3" s="207">
        <f t="shared" ref="C3:R3" si="0">SUBTOTAL(9,C6:C1048576)</f>
        <v>2</v>
      </c>
      <c r="D3" s="207">
        <f t="shared" si="0"/>
        <v>3672613.4299999997</v>
      </c>
      <c r="E3" s="207">
        <f t="shared" si="0"/>
        <v>1.8750418476459234</v>
      </c>
      <c r="F3" s="207">
        <f t="shared" si="0"/>
        <v>3817809.9699999993</v>
      </c>
      <c r="G3" s="208">
        <f>IF(B3&lt;&gt;0,F3/B3,"")</f>
        <v>0.96812015386005434</v>
      </c>
      <c r="H3" s="209">
        <f t="shared" si="0"/>
        <v>429804</v>
      </c>
      <c r="I3" s="207">
        <f t="shared" si="0"/>
        <v>2</v>
      </c>
      <c r="J3" s="207">
        <f t="shared" si="0"/>
        <v>365631</v>
      </c>
      <c r="K3" s="207">
        <f t="shared" si="0"/>
        <v>1.692631091782991</v>
      </c>
      <c r="L3" s="207">
        <f t="shared" si="0"/>
        <v>369556</v>
      </c>
      <c r="M3" s="210">
        <f>IF(H3&lt;&gt;0,L3/H3,"")</f>
        <v>0.85982447813421936</v>
      </c>
      <c r="N3" s="206">
        <f t="shared" si="0"/>
        <v>0</v>
      </c>
      <c r="O3" s="207">
        <f t="shared" si="0"/>
        <v>0</v>
      </c>
      <c r="P3" s="207">
        <f t="shared" si="0"/>
        <v>0</v>
      </c>
      <c r="Q3" s="207">
        <f t="shared" si="0"/>
        <v>0</v>
      </c>
      <c r="R3" s="207">
        <f t="shared" si="0"/>
        <v>0</v>
      </c>
      <c r="S3" s="208" t="str">
        <f>IF(N3&lt;&gt;0,R3/N3,"")</f>
        <v/>
      </c>
    </row>
    <row r="4" spans="1:19" ht="14.4" customHeight="1" x14ac:dyDescent="0.3">
      <c r="A4" s="346" t="s">
        <v>89</v>
      </c>
      <c r="B4" s="347" t="s">
        <v>90</v>
      </c>
      <c r="C4" s="348"/>
      <c r="D4" s="348"/>
      <c r="E4" s="348"/>
      <c r="F4" s="348"/>
      <c r="G4" s="349"/>
      <c r="H4" s="347" t="s">
        <v>91</v>
      </c>
      <c r="I4" s="348"/>
      <c r="J4" s="348"/>
      <c r="K4" s="348"/>
      <c r="L4" s="348"/>
      <c r="M4" s="349"/>
      <c r="N4" s="347" t="s">
        <v>92</v>
      </c>
      <c r="O4" s="348"/>
      <c r="P4" s="348"/>
      <c r="Q4" s="348"/>
      <c r="R4" s="348"/>
      <c r="S4" s="349"/>
    </row>
    <row r="5" spans="1:19" ht="14.4" customHeight="1" thickBot="1" x14ac:dyDescent="0.35">
      <c r="A5" s="436"/>
      <c r="B5" s="437">
        <v>2012</v>
      </c>
      <c r="C5" s="438"/>
      <c r="D5" s="438">
        <v>2013</v>
      </c>
      <c r="E5" s="438"/>
      <c r="F5" s="438">
        <v>2014</v>
      </c>
      <c r="G5" s="439" t="s">
        <v>5</v>
      </c>
      <c r="H5" s="437">
        <v>2012</v>
      </c>
      <c r="I5" s="438"/>
      <c r="J5" s="438">
        <v>2013</v>
      </c>
      <c r="K5" s="438"/>
      <c r="L5" s="438">
        <v>2014</v>
      </c>
      <c r="M5" s="439" t="s">
        <v>5</v>
      </c>
      <c r="N5" s="437">
        <v>2012</v>
      </c>
      <c r="O5" s="438"/>
      <c r="P5" s="438">
        <v>2013</v>
      </c>
      <c r="Q5" s="438"/>
      <c r="R5" s="438">
        <v>2014</v>
      </c>
      <c r="S5" s="439" t="s">
        <v>5</v>
      </c>
    </row>
    <row r="6" spans="1:19" ht="14.4" customHeight="1" x14ac:dyDescent="0.3">
      <c r="A6" s="444" t="s">
        <v>1116</v>
      </c>
      <c r="B6" s="440">
        <v>2600736.8200000017</v>
      </c>
      <c r="C6" s="398">
        <v>1</v>
      </c>
      <c r="D6" s="440">
        <v>2387535.6399999997</v>
      </c>
      <c r="E6" s="398">
        <v>0.91802277786800357</v>
      </c>
      <c r="F6" s="440">
        <v>2653773.2699999991</v>
      </c>
      <c r="G6" s="420">
        <v>1.020392855437021</v>
      </c>
      <c r="H6" s="440">
        <v>242071</v>
      </c>
      <c r="I6" s="398">
        <v>1</v>
      </c>
      <c r="J6" s="440">
        <v>213249</v>
      </c>
      <c r="K6" s="398">
        <v>0.88093575851712924</v>
      </c>
      <c r="L6" s="440">
        <v>198649</v>
      </c>
      <c r="M6" s="420">
        <v>0.82062287510689014</v>
      </c>
      <c r="N6" s="440"/>
      <c r="O6" s="398"/>
      <c r="P6" s="440"/>
      <c r="Q6" s="398"/>
      <c r="R6" s="440"/>
      <c r="S6" s="441"/>
    </row>
    <row r="7" spans="1:19" ht="14.4" customHeight="1" thickBot="1" x14ac:dyDescent="0.35">
      <c r="A7" s="445" t="s">
        <v>1117</v>
      </c>
      <c r="B7" s="442">
        <v>1342792.2500000002</v>
      </c>
      <c r="C7" s="410">
        <v>1</v>
      </c>
      <c r="D7" s="442">
        <v>1285077.7900000003</v>
      </c>
      <c r="E7" s="410">
        <v>0.95701906977791984</v>
      </c>
      <c r="F7" s="442">
        <v>1164036.7000000002</v>
      </c>
      <c r="G7" s="421">
        <v>0.8668777318308174</v>
      </c>
      <c r="H7" s="442">
        <v>187733</v>
      </c>
      <c r="I7" s="410">
        <v>1</v>
      </c>
      <c r="J7" s="442">
        <v>152382</v>
      </c>
      <c r="K7" s="410">
        <v>0.81169533326586163</v>
      </c>
      <c r="L7" s="442">
        <v>170907</v>
      </c>
      <c r="M7" s="421">
        <v>0.91037271017881782</v>
      </c>
      <c r="N7" s="442"/>
      <c r="O7" s="410"/>
      <c r="P7" s="442"/>
      <c r="Q7" s="410"/>
      <c r="R7" s="442"/>
      <c r="S7" s="443"/>
    </row>
    <row r="8" spans="1:19" ht="14.4" customHeight="1" x14ac:dyDescent="0.3">
      <c r="A8" s="446" t="s">
        <v>1118</v>
      </c>
    </row>
    <row r="9" spans="1:19" ht="14.4" customHeight="1" x14ac:dyDescent="0.3">
      <c r="A9" s="447" t="s">
        <v>167</v>
      </c>
    </row>
    <row r="10" spans="1:19" ht="14.4" customHeight="1" x14ac:dyDescent="0.3">
      <c r="A10" s="446" t="s">
        <v>1119</v>
      </c>
    </row>
  </sheetData>
  <mergeCells count="5">
    <mergeCell ref="A1:S1"/>
    <mergeCell ref="A4:A5"/>
    <mergeCell ref="B4:G4"/>
    <mergeCell ref="H4:M4"/>
    <mergeCell ref="N4:S4"/>
  </mergeCells>
  <conditionalFormatting sqref="G4:G1048576">
    <cfRule type="cellIs" dxfId="0" priority="4" stopIfTrue="1" operator="lessThan">
      <formula>0.95</formula>
    </cfRule>
  </conditionalFormatting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{791987AB-EB4E-4323-988C-2CC9543F5F95}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{3D1704E4-2CF0-40FE-8B51-535F514AA804}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{DA7CE90D-FADD-456D-9A84-45478435DA52}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91987AB-EB4E-4323-988C-2CC9543F5F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3D1704E4-2CF0-40FE-8B51-535F514AA80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DA7CE90D-FADD-456D-9A84-45478435DA5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pageSetUpPr fitToPage="1"/>
  </sheetPr>
  <dimension ref="A1:P165"/>
  <sheetViews>
    <sheetView showGridLines="0" showRowColHeaders="0" workbookViewId="0">
      <pane ySplit="5" topLeftCell="A6" activePane="bottomLeft" state="frozen"/>
      <selection activeCell="U26" sqref="U26"/>
      <selection pane="bottomLeft" sqref="A1:P1"/>
    </sheetView>
  </sheetViews>
  <sheetFormatPr defaultRowHeight="14.4" customHeight="1" x14ac:dyDescent="0.3"/>
  <cols>
    <col min="1" max="1" width="8.6640625" style="120" bestFit="1" customWidth="1"/>
    <col min="2" max="2" width="2.109375" style="120" bestFit="1" customWidth="1"/>
    <col min="3" max="3" width="8" style="120" bestFit="1" customWidth="1"/>
    <col min="4" max="4" width="50.88671875" style="120" bestFit="1" customWidth="1"/>
    <col min="5" max="6" width="11.109375" style="196" customWidth="1"/>
    <col min="7" max="8" width="9.33203125" style="120" hidden="1" customWidth="1"/>
    <col min="9" max="10" width="11.109375" style="196" customWidth="1"/>
    <col min="11" max="12" width="9.33203125" style="120" hidden="1" customWidth="1"/>
    <col min="13" max="14" width="11.109375" style="196" customWidth="1"/>
    <col min="15" max="15" width="11.109375" style="199" customWidth="1"/>
    <col min="16" max="16" width="11.109375" style="196" customWidth="1"/>
    <col min="17" max="16384" width="8.88671875" style="120"/>
  </cols>
  <sheetData>
    <row r="1" spans="1:16" ht="18.600000000000001" customHeight="1" thickBot="1" x14ac:dyDescent="0.4">
      <c r="A1" s="290" t="s">
        <v>1325</v>
      </c>
      <c r="B1" s="290"/>
      <c r="C1" s="290"/>
      <c r="D1" s="290"/>
      <c r="E1" s="290"/>
      <c r="F1" s="290"/>
      <c r="G1" s="290"/>
      <c r="H1" s="290"/>
      <c r="I1" s="290"/>
      <c r="J1" s="290"/>
      <c r="K1" s="290"/>
      <c r="L1" s="290"/>
      <c r="M1" s="290"/>
      <c r="N1" s="290"/>
      <c r="O1" s="290"/>
      <c r="P1" s="290"/>
    </row>
    <row r="2" spans="1:16" ht="14.4" customHeight="1" thickBot="1" x14ac:dyDescent="0.35">
      <c r="A2" s="217" t="s">
        <v>223</v>
      </c>
      <c r="B2" s="121"/>
      <c r="C2" s="121"/>
      <c r="D2" s="121"/>
      <c r="E2" s="211"/>
      <c r="F2" s="211"/>
      <c r="G2" s="121"/>
      <c r="H2" s="121"/>
      <c r="I2" s="211"/>
      <c r="J2" s="211"/>
      <c r="K2" s="121"/>
      <c r="L2" s="121"/>
      <c r="M2" s="211"/>
      <c r="N2" s="211"/>
      <c r="O2" s="212"/>
      <c r="P2" s="211"/>
    </row>
    <row r="3" spans="1:16" ht="14.4" customHeight="1" thickBot="1" x14ac:dyDescent="0.35">
      <c r="D3" s="75" t="s">
        <v>113</v>
      </c>
      <c r="E3" s="93">
        <f t="shared" ref="E3:N3" si="0">SUBTOTAL(9,E6:E1048576)</f>
        <v>15685</v>
      </c>
      <c r="F3" s="94">
        <f t="shared" si="0"/>
        <v>4373333.07</v>
      </c>
      <c r="G3" s="66"/>
      <c r="H3" s="66"/>
      <c r="I3" s="94">
        <f t="shared" si="0"/>
        <v>14330</v>
      </c>
      <c r="J3" s="94">
        <f t="shared" si="0"/>
        <v>4038244.4300000006</v>
      </c>
      <c r="K3" s="66"/>
      <c r="L3" s="66"/>
      <c r="M3" s="94">
        <f t="shared" si="0"/>
        <v>15574</v>
      </c>
      <c r="N3" s="94">
        <f t="shared" si="0"/>
        <v>4187365.97</v>
      </c>
      <c r="O3" s="67">
        <f>IF(F3=0,0,N3/F3)</f>
        <v>0.95747703250052252</v>
      </c>
      <c r="P3" s="95">
        <f>IF(M3=0,0,N3/M3)</f>
        <v>268.86901053037116</v>
      </c>
    </row>
    <row r="4" spans="1:16" ht="14.4" customHeight="1" x14ac:dyDescent="0.3">
      <c r="A4" s="351" t="s">
        <v>85</v>
      </c>
      <c r="B4" s="352" t="s">
        <v>86</v>
      </c>
      <c r="C4" s="353" t="s">
        <v>87</v>
      </c>
      <c r="D4" s="354" t="s">
        <v>60</v>
      </c>
      <c r="E4" s="355">
        <v>2012</v>
      </c>
      <c r="F4" s="356"/>
      <c r="G4" s="92"/>
      <c r="H4" s="92"/>
      <c r="I4" s="355">
        <v>2013</v>
      </c>
      <c r="J4" s="356"/>
      <c r="K4" s="92"/>
      <c r="L4" s="92"/>
      <c r="M4" s="355">
        <v>2014</v>
      </c>
      <c r="N4" s="356"/>
      <c r="O4" s="357" t="s">
        <v>5</v>
      </c>
      <c r="P4" s="350" t="s">
        <v>88</v>
      </c>
    </row>
    <row r="5" spans="1:16" ht="14.4" customHeight="1" thickBot="1" x14ac:dyDescent="0.35">
      <c r="A5" s="448"/>
      <c r="B5" s="449"/>
      <c r="C5" s="450"/>
      <c r="D5" s="451"/>
      <c r="E5" s="452" t="s">
        <v>62</v>
      </c>
      <c r="F5" s="453" t="s">
        <v>17</v>
      </c>
      <c r="G5" s="454"/>
      <c r="H5" s="454"/>
      <c r="I5" s="452" t="s">
        <v>62</v>
      </c>
      <c r="J5" s="453" t="s">
        <v>17</v>
      </c>
      <c r="K5" s="454"/>
      <c r="L5" s="454"/>
      <c r="M5" s="452" t="s">
        <v>62</v>
      </c>
      <c r="N5" s="453" t="s">
        <v>17</v>
      </c>
      <c r="O5" s="455"/>
      <c r="P5" s="456"/>
    </row>
    <row r="6" spans="1:16" ht="14.4" customHeight="1" x14ac:dyDescent="0.3">
      <c r="A6" s="397" t="s">
        <v>1121</v>
      </c>
      <c r="B6" s="398" t="s">
        <v>1122</v>
      </c>
      <c r="C6" s="398" t="s">
        <v>1123</v>
      </c>
      <c r="D6" s="398" t="s">
        <v>1118</v>
      </c>
      <c r="E6" s="401">
        <v>1</v>
      </c>
      <c r="F6" s="401">
        <v>277</v>
      </c>
      <c r="G6" s="398">
        <v>1</v>
      </c>
      <c r="H6" s="398">
        <v>277</v>
      </c>
      <c r="I6" s="401"/>
      <c r="J6" s="401"/>
      <c r="K6" s="398"/>
      <c r="L6" s="398"/>
      <c r="M6" s="401"/>
      <c r="N6" s="401"/>
      <c r="O6" s="420"/>
      <c r="P6" s="402"/>
    </row>
    <row r="7" spans="1:16" ht="14.4" customHeight="1" x14ac:dyDescent="0.3">
      <c r="A7" s="403" t="s">
        <v>1121</v>
      </c>
      <c r="B7" s="404" t="s">
        <v>1122</v>
      </c>
      <c r="C7" s="404" t="s">
        <v>1124</v>
      </c>
      <c r="D7" s="404" t="s">
        <v>1118</v>
      </c>
      <c r="E7" s="407">
        <v>1</v>
      </c>
      <c r="F7" s="407">
        <v>113</v>
      </c>
      <c r="G7" s="404">
        <v>1</v>
      </c>
      <c r="H7" s="404">
        <v>113</v>
      </c>
      <c r="I7" s="407"/>
      <c r="J7" s="407"/>
      <c r="K7" s="404"/>
      <c r="L7" s="404"/>
      <c r="M7" s="407"/>
      <c r="N7" s="407"/>
      <c r="O7" s="457"/>
      <c r="P7" s="408"/>
    </row>
    <row r="8" spans="1:16" ht="14.4" customHeight="1" x14ac:dyDescent="0.3">
      <c r="A8" s="403" t="s">
        <v>1121</v>
      </c>
      <c r="B8" s="404" t="s">
        <v>1122</v>
      </c>
      <c r="C8" s="404" t="s">
        <v>1125</v>
      </c>
      <c r="D8" s="404" t="s">
        <v>1118</v>
      </c>
      <c r="E8" s="407">
        <v>1</v>
      </c>
      <c r="F8" s="407">
        <v>219</v>
      </c>
      <c r="G8" s="404">
        <v>1</v>
      </c>
      <c r="H8" s="404">
        <v>219</v>
      </c>
      <c r="I8" s="407"/>
      <c r="J8" s="407"/>
      <c r="K8" s="404"/>
      <c r="L8" s="404"/>
      <c r="M8" s="407"/>
      <c r="N8" s="407"/>
      <c r="O8" s="457"/>
      <c r="P8" s="408"/>
    </row>
    <row r="9" spans="1:16" ht="14.4" customHeight="1" x14ac:dyDescent="0.3">
      <c r="A9" s="403" t="s">
        <v>1121</v>
      </c>
      <c r="B9" s="404" t="s">
        <v>1122</v>
      </c>
      <c r="C9" s="404" t="s">
        <v>1126</v>
      </c>
      <c r="D9" s="404" t="s">
        <v>1118</v>
      </c>
      <c r="E9" s="407">
        <v>3</v>
      </c>
      <c r="F9" s="407">
        <v>2034</v>
      </c>
      <c r="G9" s="404">
        <v>1</v>
      </c>
      <c r="H9" s="404">
        <v>678</v>
      </c>
      <c r="I9" s="407"/>
      <c r="J9" s="407"/>
      <c r="K9" s="404"/>
      <c r="L9" s="404"/>
      <c r="M9" s="407"/>
      <c r="N9" s="407"/>
      <c r="O9" s="457"/>
      <c r="P9" s="408"/>
    </row>
    <row r="10" spans="1:16" ht="14.4" customHeight="1" x14ac:dyDescent="0.3">
      <c r="A10" s="403" t="s">
        <v>1121</v>
      </c>
      <c r="B10" s="404" t="s">
        <v>1122</v>
      </c>
      <c r="C10" s="404" t="s">
        <v>1127</v>
      </c>
      <c r="D10" s="404" t="s">
        <v>1118</v>
      </c>
      <c r="E10" s="407">
        <v>4</v>
      </c>
      <c r="F10" s="407">
        <v>3200</v>
      </c>
      <c r="G10" s="404">
        <v>1</v>
      </c>
      <c r="H10" s="404">
        <v>800</v>
      </c>
      <c r="I10" s="407"/>
      <c r="J10" s="407"/>
      <c r="K10" s="404"/>
      <c r="L10" s="404"/>
      <c r="M10" s="407"/>
      <c r="N10" s="407"/>
      <c r="O10" s="457"/>
      <c r="P10" s="408"/>
    </row>
    <row r="11" spans="1:16" ht="14.4" customHeight="1" x14ac:dyDescent="0.3">
      <c r="A11" s="403" t="s">
        <v>1121</v>
      </c>
      <c r="B11" s="404" t="s">
        <v>1122</v>
      </c>
      <c r="C11" s="404" t="s">
        <v>1128</v>
      </c>
      <c r="D11" s="404" t="s">
        <v>1118</v>
      </c>
      <c r="E11" s="407">
        <v>2</v>
      </c>
      <c r="F11" s="407">
        <v>666</v>
      </c>
      <c r="G11" s="404">
        <v>1</v>
      </c>
      <c r="H11" s="404">
        <v>333</v>
      </c>
      <c r="I11" s="407"/>
      <c r="J11" s="407"/>
      <c r="K11" s="404"/>
      <c r="L11" s="404"/>
      <c r="M11" s="407"/>
      <c r="N11" s="407"/>
      <c r="O11" s="457"/>
      <c r="P11" s="408"/>
    </row>
    <row r="12" spans="1:16" ht="14.4" customHeight="1" x14ac:dyDescent="0.3">
      <c r="A12" s="403" t="s">
        <v>1121</v>
      </c>
      <c r="B12" s="404" t="s">
        <v>1122</v>
      </c>
      <c r="C12" s="404" t="s">
        <v>1129</v>
      </c>
      <c r="D12" s="404" t="s">
        <v>1118</v>
      </c>
      <c r="E12" s="407">
        <v>1</v>
      </c>
      <c r="F12" s="407">
        <v>1657</v>
      </c>
      <c r="G12" s="404">
        <v>1</v>
      </c>
      <c r="H12" s="404">
        <v>1657</v>
      </c>
      <c r="I12" s="407">
        <v>1</v>
      </c>
      <c r="J12" s="407">
        <v>1657</v>
      </c>
      <c r="K12" s="404">
        <v>1</v>
      </c>
      <c r="L12" s="404">
        <v>1657</v>
      </c>
      <c r="M12" s="407">
        <v>2</v>
      </c>
      <c r="N12" s="407">
        <v>3314</v>
      </c>
      <c r="O12" s="457">
        <v>2</v>
      </c>
      <c r="P12" s="408">
        <v>1657</v>
      </c>
    </row>
    <row r="13" spans="1:16" ht="14.4" customHeight="1" x14ac:dyDescent="0.3">
      <c r="A13" s="403" t="s">
        <v>1121</v>
      </c>
      <c r="B13" s="404" t="s">
        <v>1122</v>
      </c>
      <c r="C13" s="404" t="s">
        <v>1130</v>
      </c>
      <c r="D13" s="404" t="s">
        <v>1118</v>
      </c>
      <c r="E13" s="407">
        <v>2</v>
      </c>
      <c r="F13" s="407">
        <v>2358</v>
      </c>
      <c r="G13" s="404">
        <v>1</v>
      </c>
      <c r="H13" s="404">
        <v>1179</v>
      </c>
      <c r="I13" s="407">
        <v>1</v>
      </c>
      <c r="J13" s="407">
        <v>1179</v>
      </c>
      <c r="K13" s="404">
        <v>0.5</v>
      </c>
      <c r="L13" s="404">
        <v>1179</v>
      </c>
      <c r="M13" s="407">
        <v>1</v>
      </c>
      <c r="N13" s="407">
        <v>1179</v>
      </c>
      <c r="O13" s="457">
        <v>0.5</v>
      </c>
      <c r="P13" s="408">
        <v>1179</v>
      </c>
    </row>
    <row r="14" spans="1:16" ht="14.4" customHeight="1" x14ac:dyDescent="0.3">
      <c r="A14" s="403" t="s">
        <v>1121</v>
      </c>
      <c r="B14" s="404" t="s">
        <v>1122</v>
      </c>
      <c r="C14" s="404" t="s">
        <v>1131</v>
      </c>
      <c r="D14" s="404" t="s">
        <v>1118</v>
      </c>
      <c r="E14" s="407">
        <v>15</v>
      </c>
      <c r="F14" s="407">
        <v>1695</v>
      </c>
      <c r="G14" s="404">
        <v>1</v>
      </c>
      <c r="H14" s="404">
        <v>113</v>
      </c>
      <c r="I14" s="407">
        <v>21</v>
      </c>
      <c r="J14" s="407">
        <v>2373</v>
      </c>
      <c r="K14" s="404">
        <v>1.4</v>
      </c>
      <c r="L14" s="404">
        <v>113</v>
      </c>
      <c r="M14" s="407">
        <v>14</v>
      </c>
      <c r="N14" s="407">
        <v>1582</v>
      </c>
      <c r="O14" s="457">
        <v>0.93333333333333335</v>
      </c>
      <c r="P14" s="408">
        <v>113</v>
      </c>
    </row>
    <row r="15" spans="1:16" ht="14.4" customHeight="1" x14ac:dyDescent="0.3">
      <c r="A15" s="403" t="s">
        <v>1121</v>
      </c>
      <c r="B15" s="404" t="s">
        <v>1122</v>
      </c>
      <c r="C15" s="404" t="s">
        <v>1132</v>
      </c>
      <c r="D15" s="404" t="s">
        <v>1118</v>
      </c>
      <c r="E15" s="407">
        <v>1</v>
      </c>
      <c r="F15" s="407">
        <v>132</v>
      </c>
      <c r="G15" s="404">
        <v>1</v>
      </c>
      <c r="H15" s="404">
        <v>132</v>
      </c>
      <c r="I15" s="407"/>
      <c r="J15" s="407"/>
      <c r="K15" s="404"/>
      <c r="L15" s="404"/>
      <c r="M15" s="407"/>
      <c r="N15" s="407"/>
      <c r="O15" s="457"/>
      <c r="P15" s="408"/>
    </row>
    <row r="16" spans="1:16" ht="14.4" customHeight="1" x14ac:dyDescent="0.3">
      <c r="A16" s="403" t="s">
        <v>1121</v>
      </c>
      <c r="B16" s="404" t="s">
        <v>1122</v>
      </c>
      <c r="C16" s="404" t="s">
        <v>1133</v>
      </c>
      <c r="D16" s="404" t="s">
        <v>1118</v>
      </c>
      <c r="E16" s="407"/>
      <c r="F16" s="407"/>
      <c r="G16" s="404"/>
      <c r="H16" s="404"/>
      <c r="I16" s="407"/>
      <c r="J16" s="407"/>
      <c r="K16" s="404"/>
      <c r="L16" s="404"/>
      <c r="M16" s="407">
        <v>2</v>
      </c>
      <c r="N16" s="407">
        <v>438</v>
      </c>
      <c r="O16" s="457"/>
      <c r="P16" s="408">
        <v>219</v>
      </c>
    </row>
    <row r="17" spans="1:16" ht="14.4" customHeight="1" x14ac:dyDescent="0.3">
      <c r="A17" s="403" t="s">
        <v>1121</v>
      </c>
      <c r="B17" s="404" t="s">
        <v>1122</v>
      </c>
      <c r="C17" s="404" t="s">
        <v>1134</v>
      </c>
      <c r="D17" s="404" t="s">
        <v>1118</v>
      </c>
      <c r="E17" s="407"/>
      <c r="F17" s="407"/>
      <c r="G17" s="404"/>
      <c r="H17" s="404"/>
      <c r="I17" s="407">
        <v>1</v>
      </c>
      <c r="J17" s="407">
        <v>236</v>
      </c>
      <c r="K17" s="404"/>
      <c r="L17" s="404">
        <v>236</v>
      </c>
      <c r="M17" s="407">
        <v>3</v>
      </c>
      <c r="N17" s="407">
        <v>708</v>
      </c>
      <c r="O17" s="457"/>
      <c r="P17" s="408">
        <v>236</v>
      </c>
    </row>
    <row r="18" spans="1:16" ht="14.4" customHeight="1" x14ac:dyDescent="0.3">
      <c r="A18" s="403" t="s">
        <v>1121</v>
      </c>
      <c r="B18" s="404" t="s">
        <v>1122</v>
      </c>
      <c r="C18" s="404" t="s">
        <v>1135</v>
      </c>
      <c r="D18" s="404" t="s">
        <v>1118</v>
      </c>
      <c r="E18" s="407">
        <v>6</v>
      </c>
      <c r="F18" s="407">
        <v>936</v>
      </c>
      <c r="G18" s="404">
        <v>1</v>
      </c>
      <c r="H18" s="404">
        <v>156</v>
      </c>
      <c r="I18" s="407">
        <v>6</v>
      </c>
      <c r="J18" s="407">
        <v>936</v>
      </c>
      <c r="K18" s="404">
        <v>1</v>
      </c>
      <c r="L18" s="404">
        <v>156</v>
      </c>
      <c r="M18" s="407">
        <v>6</v>
      </c>
      <c r="N18" s="407">
        <v>936</v>
      </c>
      <c r="O18" s="457">
        <v>1</v>
      </c>
      <c r="P18" s="408">
        <v>156</v>
      </c>
    </row>
    <row r="19" spans="1:16" ht="14.4" customHeight="1" x14ac:dyDescent="0.3">
      <c r="A19" s="403" t="s">
        <v>1121</v>
      </c>
      <c r="B19" s="404" t="s">
        <v>1122</v>
      </c>
      <c r="C19" s="404" t="s">
        <v>1136</v>
      </c>
      <c r="D19" s="404" t="s">
        <v>1118</v>
      </c>
      <c r="E19" s="407">
        <v>3</v>
      </c>
      <c r="F19" s="407">
        <v>570</v>
      </c>
      <c r="G19" s="404">
        <v>1</v>
      </c>
      <c r="H19" s="404">
        <v>190</v>
      </c>
      <c r="I19" s="407">
        <v>4</v>
      </c>
      <c r="J19" s="407">
        <v>760</v>
      </c>
      <c r="K19" s="404">
        <v>1.3333333333333333</v>
      </c>
      <c r="L19" s="404">
        <v>190</v>
      </c>
      <c r="M19" s="407"/>
      <c r="N19" s="407"/>
      <c r="O19" s="457"/>
      <c r="P19" s="408"/>
    </row>
    <row r="20" spans="1:16" ht="14.4" customHeight="1" x14ac:dyDescent="0.3">
      <c r="A20" s="403" t="s">
        <v>1121</v>
      </c>
      <c r="B20" s="404" t="s">
        <v>1122</v>
      </c>
      <c r="C20" s="404" t="s">
        <v>1137</v>
      </c>
      <c r="D20" s="404" t="s">
        <v>1118</v>
      </c>
      <c r="E20" s="407">
        <v>1</v>
      </c>
      <c r="F20" s="407">
        <v>84</v>
      </c>
      <c r="G20" s="404">
        <v>1</v>
      </c>
      <c r="H20" s="404">
        <v>84</v>
      </c>
      <c r="I20" s="407"/>
      <c r="J20" s="407"/>
      <c r="K20" s="404"/>
      <c r="L20" s="404"/>
      <c r="M20" s="407">
        <v>2</v>
      </c>
      <c r="N20" s="407">
        <v>168</v>
      </c>
      <c r="O20" s="457">
        <v>2</v>
      </c>
      <c r="P20" s="408">
        <v>84</v>
      </c>
    </row>
    <row r="21" spans="1:16" ht="14.4" customHeight="1" x14ac:dyDescent="0.3">
      <c r="A21" s="403" t="s">
        <v>1121</v>
      </c>
      <c r="B21" s="404" t="s">
        <v>1122</v>
      </c>
      <c r="C21" s="404" t="s">
        <v>1138</v>
      </c>
      <c r="D21" s="404" t="s">
        <v>1118</v>
      </c>
      <c r="E21" s="407">
        <v>1</v>
      </c>
      <c r="F21" s="407">
        <v>105</v>
      </c>
      <c r="G21" s="404">
        <v>1</v>
      </c>
      <c r="H21" s="404">
        <v>105</v>
      </c>
      <c r="I21" s="407"/>
      <c r="J21" s="407"/>
      <c r="K21" s="404"/>
      <c r="L21" s="404"/>
      <c r="M21" s="407">
        <v>2</v>
      </c>
      <c r="N21" s="407">
        <v>210</v>
      </c>
      <c r="O21" s="457">
        <v>2</v>
      </c>
      <c r="P21" s="408">
        <v>105</v>
      </c>
    </row>
    <row r="22" spans="1:16" ht="14.4" customHeight="1" x14ac:dyDescent="0.3">
      <c r="A22" s="403" t="s">
        <v>1121</v>
      </c>
      <c r="B22" s="404" t="s">
        <v>1122</v>
      </c>
      <c r="C22" s="404" t="s">
        <v>1139</v>
      </c>
      <c r="D22" s="404" t="s">
        <v>1118</v>
      </c>
      <c r="E22" s="407">
        <v>1</v>
      </c>
      <c r="F22" s="407">
        <v>350</v>
      </c>
      <c r="G22" s="404">
        <v>1</v>
      </c>
      <c r="H22" s="404">
        <v>350</v>
      </c>
      <c r="I22" s="407"/>
      <c r="J22" s="407"/>
      <c r="K22" s="404"/>
      <c r="L22" s="404"/>
      <c r="M22" s="407"/>
      <c r="N22" s="407"/>
      <c r="O22" s="457"/>
      <c r="P22" s="408"/>
    </row>
    <row r="23" spans="1:16" ht="14.4" customHeight="1" x14ac:dyDescent="0.3">
      <c r="A23" s="403" t="s">
        <v>1121</v>
      </c>
      <c r="B23" s="404" t="s">
        <v>1122</v>
      </c>
      <c r="C23" s="404" t="s">
        <v>1140</v>
      </c>
      <c r="D23" s="404" t="s">
        <v>1118</v>
      </c>
      <c r="E23" s="407">
        <v>25</v>
      </c>
      <c r="F23" s="407">
        <v>14900</v>
      </c>
      <c r="G23" s="404">
        <v>1</v>
      </c>
      <c r="H23" s="404">
        <v>596</v>
      </c>
      <c r="I23" s="407">
        <v>14</v>
      </c>
      <c r="J23" s="407">
        <v>8344</v>
      </c>
      <c r="K23" s="404">
        <v>0.56000000000000005</v>
      </c>
      <c r="L23" s="404">
        <v>596</v>
      </c>
      <c r="M23" s="407">
        <v>19</v>
      </c>
      <c r="N23" s="407">
        <v>11324</v>
      </c>
      <c r="O23" s="457">
        <v>0.76</v>
      </c>
      <c r="P23" s="408">
        <v>596</v>
      </c>
    </row>
    <row r="24" spans="1:16" ht="14.4" customHeight="1" x14ac:dyDescent="0.3">
      <c r="A24" s="403" t="s">
        <v>1121</v>
      </c>
      <c r="B24" s="404" t="s">
        <v>1122</v>
      </c>
      <c r="C24" s="404" t="s">
        <v>1141</v>
      </c>
      <c r="D24" s="404" t="s">
        <v>1118</v>
      </c>
      <c r="E24" s="407">
        <v>8</v>
      </c>
      <c r="F24" s="407">
        <v>5328</v>
      </c>
      <c r="G24" s="404">
        <v>1</v>
      </c>
      <c r="H24" s="404">
        <v>666</v>
      </c>
      <c r="I24" s="407">
        <v>5</v>
      </c>
      <c r="J24" s="407">
        <v>3330</v>
      </c>
      <c r="K24" s="404">
        <v>0.625</v>
      </c>
      <c r="L24" s="404">
        <v>666</v>
      </c>
      <c r="M24" s="407">
        <v>6</v>
      </c>
      <c r="N24" s="407">
        <v>3996</v>
      </c>
      <c r="O24" s="457">
        <v>0.75</v>
      </c>
      <c r="P24" s="408">
        <v>666</v>
      </c>
    </row>
    <row r="25" spans="1:16" ht="14.4" customHeight="1" x14ac:dyDescent="0.3">
      <c r="A25" s="403" t="s">
        <v>1121</v>
      </c>
      <c r="B25" s="404" t="s">
        <v>1122</v>
      </c>
      <c r="C25" s="404" t="s">
        <v>1142</v>
      </c>
      <c r="D25" s="404" t="s">
        <v>1118</v>
      </c>
      <c r="E25" s="407">
        <v>1</v>
      </c>
      <c r="F25" s="407">
        <v>770</v>
      </c>
      <c r="G25" s="404">
        <v>1</v>
      </c>
      <c r="H25" s="404">
        <v>770</v>
      </c>
      <c r="I25" s="407">
        <v>1</v>
      </c>
      <c r="J25" s="407">
        <v>770</v>
      </c>
      <c r="K25" s="404">
        <v>1</v>
      </c>
      <c r="L25" s="404">
        <v>770</v>
      </c>
      <c r="M25" s="407">
        <v>1</v>
      </c>
      <c r="N25" s="407">
        <v>770</v>
      </c>
      <c r="O25" s="457">
        <v>1</v>
      </c>
      <c r="P25" s="408">
        <v>770</v>
      </c>
    </row>
    <row r="26" spans="1:16" ht="14.4" customHeight="1" x14ac:dyDescent="0.3">
      <c r="A26" s="403" t="s">
        <v>1121</v>
      </c>
      <c r="B26" s="404" t="s">
        <v>1122</v>
      </c>
      <c r="C26" s="404" t="s">
        <v>1143</v>
      </c>
      <c r="D26" s="404" t="s">
        <v>1118</v>
      </c>
      <c r="E26" s="407">
        <v>1</v>
      </c>
      <c r="F26" s="407">
        <v>1008</v>
      </c>
      <c r="G26" s="404">
        <v>1</v>
      </c>
      <c r="H26" s="404">
        <v>1008</v>
      </c>
      <c r="I26" s="407"/>
      <c r="J26" s="407"/>
      <c r="K26" s="404"/>
      <c r="L26" s="404"/>
      <c r="M26" s="407"/>
      <c r="N26" s="407"/>
      <c r="O26" s="457"/>
      <c r="P26" s="408"/>
    </row>
    <row r="27" spans="1:16" ht="14.4" customHeight="1" x14ac:dyDescent="0.3">
      <c r="A27" s="403" t="s">
        <v>1121</v>
      </c>
      <c r="B27" s="404" t="s">
        <v>1122</v>
      </c>
      <c r="C27" s="404" t="s">
        <v>1144</v>
      </c>
      <c r="D27" s="404" t="s">
        <v>1118</v>
      </c>
      <c r="E27" s="407">
        <v>12</v>
      </c>
      <c r="F27" s="407">
        <v>14064</v>
      </c>
      <c r="G27" s="404">
        <v>1</v>
      </c>
      <c r="H27" s="404">
        <v>1172</v>
      </c>
      <c r="I27" s="407">
        <v>8</v>
      </c>
      <c r="J27" s="407">
        <v>9376</v>
      </c>
      <c r="K27" s="404">
        <v>0.66666666666666663</v>
      </c>
      <c r="L27" s="404">
        <v>1172</v>
      </c>
      <c r="M27" s="407">
        <v>13</v>
      </c>
      <c r="N27" s="407">
        <v>15236</v>
      </c>
      <c r="O27" s="457">
        <v>1.0833333333333333</v>
      </c>
      <c r="P27" s="408">
        <v>1172</v>
      </c>
    </row>
    <row r="28" spans="1:16" ht="14.4" customHeight="1" x14ac:dyDescent="0.3">
      <c r="A28" s="403" t="s">
        <v>1121</v>
      </c>
      <c r="B28" s="404" t="s">
        <v>1122</v>
      </c>
      <c r="C28" s="404" t="s">
        <v>1145</v>
      </c>
      <c r="D28" s="404" t="s">
        <v>1118</v>
      </c>
      <c r="E28" s="407">
        <v>8</v>
      </c>
      <c r="F28" s="407">
        <v>6400</v>
      </c>
      <c r="G28" s="404">
        <v>1</v>
      </c>
      <c r="H28" s="404">
        <v>800</v>
      </c>
      <c r="I28" s="407">
        <v>5</v>
      </c>
      <c r="J28" s="407">
        <v>4000</v>
      </c>
      <c r="K28" s="404">
        <v>0.625</v>
      </c>
      <c r="L28" s="404">
        <v>800</v>
      </c>
      <c r="M28" s="407">
        <v>7</v>
      </c>
      <c r="N28" s="407">
        <v>5600</v>
      </c>
      <c r="O28" s="457">
        <v>0.875</v>
      </c>
      <c r="P28" s="408">
        <v>800</v>
      </c>
    </row>
    <row r="29" spans="1:16" ht="14.4" customHeight="1" x14ac:dyDescent="0.3">
      <c r="A29" s="403" t="s">
        <v>1121</v>
      </c>
      <c r="B29" s="404" t="s">
        <v>1122</v>
      </c>
      <c r="C29" s="404" t="s">
        <v>1146</v>
      </c>
      <c r="D29" s="404" t="s">
        <v>1118</v>
      </c>
      <c r="E29" s="407">
        <v>2</v>
      </c>
      <c r="F29" s="407">
        <v>1490</v>
      </c>
      <c r="G29" s="404">
        <v>1</v>
      </c>
      <c r="H29" s="404">
        <v>745</v>
      </c>
      <c r="I29" s="407"/>
      <c r="J29" s="407"/>
      <c r="K29" s="404"/>
      <c r="L29" s="404"/>
      <c r="M29" s="407">
        <v>4</v>
      </c>
      <c r="N29" s="407">
        <v>2980</v>
      </c>
      <c r="O29" s="457">
        <v>2</v>
      </c>
      <c r="P29" s="408">
        <v>745</v>
      </c>
    </row>
    <row r="30" spans="1:16" ht="14.4" customHeight="1" x14ac:dyDescent="0.3">
      <c r="A30" s="403" t="s">
        <v>1121</v>
      </c>
      <c r="B30" s="404" t="s">
        <v>1122</v>
      </c>
      <c r="C30" s="404" t="s">
        <v>1147</v>
      </c>
      <c r="D30" s="404" t="s">
        <v>1118</v>
      </c>
      <c r="E30" s="407">
        <v>4</v>
      </c>
      <c r="F30" s="407">
        <v>2980</v>
      </c>
      <c r="G30" s="404">
        <v>1</v>
      </c>
      <c r="H30" s="404">
        <v>745</v>
      </c>
      <c r="I30" s="407">
        <v>4</v>
      </c>
      <c r="J30" s="407">
        <v>2980</v>
      </c>
      <c r="K30" s="404">
        <v>1</v>
      </c>
      <c r="L30" s="404">
        <v>745</v>
      </c>
      <c r="M30" s="407">
        <v>4</v>
      </c>
      <c r="N30" s="407">
        <v>2980</v>
      </c>
      <c r="O30" s="457">
        <v>1</v>
      </c>
      <c r="P30" s="408">
        <v>745</v>
      </c>
    </row>
    <row r="31" spans="1:16" ht="14.4" customHeight="1" x14ac:dyDescent="0.3">
      <c r="A31" s="403" t="s">
        <v>1121</v>
      </c>
      <c r="B31" s="404" t="s">
        <v>1122</v>
      </c>
      <c r="C31" s="404" t="s">
        <v>1148</v>
      </c>
      <c r="D31" s="404" t="s">
        <v>1118</v>
      </c>
      <c r="E31" s="407">
        <v>2</v>
      </c>
      <c r="F31" s="407">
        <v>1184</v>
      </c>
      <c r="G31" s="404">
        <v>1</v>
      </c>
      <c r="H31" s="404">
        <v>592</v>
      </c>
      <c r="I31" s="407">
        <v>1</v>
      </c>
      <c r="J31" s="407">
        <v>592</v>
      </c>
      <c r="K31" s="404">
        <v>0.5</v>
      </c>
      <c r="L31" s="404">
        <v>592</v>
      </c>
      <c r="M31" s="407">
        <v>1</v>
      </c>
      <c r="N31" s="407">
        <v>592</v>
      </c>
      <c r="O31" s="457">
        <v>0.5</v>
      </c>
      <c r="P31" s="408">
        <v>592</v>
      </c>
    </row>
    <row r="32" spans="1:16" ht="14.4" customHeight="1" x14ac:dyDescent="0.3">
      <c r="A32" s="403" t="s">
        <v>1121</v>
      </c>
      <c r="B32" s="404" t="s">
        <v>1122</v>
      </c>
      <c r="C32" s="404" t="s">
        <v>1149</v>
      </c>
      <c r="D32" s="404" t="s">
        <v>1118</v>
      </c>
      <c r="E32" s="407">
        <v>33</v>
      </c>
      <c r="F32" s="407">
        <v>18513</v>
      </c>
      <c r="G32" s="404">
        <v>1</v>
      </c>
      <c r="H32" s="404">
        <v>561</v>
      </c>
      <c r="I32" s="407">
        <v>23</v>
      </c>
      <c r="J32" s="407">
        <v>12903</v>
      </c>
      <c r="K32" s="404">
        <v>0.69696969696969702</v>
      </c>
      <c r="L32" s="404">
        <v>561</v>
      </c>
      <c r="M32" s="407">
        <v>21</v>
      </c>
      <c r="N32" s="407">
        <v>11781</v>
      </c>
      <c r="O32" s="457">
        <v>0.63636363636363635</v>
      </c>
      <c r="P32" s="408">
        <v>561</v>
      </c>
    </row>
    <row r="33" spans="1:16" ht="14.4" customHeight="1" x14ac:dyDescent="0.3">
      <c r="A33" s="403" t="s">
        <v>1121</v>
      </c>
      <c r="B33" s="404" t="s">
        <v>1122</v>
      </c>
      <c r="C33" s="404" t="s">
        <v>1150</v>
      </c>
      <c r="D33" s="404" t="s">
        <v>1118</v>
      </c>
      <c r="E33" s="407">
        <v>16</v>
      </c>
      <c r="F33" s="407">
        <v>8304</v>
      </c>
      <c r="G33" s="404">
        <v>1</v>
      </c>
      <c r="H33" s="404">
        <v>519</v>
      </c>
      <c r="I33" s="407">
        <v>15</v>
      </c>
      <c r="J33" s="407">
        <v>7785</v>
      </c>
      <c r="K33" s="404">
        <v>0.9375</v>
      </c>
      <c r="L33" s="404">
        <v>519</v>
      </c>
      <c r="M33" s="407">
        <v>14</v>
      </c>
      <c r="N33" s="407">
        <v>7266</v>
      </c>
      <c r="O33" s="457">
        <v>0.875</v>
      </c>
      <c r="P33" s="408">
        <v>519</v>
      </c>
    </row>
    <row r="34" spans="1:16" ht="14.4" customHeight="1" x14ac:dyDescent="0.3">
      <c r="A34" s="403" t="s">
        <v>1121</v>
      </c>
      <c r="B34" s="404" t="s">
        <v>1122</v>
      </c>
      <c r="C34" s="404" t="s">
        <v>1151</v>
      </c>
      <c r="D34" s="404" t="s">
        <v>1118</v>
      </c>
      <c r="E34" s="407">
        <v>3</v>
      </c>
      <c r="F34" s="407">
        <v>1791</v>
      </c>
      <c r="G34" s="404">
        <v>1</v>
      </c>
      <c r="H34" s="404">
        <v>597</v>
      </c>
      <c r="I34" s="407"/>
      <c r="J34" s="407"/>
      <c r="K34" s="404"/>
      <c r="L34" s="404"/>
      <c r="M34" s="407"/>
      <c r="N34" s="407"/>
      <c r="O34" s="457"/>
      <c r="P34" s="408"/>
    </row>
    <row r="35" spans="1:16" ht="14.4" customHeight="1" x14ac:dyDescent="0.3">
      <c r="A35" s="403" t="s">
        <v>1121</v>
      </c>
      <c r="B35" s="404" t="s">
        <v>1122</v>
      </c>
      <c r="C35" s="404" t="s">
        <v>1152</v>
      </c>
      <c r="D35" s="404" t="s">
        <v>1118</v>
      </c>
      <c r="E35" s="407">
        <v>4</v>
      </c>
      <c r="F35" s="407">
        <v>1284</v>
      </c>
      <c r="G35" s="404">
        <v>1</v>
      </c>
      <c r="H35" s="404">
        <v>321</v>
      </c>
      <c r="I35" s="407"/>
      <c r="J35" s="407"/>
      <c r="K35" s="404"/>
      <c r="L35" s="404"/>
      <c r="M35" s="407"/>
      <c r="N35" s="407"/>
      <c r="O35" s="457"/>
      <c r="P35" s="408"/>
    </row>
    <row r="36" spans="1:16" ht="14.4" customHeight="1" x14ac:dyDescent="0.3">
      <c r="A36" s="403" t="s">
        <v>1121</v>
      </c>
      <c r="B36" s="404" t="s">
        <v>1122</v>
      </c>
      <c r="C36" s="404" t="s">
        <v>1153</v>
      </c>
      <c r="D36" s="404" t="s">
        <v>1118</v>
      </c>
      <c r="E36" s="407"/>
      <c r="F36" s="407"/>
      <c r="G36" s="404"/>
      <c r="H36" s="404"/>
      <c r="I36" s="407"/>
      <c r="J36" s="407"/>
      <c r="K36" s="404"/>
      <c r="L36" s="404"/>
      <c r="M36" s="407">
        <v>1</v>
      </c>
      <c r="N36" s="407">
        <v>321</v>
      </c>
      <c r="O36" s="457"/>
      <c r="P36" s="408">
        <v>321</v>
      </c>
    </row>
    <row r="37" spans="1:16" ht="14.4" customHeight="1" x14ac:dyDescent="0.3">
      <c r="A37" s="403" t="s">
        <v>1121</v>
      </c>
      <c r="B37" s="404" t="s">
        <v>1122</v>
      </c>
      <c r="C37" s="404" t="s">
        <v>1154</v>
      </c>
      <c r="D37" s="404" t="s">
        <v>1118</v>
      </c>
      <c r="E37" s="407">
        <v>10</v>
      </c>
      <c r="F37" s="407">
        <v>3210</v>
      </c>
      <c r="G37" s="404">
        <v>1</v>
      </c>
      <c r="H37" s="404">
        <v>321</v>
      </c>
      <c r="I37" s="407">
        <v>13</v>
      </c>
      <c r="J37" s="407">
        <v>4173</v>
      </c>
      <c r="K37" s="404">
        <v>1.3</v>
      </c>
      <c r="L37" s="404">
        <v>321</v>
      </c>
      <c r="M37" s="407">
        <v>11</v>
      </c>
      <c r="N37" s="407">
        <v>3531</v>
      </c>
      <c r="O37" s="457">
        <v>1.1000000000000001</v>
      </c>
      <c r="P37" s="408">
        <v>321</v>
      </c>
    </row>
    <row r="38" spans="1:16" ht="14.4" customHeight="1" x14ac:dyDescent="0.3">
      <c r="A38" s="403" t="s">
        <v>1121</v>
      </c>
      <c r="B38" s="404" t="s">
        <v>1122</v>
      </c>
      <c r="C38" s="404" t="s">
        <v>1155</v>
      </c>
      <c r="D38" s="404" t="s">
        <v>1118</v>
      </c>
      <c r="E38" s="407">
        <v>3</v>
      </c>
      <c r="F38" s="407">
        <v>3690</v>
      </c>
      <c r="G38" s="404">
        <v>1</v>
      </c>
      <c r="H38" s="404">
        <v>1230</v>
      </c>
      <c r="I38" s="407"/>
      <c r="J38" s="407"/>
      <c r="K38" s="404"/>
      <c r="L38" s="404"/>
      <c r="M38" s="407">
        <v>1</v>
      </c>
      <c r="N38" s="407">
        <v>1230</v>
      </c>
      <c r="O38" s="457">
        <v>0.33333333333333331</v>
      </c>
      <c r="P38" s="408">
        <v>1230</v>
      </c>
    </row>
    <row r="39" spans="1:16" ht="14.4" customHeight="1" x14ac:dyDescent="0.3">
      <c r="A39" s="403" t="s">
        <v>1121</v>
      </c>
      <c r="B39" s="404" t="s">
        <v>1122</v>
      </c>
      <c r="C39" s="404" t="s">
        <v>1156</v>
      </c>
      <c r="D39" s="404" t="s">
        <v>1118</v>
      </c>
      <c r="E39" s="407">
        <v>47</v>
      </c>
      <c r="F39" s="407">
        <v>13254</v>
      </c>
      <c r="G39" s="404">
        <v>1</v>
      </c>
      <c r="H39" s="404">
        <v>282</v>
      </c>
      <c r="I39" s="407">
        <v>20</v>
      </c>
      <c r="J39" s="407">
        <v>5640</v>
      </c>
      <c r="K39" s="404">
        <v>0.42553191489361702</v>
      </c>
      <c r="L39" s="404">
        <v>282</v>
      </c>
      <c r="M39" s="407">
        <v>21</v>
      </c>
      <c r="N39" s="407">
        <v>5922</v>
      </c>
      <c r="O39" s="457">
        <v>0.44680851063829785</v>
      </c>
      <c r="P39" s="408">
        <v>282</v>
      </c>
    </row>
    <row r="40" spans="1:16" ht="14.4" customHeight="1" x14ac:dyDescent="0.3">
      <c r="A40" s="403" t="s">
        <v>1121</v>
      </c>
      <c r="B40" s="404" t="s">
        <v>1122</v>
      </c>
      <c r="C40" s="404" t="s">
        <v>1157</v>
      </c>
      <c r="D40" s="404" t="s">
        <v>1118</v>
      </c>
      <c r="E40" s="407">
        <v>10</v>
      </c>
      <c r="F40" s="407">
        <v>6790</v>
      </c>
      <c r="G40" s="404">
        <v>1</v>
      </c>
      <c r="H40" s="404">
        <v>679</v>
      </c>
      <c r="I40" s="407">
        <v>11</v>
      </c>
      <c r="J40" s="407">
        <v>7469</v>
      </c>
      <c r="K40" s="404">
        <v>1.1000000000000001</v>
      </c>
      <c r="L40" s="404">
        <v>679</v>
      </c>
      <c r="M40" s="407">
        <v>9</v>
      </c>
      <c r="N40" s="407">
        <v>6111</v>
      </c>
      <c r="O40" s="457">
        <v>0.9</v>
      </c>
      <c r="P40" s="408">
        <v>679</v>
      </c>
    </row>
    <row r="41" spans="1:16" ht="14.4" customHeight="1" x14ac:dyDescent="0.3">
      <c r="A41" s="403" t="s">
        <v>1121</v>
      </c>
      <c r="B41" s="404" t="s">
        <v>1122</v>
      </c>
      <c r="C41" s="404" t="s">
        <v>1158</v>
      </c>
      <c r="D41" s="404" t="s">
        <v>1118</v>
      </c>
      <c r="E41" s="407">
        <v>7</v>
      </c>
      <c r="F41" s="407">
        <v>6503</v>
      </c>
      <c r="G41" s="404">
        <v>1</v>
      </c>
      <c r="H41" s="404">
        <v>929</v>
      </c>
      <c r="I41" s="407">
        <v>9</v>
      </c>
      <c r="J41" s="407">
        <v>8361</v>
      </c>
      <c r="K41" s="404">
        <v>1.2857142857142858</v>
      </c>
      <c r="L41" s="404">
        <v>929</v>
      </c>
      <c r="M41" s="407">
        <v>3</v>
      </c>
      <c r="N41" s="407">
        <v>2787</v>
      </c>
      <c r="O41" s="457">
        <v>0.42857142857142855</v>
      </c>
      <c r="P41" s="408">
        <v>929</v>
      </c>
    </row>
    <row r="42" spans="1:16" ht="14.4" customHeight="1" x14ac:dyDescent="0.3">
      <c r="A42" s="403" t="s">
        <v>1121</v>
      </c>
      <c r="B42" s="404" t="s">
        <v>1122</v>
      </c>
      <c r="C42" s="404" t="s">
        <v>1159</v>
      </c>
      <c r="D42" s="404" t="s">
        <v>1118</v>
      </c>
      <c r="E42" s="407">
        <v>1</v>
      </c>
      <c r="F42" s="407">
        <v>208</v>
      </c>
      <c r="G42" s="404">
        <v>1</v>
      </c>
      <c r="H42" s="404">
        <v>208</v>
      </c>
      <c r="I42" s="407">
        <v>1</v>
      </c>
      <c r="J42" s="407">
        <v>208</v>
      </c>
      <c r="K42" s="404">
        <v>1</v>
      </c>
      <c r="L42" s="404">
        <v>208</v>
      </c>
      <c r="M42" s="407"/>
      <c r="N42" s="407"/>
      <c r="O42" s="457"/>
      <c r="P42" s="408"/>
    </row>
    <row r="43" spans="1:16" ht="14.4" customHeight="1" x14ac:dyDescent="0.3">
      <c r="A43" s="403" t="s">
        <v>1121</v>
      </c>
      <c r="B43" s="404" t="s">
        <v>1122</v>
      </c>
      <c r="C43" s="404" t="s">
        <v>1160</v>
      </c>
      <c r="D43" s="404" t="s">
        <v>1118</v>
      </c>
      <c r="E43" s="407">
        <v>6</v>
      </c>
      <c r="F43" s="407">
        <v>10440</v>
      </c>
      <c r="G43" s="404">
        <v>1</v>
      </c>
      <c r="H43" s="404">
        <v>1740</v>
      </c>
      <c r="I43" s="407">
        <v>6</v>
      </c>
      <c r="J43" s="407">
        <v>10440</v>
      </c>
      <c r="K43" s="404">
        <v>1</v>
      </c>
      <c r="L43" s="404">
        <v>1740</v>
      </c>
      <c r="M43" s="407">
        <v>4</v>
      </c>
      <c r="N43" s="407">
        <v>6960</v>
      </c>
      <c r="O43" s="457">
        <v>0.66666666666666663</v>
      </c>
      <c r="P43" s="408">
        <v>1740</v>
      </c>
    </row>
    <row r="44" spans="1:16" ht="14.4" customHeight="1" x14ac:dyDescent="0.3">
      <c r="A44" s="403" t="s">
        <v>1121</v>
      </c>
      <c r="B44" s="404" t="s">
        <v>1122</v>
      </c>
      <c r="C44" s="404" t="s">
        <v>1161</v>
      </c>
      <c r="D44" s="404" t="s">
        <v>1118</v>
      </c>
      <c r="E44" s="407">
        <v>3</v>
      </c>
      <c r="F44" s="407">
        <v>6072</v>
      </c>
      <c r="G44" s="404">
        <v>1</v>
      </c>
      <c r="H44" s="404">
        <v>2024</v>
      </c>
      <c r="I44" s="407">
        <v>1</v>
      </c>
      <c r="J44" s="407">
        <v>2024</v>
      </c>
      <c r="K44" s="404">
        <v>0.33333333333333331</v>
      </c>
      <c r="L44" s="404">
        <v>2024</v>
      </c>
      <c r="M44" s="407">
        <v>3</v>
      </c>
      <c r="N44" s="407">
        <v>6072</v>
      </c>
      <c r="O44" s="457">
        <v>1</v>
      </c>
      <c r="P44" s="408">
        <v>2024</v>
      </c>
    </row>
    <row r="45" spans="1:16" ht="14.4" customHeight="1" x14ac:dyDescent="0.3">
      <c r="A45" s="403" t="s">
        <v>1121</v>
      </c>
      <c r="B45" s="404" t="s">
        <v>1122</v>
      </c>
      <c r="C45" s="404" t="s">
        <v>1162</v>
      </c>
      <c r="D45" s="404" t="s">
        <v>1118</v>
      </c>
      <c r="E45" s="407">
        <v>2</v>
      </c>
      <c r="F45" s="407">
        <v>4020</v>
      </c>
      <c r="G45" s="404">
        <v>1</v>
      </c>
      <c r="H45" s="404">
        <v>2010</v>
      </c>
      <c r="I45" s="407">
        <v>1</v>
      </c>
      <c r="J45" s="407">
        <v>2010</v>
      </c>
      <c r="K45" s="404">
        <v>0.5</v>
      </c>
      <c r="L45" s="404">
        <v>2010</v>
      </c>
      <c r="M45" s="407"/>
      <c r="N45" s="407"/>
      <c r="O45" s="457"/>
      <c r="P45" s="408"/>
    </row>
    <row r="46" spans="1:16" ht="14.4" customHeight="1" x14ac:dyDescent="0.3">
      <c r="A46" s="403" t="s">
        <v>1121</v>
      </c>
      <c r="B46" s="404" t="s">
        <v>1122</v>
      </c>
      <c r="C46" s="404" t="s">
        <v>1163</v>
      </c>
      <c r="D46" s="404" t="s">
        <v>1118</v>
      </c>
      <c r="E46" s="407">
        <v>1</v>
      </c>
      <c r="F46" s="407">
        <v>2146</v>
      </c>
      <c r="G46" s="404">
        <v>1</v>
      </c>
      <c r="H46" s="404">
        <v>2146</v>
      </c>
      <c r="I46" s="407">
        <v>2</v>
      </c>
      <c r="J46" s="407">
        <v>4292</v>
      </c>
      <c r="K46" s="404">
        <v>2</v>
      </c>
      <c r="L46" s="404">
        <v>2146</v>
      </c>
      <c r="M46" s="407">
        <v>4</v>
      </c>
      <c r="N46" s="407">
        <v>8584</v>
      </c>
      <c r="O46" s="457">
        <v>4</v>
      </c>
      <c r="P46" s="408">
        <v>2146</v>
      </c>
    </row>
    <row r="47" spans="1:16" ht="14.4" customHeight="1" x14ac:dyDescent="0.3">
      <c r="A47" s="403" t="s">
        <v>1121</v>
      </c>
      <c r="B47" s="404" t="s">
        <v>1122</v>
      </c>
      <c r="C47" s="404" t="s">
        <v>1164</v>
      </c>
      <c r="D47" s="404" t="s">
        <v>1118</v>
      </c>
      <c r="E47" s="407">
        <v>1</v>
      </c>
      <c r="F47" s="407">
        <v>1246</v>
      </c>
      <c r="G47" s="404">
        <v>1</v>
      </c>
      <c r="H47" s="404">
        <v>1246</v>
      </c>
      <c r="I47" s="407"/>
      <c r="J47" s="407"/>
      <c r="K47" s="404"/>
      <c r="L47" s="404"/>
      <c r="M47" s="407">
        <v>2</v>
      </c>
      <c r="N47" s="407">
        <v>2492</v>
      </c>
      <c r="O47" s="457">
        <v>2</v>
      </c>
      <c r="P47" s="408">
        <v>1246</v>
      </c>
    </row>
    <row r="48" spans="1:16" ht="14.4" customHeight="1" x14ac:dyDescent="0.3">
      <c r="A48" s="403" t="s">
        <v>1121</v>
      </c>
      <c r="B48" s="404" t="s">
        <v>1122</v>
      </c>
      <c r="C48" s="404" t="s">
        <v>1165</v>
      </c>
      <c r="D48" s="404" t="s">
        <v>1118</v>
      </c>
      <c r="E48" s="407">
        <v>11</v>
      </c>
      <c r="F48" s="407">
        <v>39094</v>
      </c>
      <c r="G48" s="404">
        <v>1</v>
      </c>
      <c r="H48" s="404">
        <v>3554</v>
      </c>
      <c r="I48" s="407">
        <v>17</v>
      </c>
      <c r="J48" s="407">
        <v>60418</v>
      </c>
      <c r="K48" s="404">
        <v>1.5454545454545454</v>
      </c>
      <c r="L48" s="404">
        <v>3554</v>
      </c>
      <c r="M48" s="407">
        <v>14</v>
      </c>
      <c r="N48" s="407">
        <v>49756</v>
      </c>
      <c r="O48" s="457">
        <v>1.2727272727272727</v>
      </c>
      <c r="P48" s="408">
        <v>3554</v>
      </c>
    </row>
    <row r="49" spans="1:16" ht="14.4" customHeight="1" x14ac:dyDescent="0.3">
      <c r="A49" s="403" t="s">
        <v>1121</v>
      </c>
      <c r="B49" s="404" t="s">
        <v>1122</v>
      </c>
      <c r="C49" s="404" t="s">
        <v>1166</v>
      </c>
      <c r="D49" s="404" t="s">
        <v>1118</v>
      </c>
      <c r="E49" s="407">
        <v>6</v>
      </c>
      <c r="F49" s="407">
        <v>21702</v>
      </c>
      <c r="G49" s="404">
        <v>1</v>
      </c>
      <c r="H49" s="404">
        <v>3617</v>
      </c>
      <c r="I49" s="407">
        <v>9</v>
      </c>
      <c r="J49" s="407">
        <v>32553</v>
      </c>
      <c r="K49" s="404">
        <v>1.5</v>
      </c>
      <c r="L49" s="404">
        <v>3617</v>
      </c>
      <c r="M49" s="407">
        <v>6</v>
      </c>
      <c r="N49" s="407">
        <v>21702</v>
      </c>
      <c r="O49" s="457">
        <v>1</v>
      </c>
      <c r="P49" s="408">
        <v>3617</v>
      </c>
    </row>
    <row r="50" spans="1:16" ht="14.4" customHeight="1" x14ac:dyDescent="0.3">
      <c r="A50" s="403" t="s">
        <v>1121</v>
      </c>
      <c r="B50" s="404" t="s">
        <v>1122</v>
      </c>
      <c r="C50" s="404" t="s">
        <v>1167</v>
      </c>
      <c r="D50" s="404" t="s">
        <v>1118</v>
      </c>
      <c r="E50" s="407">
        <v>2</v>
      </c>
      <c r="F50" s="407">
        <v>2702</v>
      </c>
      <c r="G50" s="404">
        <v>1</v>
      </c>
      <c r="H50" s="404">
        <v>1351</v>
      </c>
      <c r="I50" s="407">
        <v>1</v>
      </c>
      <c r="J50" s="407">
        <v>1351</v>
      </c>
      <c r="K50" s="404">
        <v>0.5</v>
      </c>
      <c r="L50" s="404">
        <v>1351</v>
      </c>
      <c r="M50" s="407">
        <v>1</v>
      </c>
      <c r="N50" s="407">
        <v>1351</v>
      </c>
      <c r="O50" s="457">
        <v>0.5</v>
      </c>
      <c r="P50" s="408">
        <v>1351</v>
      </c>
    </row>
    <row r="51" spans="1:16" ht="14.4" customHeight="1" x14ac:dyDescent="0.3">
      <c r="A51" s="403" t="s">
        <v>1121</v>
      </c>
      <c r="B51" s="404" t="s">
        <v>1122</v>
      </c>
      <c r="C51" s="404" t="s">
        <v>1168</v>
      </c>
      <c r="D51" s="404" t="s">
        <v>1118</v>
      </c>
      <c r="E51" s="407">
        <v>5</v>
      </c>
      <c r="F51" s="407">
        <v>820</v>
      </c>
      <c r="G51" s="404">
        <v>1</v>
      </c>
      <c r="H51" s="404">
        <v>164</v>
      </c>
      <c r="I51" s="407">
        <v>3</v>
      </c>
      <c r="J51" s="407">
        <v>492</v>
      </c>
      <c r="K51" s="404">
        <v>0.6</v>
      </c>
      <c r="L51" s="404">
        <v>164</v>
      </c>
      <c r="M51" s="407">
        <v>4</v>
      </c>
      <c r="N51" s="407">
        <v>656</v>
      </c>
      <c r="O51" s="457">
        <v>0.8</v>
      </c>
      <c r="P51" s="408">
        <v>164</v>
      </c>
    </row>
    <row r="52" spans="1:16" ht="14.4" customHeight="1" x14ac:dyDescent="0.3">
      <c r="A52" s="403" t="s">
        <v>1121</v>
      </c>
      <c r="B52" s="404" t="s">
        <v>1122</v>
      </c>
      <c r="C52" s="404" t="s">
        <v>1169</v>
      </c>
      <c r="D52" s="404" t="s">
        <v>1118</v>
      </c>
      <c r="E52" s="407">
        <v>12</v>
      </c>
      <c r="F52" s="407">
        <v>2700</v>
      </c>
      <c r="G52" s="404">
        <v>1</v>
      </c>
      <c r="H52" s="404">
        <v>225</v>
      </c>
      <c r="I52" s="407">
        <v>12</v>
      </c>
      <c r="J52" s="407">
        <v>2700</v>
      </c>
      <c r="K52" s="404">
        <v>1</v>
      </c>
      <c r="L52" s="404">
        <v>225</v>
      </c>
      <c r="M52" s="407">
        <v>12</v>
      </c>
      <c r="N52" s="407">
        <v>2700</v>
      </c>
      <c r="O52" s="457">
        <v>1</v>
      </c>
      <c r="P52" s="408">
        <v>225</v>
      </c>
    </row>
    <row r="53" spans="1:16" ht="14.4" customHeight="1" x14ac:dyDescent="0.3">
      <c r="A53" s="403" t="s">
        <v>1121</v>
      </c>
      <c r="B53" s="404" t="s">
        <v>1122</v>
      </c>
      <c r="C53" s="404" t="s">
        <v>1170</v>
      </c>
      <c r="D53" s="404" t="s">
        <v>1118</v>
      </c>
      <c r="E53" s="407">
        <v>9</v>
      </c>
      <c r="F53" s="407">
        <v>3267</v>
      </c>
      <c r="G53" s="404">
        <v>1</v>
      </c>
      <c r="H53" s="404">
        <v>363</v>
      </c>
      <c r="I53" s="407">
        <v>5</v>
      </c>
      <c r="J53" s="407">
        <v>1815</v>
      </c>
      <c r="K53" s="404">
        <v>0.55555555555555558</v>
      </c>
      <c r="L53" s="404">
        <v>363</v>
      </c>
      <c r="M53" s="407">
        <v>5</v>
      </c>
      <c r="N53" s="407">
        <v>1815</v>
      </c>
      <c r="O53" s="457">
        <v>0.55555555555555558</v>
      </c>
      <c r="P53" s="408">
        <v>363</v>
      </c>
    </row>
    <row r="54" spans="1:16" ht="14.4" customHeight="1" x14ac:dyDescent="0.3">
      <c r="A54" s="403" t="s">
        <v>1121</v>
      </c>
      <c r="B54" s="404" t="s">
        <v>1122</v>
      </c>
      <c r="C54" s="404" t="s">
        <v>1171</v>
      </c>
      <c r="D54" s="404" t="s">
        <v>1118</v>
      </c>
      <c r="E54" s="407">
        <v>15</v>
      </c>
      <c r="F54" s="407">
        <v>8805</v>
      </c>
      <c r="G54" s="404">
        <v>1</v>
      </c>
      <c r="H54" s="404">
        <v>587</v>
      </c>
      <c r="I54" s="407">
        <v>11</v>
      </c>
      <c r="J54" s="407">
        <v>6457</v>
      </c>
      <c r="K54" s="404">
        <v>0.73333333333333328</v>
      </c>
      <c r="L54" s="404">
        <v>587</v>
      </c>
      <c r="M54" s="407">
        <v>5</v>
      </c>
      <c r="N54" s="407">
        <v>2935</v>
      </c>
      <c r="O54" s="457">
        <v>0.33333333333333331</v>
      </c>
      <c r="P54" s="408">
        <v>587</v>
      </c>
    </row>
    <row r="55" spans="1:16" ht="14.4" customHeight="1" x14ac:dyDescent="0.3">
      <c r="A55" s="403" t="s">
        <v>1121</v>
      </c>
      <c r="B55" s="404" t="s">
        <v>1122</v>
      </c>
      <c r="C55" s="404" t="s">
        <v>1172</v>
      </c>
      <c r="D55" s="404" t="s">
        <v>1118</v>
      </c>
      <c r="E55" s="407">
        <v>1</v>
      </c>
      <c r="F55" s="407">
        <v>600</v>
      </c>
      <c r="G55" s="404">
        <v>1</v>
      </c>
      <c r="H55" s="404">
        <v>600</v>
      </c>
      <c r="I55" s="407"/>
      <c r="J55" s="407"/>
      <c r="K55" s="404"/>
      <c r="L55" s="404"/>
      <c r="M55" s="407"/>
      <c r="N55" s="407"/>
      <c r="O55" s="457"/>
      <c r="P55" s="408"/>
    </row>
    <row r="56" spans="1:16" ht="14.4" customHeight="1" x14ac:dyDescent="0.3">
      <c r="A56" s="403" t="s">
        <v>1121</v>
      </c>
      <c r="B56" s="404" t="s">
        <v>1122</v>
      </c>
      <c r="C56" s="404" t="s">
        <v>1173</v>
      </c>
      <c r="D56" s="404" t="s">
        <v>1118</v>
      </c>
      <c r="E56" s="407">
        <v>1</v>
      </c>
      <c r="F56" s="407">
        <v>4231</v>
      </c>
      <c r="G56" s="404">
        <v>1</v>
      </c>
      <c r="H56" s="404">
        <v>4231</v>
      </c>
      <c r="I56" s="407"/>
      <c r="J56" s="407"/>
      <c r="K56" s="404"/>
      <c r="L56" s="404"/>
      <c r="M56" s="407"/>
      <c r="N56" s="407"/>
      <c r="O56" s="457"/>
      <c r="P56" s="408"/>
    </row>
    <row r="57" spans="1:16" ht="14.4" customHeight="1" x14ac:dyDescent="0.3">
      <c r="A57" s="403" t="s">
        <v>1121</v>
      </c>
      <c r="B57" s="404" t="s">
        <v>1122</v>
      </c>
      <c r="C57" s="404" t="s">
        <v>1174</v>
      </c>
      <c r="D57" s="404" t="s">
        <v>1118</v>
      </c>
      <c r="E57" s="407"/>
      <c r="F57" s="407"/>
      <c r="G57" s="404"/>
      <c r="H57" s="404"/>
      <c r="I57" s="407">
        <v>3</v>
      </c>
      <c r="J57" s="407">
        <v>3024</v>
      </c>
      <c r="K57" s="404"/>
      <c r="L57" s="404">
        <v>1008</v>
      </c>
      <c r="M57" s="407"/>
      <c r="N57" s="407"/>
      <c r="O57" s="457"/>
      <c r="P57" s="408"/>
    </row>
    <row r="58" spans="1:16" ht="14.4" customHeight="1" x14ac:dyDescent="0.3">
      <c r="A58" s="403" t="s">
        <v>1121</v>
      </c>
      <c r="B58" s="404" t="s">
        <v>1122</v>
      </c>
      <c r="C58" s="404" t="s">
        <v>1175</v>
      </c>
      <c r="D58" s="404" t="s">
        <v>1118</v>
      </c>
      <c r="E58" s="407"/>
      <c r="F58" s="407"/>
      <c r="G58" s="404"/>
      <c r="H58" s="404"/>
      <c r="I58" s="407"/>
      <c r="J58" s="407"/>
      <c r="K58" s="404"/>
      <c r="L58" s="404"/>
      <c r="M58" s="407">
        <v>1</v>
      </c>
      <c r="N58" s="407">
        <v>561</v>
      </c>
      <c r="O58" s="457"/>
      <c r="P58" s="408">
        <v>561</v>
      </c>
    </row>
    <row r="59" spans="1:16" ht="14.4" customHeight="1" x14ac:dyDescent="0.3">
      <c r="A59" s="403" t="s">
        <v>1121</v>
      </c>
      <c r="B59" s="404" t="s">
        <v>1122</v>
      </c>
      <c r="C59" s="404" t="s">
        <v>1176</v>
      </c>
      <c r="D59" s="404" t="s">
        <v>1118</v>
      </c>
      <c r="E59" s="407"/>
      <c r="F59" s="407"/>
      <c r="G59" s="404"/>
      <c r="H59" s="404"/>
      <c r="I59" s="407"/>
      <c r="J59" s="407"/>
      <c r="K59" s="404"/>
      <c r="L59" s="404"/>
      <c r="M59" s="407">
        <v>1</v>
      </c>
      <c r="N59" s="407">
        <v>369</v>
      </c>
      <c r="O59" s="457"/>
      <c r="P59" s="408">
        <v>369</v>
      </c>
    </row>
    <row r="60" spans="1:16" ht="14.4" customHeight="1" x14ac:dyDescent="0.3">
      <c r="A60" s="403" t="s">
        <v>1121</v>
      </c>
      <c r="B60" s="404" t="s">
        <v>1122</v>
      </c>
      <c r="C60" s="404" t="s">
        <v>1177</v>
      </c>
      <c r="D60" s="404" t="s">
        <v>1118</v>
      </c>
      <c r="E60" s="407">
        <v>1</v>
      </c>
      <c r="F60" s="407">
        <v>353</v>
      </c>
      <c r="G60" s="404">
        <v>1</v>
      </c>
      <c r="H60" s="404">
        <v>353</v>
      </c>
      <c r="I60" s="407"/>
      <c r="J60" s="407"/>
      <c r="K60" s="404"/>
      <c r="L60" s="404"/>
      <c r="M60" s="407"/>
      <c r="N60" s="407"/>
      <c r="O60" s="457"/>
      <c r="P60" s="408"/>
    </row>
    <row r="61" spans="1:16" ht="14.4" customHeight="1" x14ac:dyDescent="0.3">
      <c r="A61" s="403" t="s">
        <v>1121</v>
      </c>
      <c r="B61" s="404" t="s">
        <v>1122</v>
      </c>
      <c r="C61" s="404" t="s">
        <v>1178</v>
      </c>
      <c r="D61" s="404" t="s">
        <v>1118</v>
      </c>
      <c r="E61" s="407">
        <v>1</v>
      </c>
      <c r="F61" s="407">
        <v>1122</v>
      </c>
      <c r="G61" s="404">
        <v>1</v>
      </c>
      <c r="H61" s="404">
        <v>1122</v>
      </c>
      <c r="I61" s="407"/>
      <c r="J61" s="407"/>
      <c r="K61" s="404"/>
      <c r="L61" s="404"/>
      <c r="M61" s="407"/>
      <c r="N61" s="407"/>
      <c r="O61" s="457"/>
      <c r="P61" s="408"/>
    </row>
    <row r="62" spans="1:16" ht="14.4" customHeight="1" x14ac:dyDescent="0.3">
      <c r="A62" s="403" t="s">
        <v>1121</v>
      </c>
      <c r="B62" s="404" t="s">
        <v>1122</v>
      </c>
      <c r="C62" s="404" t="s">
        <v>1179</v>
      </c>
      <c r="D62" s="404" t="s">
        <v>1118</v>
      </c>
      <c r="E62" s="407">
        <v>2</v>
      </c>
      <c r="F62" s="407">
        <v>1734</v>
      </c>
      <c r="G62" s="404">
        <v>1</v>
      </c>
      <c r="H62" s="404">
        <v>867</v>
      </c>
      <c r="I62" s="407">
        <v>3</v>
      </c>
      <c r="J62" s="407">
        <v>2601</v>
      </c>
      <c r="K62" s="404">
        <v>1.5</v>
      </c>
      <c r="L62" s="404">
        <v>867</v>
      </c>
      <c r="M62" s="407">
        <v>2</v>
      </c>
      <c r="N62" s="407">
        <v>1734</v>
      </c>
      <c r="O62" s="457">
        <v>1</v>
      </c>
      <c r="P62" s="408">
        <v>867</v>
      </c>
    </row>
    <row r="63" spans="1:16" ht="14.4" customHeight="1" x14ac:dyDescent="0.3">
      <c r="A63" s="403" t="s">
        <v>1121</v>
      </c>
      <c r="B63" s="404" t="s">
        <v>1122</v>
      </c>
      <c r="C63" s="404" t="s">
        <v>1180</v>
      </c>
      <c r="D63" s="404" t="s">
        <v>1118</v>
      </c>
      <c r="E63" s="407">
        <v>9</v>
      </c>
      <c r="F63" s="407">
        <v>4950</v>
      </c>
      <c r="G63" s="404">
        <v>1</v>
      </c>
      <c r="H63" s="404">
        <v>550</v>
      </c>
      <c r="I63" s="407"/>
      <c r="J63" s="407"/>
      <c r="K63" s="404"/>
      <c r="L63" s="404"/>
      <c r="M63" s="407"/>
      <c r="N63" s="407"/>
      <c r="O63" s="457"/>
      <c r="P63" s="408"/>
    </row>
    <row r="64" spans="1:16" ht="14.4" customHeight="1" x14ac:dyDescent="0.3">
      <c r="A64" s="403" t="s">
        <v>1121</v>
      </c>
      <c r="B64" s="404" t="s">
        <v>1181</v>
      </c>
      <c r="C64" s="404" t="s">
        <v>1182</v>
      </c>
      <c r="D64" s="404" t="s">
        <v>1183</v>
      </c>
      <c r="E64" s="407">
        <v>42</v>
      </c>
      <c r="F64" s="407">
        <v>18573.300000000003</v>
      </c>
      <c r="G64" s="404">
        <v>1</v>
      </c>
      <c r="H64" s="404">
        <v>442.22142857142865</v>
      </c>
      <c r="I64" s="407">
        <v>31</v>
      </c>
      <c r="J64" s="407">
        <v>13708.859999999999</v>
      </c>
      <c r="K64" s="404">
        <v>0.73809500734925926</v>
      </c>
      <c r="L64" s="404">
        <v>442.22129032258061</v>
      </c>
      <c r="M64" s="407">
        <v>26</v>
      </c>
      <c r="N64" s="407">
        <v>11497.760000000002</v>
      </c>
      <c r="O64" s="457">
        <v>0.61904777287827151</v>
      </c>
      <c r="P64" s="408">
        <v>442.22153846153856</v>
      </c>
    </row>
    <row r="65" spans="1:16" ht="14.4" customHeight="1" x14ac:dyDescent="0.3">
      <c r="A65" s="403" t="s">
        <v>1121</v>
      </c>
      <c r="B65" s="404" t="s">
        <v>1181</v>
      </c>
      <c r="C65" s="404" t="s">
        <v>1184</v>
      </c>
      <c r="D65" s="404" t="s">
        <v>1185</v>
      </c>
      <c r="E65" s="407">
        <v>351</v>
      </c>
      <c r="F65" s="407">
        <v>143520.03</v>
      </c>
      <c r="G65" s="404">
        <v>1</v>
      </c>
      <c r="H65" s="404">
        <v>408.88897435897434</v>
      </c>
      <c r="I65" s="407">
        <v>313</v>
      </c>
      <c r="J65" s="407">
        <v>127982.23999999999</v>
      </c>
      <c r="K65" s="404">
        <v>0.89173782920753286</v>
      </c>
      <c r="L65" s="404">
        <v>408.88894568690091</v>
      </c>
      <c r="M65" s="407">
        <v>290</v>
      </c>
      <c r="N65" s="407">
        <v>118577.8</v>
      </c>
      <c r="O65" s="457">
        <v>0.82621080834500948</v>
      </c>
      <c r="P65" s="408">
        <v>408.88896551724139</v>
      </c>
    </row>
    <row r="66" spans="1:16" ht="14.4" customHeight="1" x14ac:dyDescent="0.3">
      <c r="A66" s="403" t="s">
        <v>1121</v>
      </c>
      <c r="B66" s="404" t="s">
        <v>1181</v>
      </c>
      <c r="C66" s="404" t="s">
        <v>1186</v>
      </c>
      <c r="D66" s="404" t="s">
        <v>1187</v>
      </c>
      <c r="E66" s="407">
        <v>243</v>
      </c>
      <c r="F66" s="407">
        <v>25650.020000000004</v>
      </c>
      <c r="G66" s="404">
        <v>1</v>
      </c>
      <c r="H66" s="404">
        <v>105.55563786008233</v>
      </c>
      <c r="I66" s="407">
        <v>220</v>
      </c>
      <c r="J66" s="407">
        <v>23222.240000000002</v>
      </c>
      <c r="K66" s="404">
        <v>0.90534978140367917</v>
      </c>
      <c r="L66" s="404">
        <v>105.55563636363637</v>
      </c>
      <c r="M66" s="407">
        <v>232</v>
      </c>
      <c r="N66" s="407">
        <v>24488.87</v>
      </c>
      <c r="O66" s="457">
        <v>0.95473102944948951</v>
      </c>
      <c r="P66" s="408">
        <v>105.55547413793103</v>
      </c>
    </row>
    <row r="67" spans="1:16" ht="14.4" customHeight="1" x14ac:dyDescent="0.3">
      <c r="A67" s="403" t="s">
        <v>1121</v>
      </c>
      <c r="B67" s="404" t="s">
        <v>1181</v>
      </c>
      <c r="C67" s="404" t="s">
        <v>1188</v>
      </c>
      <c r="D67" s="404" t="s">
        <v>1189</v>
      </c>
      <c r="E67" s="407">
        <v>1002</v>
      </c>
      <c r="F67" s="407">
        <v>77933.369999999981</v>
      </c>
      <c r="G67" s="404">
        <v>1</v>
      </c>
      <c r="H67" s="404">
        <v>77.777814371257463</v>
      </c>
      <c r="I67" s="407">
        <v>965</v>
      </c>
      <c r="J67" s="407">
        <v>75055.56</v>
      </c>
      <c r="K67" s="404">
        <v>0.96307345621009355</v>
      </c>
      <c r="L67" s="404">
        <v>77.777782383419691</v>
      </c>
      <c r="M67" s="407">
        <v>1170</v>
      </c>
      <c r="N67" s="407">
        <v>91000.03</v>
      </c>
      <c r="O67" s="457">
        <v>1.167664506231413</v>
      </c>
      <c r="P67" s="408">
        <v>77.777803418803416</v>
      </c>
    </row>
    <row r="68" spans="1:16" ht="14.4" customHeight="1" x14ac:dyDescent="0.3">
      <c r="A68" s="403" t="s">
        <v>1121</v>
      </c>
      <c r="B68" s="404" t="s">
        <v>1181</v>
      </c>
      <c r="C68" s="404" t="s">
        <v>1190</v>
      </c>
      <c r="D68" s="404" t="s">
        <v>1191</v>
      </c>
      <c r="E68" s="407">
        <v>11</v>
      </c>
      <c r="F68" s="407">
        <v>2750</v>
      </c>
      <c r="G68" s="404">
        <v>1</v>
      </c>
      <c r="H68" s="404">
        <v>250</v>
      </c>
      <c r="I68" s="407">
        <v>4</v>
      </c>
      <c r="J68" s="407">
        <v>1000</v>
      </c>
      <c r="K68" s="404">
        <v>0.36363636363636365</v>
      </c>
      <c r="L68" s="404">
        <v>250</v>
      </c>
      <c r="M68" s="407">
        <v>5</v>
      </c>
      <c r="N68" s="407">
        <v>1250</v>
      </c>
      <c r="O68" s="457">
        <v>0.45454545454545453</v>
      </c>
      <c r="P68" s="408">
        <v>250</v>
      </c>
    </row>
    <row r="69" spans="1:16" ht="14.4" customHeight="1" x14ac:dyDescent="0.3">
      <c r="A69" s="403" t="s">
        <v>1121</v>
      </c>
      <c r="B69" s="404" t="s">
        <v>1181</v>
      </c>
      <c r="C69" s="404" t="s">
        <v>1192</v>
      </c>
      <c r="D69" s="404" t="s">
        <v>1193</v>
      </c>
      <c r="E69" s="407"/>
      <c r="F69" s="407"/>
      <c r="G69" s="404"/>
      <c r="H69" s="404"/>
      <c r="I69" s="407"/>
      <c r="J69" s="407"/>
      <c r="K69" s="404"/>
      <c r="L69" s="404"/>
      <c r="M69" s="407">
        <v>3</v>
      </c>
      <c r="N69" s="407">
        <v>900</v>
      </c>
      <c r="O69" s="457"/>
      <c r="P69" s="408">
        <v>300</v>
      </c>
    </row>
    <row r="70" spans="1:16" ht="14.4" customHeight="1" x14ac:dyDescent="0.3">
      <c r="A70" s="403" t="s">
        <v>1121</v>
      </c>
      <c r="B70" s="404" t="s">
        <v>1181</v>
      </c>
      <c r="C70" s="404" t="s">
        <v>1194</v>
      </c>
      <c r="D70" s="404" t="s">
        <v>1195</v>
      </c>
      <c r="E70" s="407">
        <v>383</v>
      </c>
      <c r="F70" s="407">
        <v>42555.510000000009</v>
      </c>
      <c r="G70" s="404">
        <v>1</v>
      </c>
      <c r="H70" s="404">
        <v>111.11099216710186</v>
      </c>
      <c r="I70" s="407">
        <v>429</v>
      </c>
      <c r="J70" s="407">
        <v>47666.610000000015</v>
      </c>
      <c r="K70" s="404">
        <v>1.1201043061168814</v>
      </c>
      <c r="L70" s="404">
        <v>111.11097902097906</v>
      </c>
      <c r="M70" s="407">
        <v>463</v>
      </c>
      <c r="N70" s="407">
        <v>51444.409999999996</v>
      </c>
      <c r="O70" s="457">
        <v>1.2088777692947397</v>
      </c>
      <c r="P70" s="408">
        <v>111.11103671706263</v>
      </c>
    </row>
    <row r="71" spans="1:16" ht="14.4" customHeight="1" x14ac:dyDescent="0.3">
      <c r="A71" s="403" t="s">
        <v>1121</v>
      </c>
      <c r="B71" s="404" t="s">
        <v>1181</v>
      </c>
      <c r="C71" s="404" t="s">
        <v>1196</v>
      </c>
      <c r="D71" s="404" t="s">
        <v>1197</v>
      </c>
      <c r="E71" s="407">
        <v>33</v>
      </c>
      <c r="F71" s="407">
        <v>11550</v>
      </c>
      <c r="G71" s="404">
        <v>1</v>
      </c>
      <c r="H71" s="404">
        <v>350</v>
      </c>
      <c r="I71" s="407">
        <v>30</v>
      </c>
      <c r="J71" s="407">
        <v>10500</v>
      </c>
      <c r="K71" s="404">
        <v>0.90909090909090906</v>
      </c>
      <c r="L71" s="404">
        <v>350</v>
      </c>
      <c r="M71" s="407">
        <v>30</v>
      </c>
      <c r="N71" s="407">
        <v>10500</v>
      </c>
      <c r="O71" s="457">
        <v>0.90909090909090906</v>
      </c>
      <c r="P71" s="408">
        <v>350</v>
      </c>
    </row>
    <row r="72" spans="1:16" ht="14.4" customHeight="1" x14ac:dyDescent="0.3">
      <c r="A72" s="403" t="s">
        <v>1121</v>
      </c>
      <c r="B72" s="404" t="s">
        <v>1181</v>
      </c>
      <c r="C72" s="404" t="s">
        <v>1198</v>
      </c>
      <c r="D72" s="404" t="s">
        <v>1199</v>
      </c>
      <c r="E72" s="407">
        <v>932</v>
      </c>
      <c r="F72" s="407">
        <v>227822.18999999994</v>
      </c>
      <c r="G72" s="404">
        <v>1</v>
      </c>
      <c r="H72" s="404">
        <v>244.44440987124457</v>
      </c>
      <c r="I72" s="407">
        <v>843</v>
      </c>
      <c r="J72" s="407">
        <v>206066.65</v>
      </c>
      <c r="K72" s="404">
        <v>0.90450649254139837</v>
      </c>
      <c r="L72" s="404">
        <v>244.44442467378408</v>
      </c>
      <c r="M72" s="407">
        <v>801</v>
      </c>
      <c r="N72" s="407">
        <v>195800</v>
      </c>
      <c r="O72" s="457">
        <v>0.85944218164174457</v>
      </c>
      <c r="P72" s="408">
        <v>244.44444444444446</v>
      </c>
    </row>
    <row r="73" spans="1:16" ht="14.4" customHeight="1" x14ac:dyDescent="0.3">
      <c r="A73" s="403" t="s">
        <v>1121</v>
      </c>
      <c r="B73" s="404" t="s">
        <v>1181</v>
      </c>
      <c r="C73" s="404" t="s">
        <v>1200</v>
      </c>
      <c r="D73" s="404" t="s">
        <v>1201</v>
      </c>
      <c r="E73" s="407">
        <v>228</v>
      </c>
      <c r="F73" s="407">
        <v>67133.310000000012</v>
      </c>
      <c r="G73" s="404">
        <v>1</v>
      </c>
      <c r="H73" s="404">
        <v>294.44434210526322</v>
      </c>
      <c r="I73" s="407">
        <v>176</v>
      </c>
      <c r="J73" s="407">
        <v>51822.210000000014</v>
      </c>
      <c r="K73" s="404">
        <v>0.77192991079986972</v>
      </c>
      <c r="L73" s="404">
        <v>294.44437500000009</v>
      </c>
      <c r="M73" s="407">
        <v>270</v>
      </c>
      <c r="N73" s="407">
        <v>79499.97</v>
      </c>
      <c r="O73" s="457">
        <v>1.1842104910364168</v>
      </c>
      <c r="P73" s="408">
        <v>294.44433333333336</v>
      </c>
    </row>
    <row r="74" spans="1:16" ht="14.4" customHeight="1" x14ac:dyDescent="0.3">
      <c r="A74" s="403" t="s">
        <v>1121</v>
      </c>
      <c r="B74" s="404" t="s">
        <v>1181</v>
      </c>
      <c r="C74" s="404" t="s">
        <v>1202</v>
      </c>
      <c r="D74" s="404" t="s">
        <v>1203</v>
      </c>
      <c r="E74" s="407">
        <v>817</v>
      </c>
      <c r="F74" s="407">
        <v>635444.45000000007</v>
      </c>
      <c r="G74" s="404">
        <v>1</v>
      </c>
      <c r="H74" s="404">
        <v>777.77778457772342</v>
      </c>
      <c r="I74" s="407">
        <v>738</v>
      </c>
      <c r="J74" s="407">
        <v>574000.01000000013</v>
      </c>
      <c r="K74" s="404">
        <v>0.90330478140142711</v>
      </c>
      <c r="L74" s="404">
        <v>777.77779132791341</v>
      </c>
      <c r="M74" s="407">
        <v>878</v>
      </c>
      <c r="N74" s="407">
        <v>682888.89</v>
      </c>
      <c r="O74" s="457">
        <v>1.0746633950457825</v>
      </c>
      <c r="P74" s="408">
        <v>777.77777904328025</v>
      </c>
    </row>
    <row r="75" spans="1:16" ht="14.4" customHeight="1" x14ac:dyDescent="0.3">
      <c r="A75" s="403" t="s">
        <v>1121</v>
      </c>
      <c r="B75" s="404" t="s">
        <v>1181</v>
      </c>
      <c r="C75" s="404" t="s">
        <v>1204</v>
      </c>
      <c r="D75" s="404" t="s">
        <v>1205</v>
      </c>
      <c r="E75" s="407">
        <v>261</v>
      </c>
      <c r="F75" s="407">
        <v>24360.010000000002</v>
      </c>
      <c r="G75" s="404">
        <v>1</v>
      </c>
      <c r="H75" s="404">
        <v>93.33337164750958</v>
      </c>
      <c r="I75" s="407">
        <v>349</v>
      </c>
      <c r="J75" s="407">
        <v>32573.329999999998</v>
      </c>
      <c r="K75" s="404">
        <v>1.3371640652035854</v>
      </c>
      <c r="L75" s="404">
        <v>93.333323782234956</v>
      </c>
      <c r="M75" s="407">
        <v>898</v>
      </c>
      <c r="N75" s="407">
        <v>83813.33</v>
      </c>
      <c r="O75" s="457">
        <v>3.4406114775814949</v>
      </c>
      <c r="P75" s="408">
        <v>93.333329621380855</v>
      </c>
    </row>
    <row r="76" spans="1:16" ht="14.4" customHeight="1" x14ac:dyDescent="0.3">
      <c r="A76" s="403" t="s">
        <v>1121</v>
      </c>
      <c r="B76" s="404" t="s">
        <v>1181</v>
      </c>
      <c r="C76" s="404" t="s">
        <v>1206</v>
      </c>
      <c r="D76" s="404" t="s">
        <v>1207</v>
      </c>
      <c r="E76" s="407">
        <v>20</v>
      </c>
      <c r="F76" s="407">
        <v>13333.35</v>
      </c>
      <c r="G76" s="404">
        <v>1</v>
      </c>
      <c r="H76" s="404">
        <v>666.66750000000002</v>
      </c>
      <c r="I76" s="407">
        <v>18</v>
      </c>
      <c r="J76" s="407">
        <v>12000.02</v>
      </c>
      <c r="K76" s="404">
        <v>0.90000037499953123</v>
      </c>
      <c r="L76" s="404">
        <v>666.66777777777781</v>
      </c>
      <c r="M76" s="407">
        <v>8</v>
      </c>
      <c r="N76" s="407">
        <v>5333.35</v>
      </c>
      <c r="O76" s="457">
        <v>0.40000074999906254</v>
      </c>
      <c r="P76" s="408">
        <v>666.66875000000005</v>
      </c>
    </row>
    <row r="77" spans="1:16" ht="14.4" customHeight="1" x14ac:dyDescent="0.3">
      <c r="A77" s="403" t="s">
        <v>1121</v>
      </c>
      <c r="B77" s="404" t="s">
        <v>1181</v>
      </c>
      <c r="C77" s="404" t="s">
        <v>1208</v>
      </c>
      <c r="D77" s="404" t="s">
        <v>1209</v>
      </c>
      <c r="E77" s="407">
        <v>72</v>
      </c>
      <c r="F77" s="407">
        <v>56000.02</v>
      </c>
      <c r="G77" s="404">
        <v>1</v>
      </c>
      <c r="H77" s="404">
        <v>777.77805555555551</v>
      </c>
      <c r="I77" s="407">
        <v>50</v>
      </c>
      <c r="J77" s="407">
        <v>38888.909999999996</v>
      </c>
      <c r="K77" s="404">
        <v>0.69444457341265231</v>
      </c>
      <c r="L77" s="404">
        <v>777.77819999999997</v>
      </c>
      <c r="M77" s="407">
        <v>80</v>
      </c>
      <c r="N77" s="407">
        <v>62222.219999999994</v>
      </c>
      <c r="O77" s="457">
        <v>1.1111106746033304</v>
      </c>
      <c r="P77" s="408">
        <v>777.77774999999997</v>
      </c>
    </row>
    <row r="78" spans="1:16" ht="14.4" customHeight="1" x14ac:dyDescent="0.3">
      <c r="A78" s="403" t="s">
        <v>1121</v>
      </c>
      <c r="B78" s="404" t="s">
        <v>1181</v>
      </c>
      <c r="C78" s="404" t="s">
        <v>1210</v>
      </c>
      <c r="D78" s="404" t="s">
        <v>1211</v>
      </c>
      <c r="E78" s="407">
        <v>14</v>
      </c>
      <c r="F78" s="407">
        <v>4666.66</v>
      </c>
      <c r="G78" s="404">
        <v>1</v>
      </c>
      <c r="H78" s="404">
        <v>333.33285714285711</v>
      </c>
      <c r="I78" s="407">
        <v>23</v>
      </c>
      <c r="J78" s="407">
        <v>7666.66</v>
      </c>
      <c r="K78" s="404">
        <v>1.6428580612258017</v>
      </c>
      <c r="L78" s="404">
        <v>333.33304347826089</v>
      </c>
      <c r="M78" s="407">
        <v>18</v>
      </c>
      <c r="N78" s="407">
        <v>6000</v>
      </c>
      <c r="O78" s="457">
        <v>1.2857161224516036</v>
      </c>
      <c r="P78" s="408">
        <v>333.33333333333331</v>
      </c>
    </row>
    <row r="79" spans="1:16" ht="14.4" customHeight="1" x14ac:dyDescent="0.3">
      <c r="A79" s="403" t="s">
        <v>1121</v>
      </c>
      <c r="B79" s="404" t="s">
        <v>1181</v>
      </c>
      <c r="C79" s="404" t="s">
        <v>1212</v>
      </c>
      <c r="D79" s="404" t="s">
        <v>1185</v>
      </c>
      <c r="E79" s="407">
        <v>666</v>
      </c>
      <c r="F79" s="407">
        <v>248639.97999999998</v>
      </c>
      <c r="G79" s="404">
        <v>1</v>
      </c>
      <c r="H79" s="404">
        <v>373.3333033033033</v>
      </c>
      <c r="I79" s="407">
        <v>756</v>
      </c>
      <c r="J79" s="407">
        <v>282240</v>
      </c>
      <c r="K79" s="404">
        <v>1.1351352264426664</v>
      </c>
      <c r="L79" s="404">
        <v>373.33333333333331</v>
      </c>
      <c r="M79" s="407">
        <v>873</v>
      </c>
      <c r="N79" s="407">
        <v>325920.01</v>
      </c>
      <c r="O79" s="457">
        <v>1.310810956468063</v>
      </c>
      <c r="P79" s="408">
        <v>373.33334478808706</v>
      </c>
    </row>
    <row r="80" spans="1:16" ht="14.4" customHeight="1" x14ac:dyDescent="0.3">
      <c r="A80" s="403" t="s">
        <v>1121</v>
      </c>
      <c r="B80" s="404" t="s">
        <v>1181</v>
      </c>
      <c r="C80" s="404" t="s">
        <v>1213</v>
      </c>
      <c r="D80" s="404" t="s">
        <v>1214</v>
      </c>
      <c r="E80" s="407">
        <v>220</v>
      </c>
      <c r="F80" s="407">
        <v>41066.689999999995</v>
      </c>
      <c r="G80" s="404">
        <v>1</v>
      </c>
      <c r="H80" s="404">
        <v>186.6667727272727</v>
      </c>
      <c r="I80" s="407">
        <v>144</v>
      </c>
      <c r="J80" s="407">
        <v>26880.019999999997</v>
      </c>
      <c r="K80" s="404">
        <v>0.65454556965754973</v>
      </c>
      <c r="L80" s="404">
        <v>186.66680555555553</v>
      </c>
      <c r="M80" s="407">
        <v>149</v>
      </c>
      <c r="N80" s="407">
        <v>27813.31</v>
      </c>
      <c r="O80" s="457">
        <v>0.67727177427740104</v>
      </c>
      <c r="P80" s="408">
        <v>186.6665100671141</v>
      </c>
    </row>
    <row r="81" spans="1:16" ht="14.4" customHeight="1" x14ac:dyDescent="0.3">
      <c r="A81" s="403" t="s">
        <v>1121</v>
      </c>
      <c r="B81" s="404" t="s">
        <v>1181</v>
      </c>
      <c r="C81" s="404" t="s">
        <v>1215</v>
      </c>
      <c r="D81" s="404" t="s">
        <v>1216</v>
      </c>
      <c r="E81" s="407">
        <v>76</v>
      </c>
      <c r="F81" s="407">
        <v>44333.34</v>
      </c>
      <c r="G81" s="404">
        <v>1</v>
      </c>
      <c r="H81" s="404">
        <v>583.33342105263148</v>
      </c>
      <c r="I81" s="407">
        <v>56</v>
      </c>
      <c r="J81" s="407">
        <v>32666.660000000003</v>
      </c>
      <c r="K81" s="404">
        <v>0.73684184408393338</v>
      </c>
      <c r="L81" s="404">
        <v>583.33321428571435</v>
      </c>
      <c r="M81" s="407">
        <v>37</v>
      </c>
      <c r="N81" s="407">
        <v>21583.32</v>
      </c>
      <c r="O81" s="457">
        <v>0.48684173130199532</v>
      </c>
      <c r="P81" s="408">
        <v>583.33297297297293</v>
      </c>
    </row>
    <row r="82" spans="1:16" ht="14.4" customHeight="1" x14ac:dyDescent="0.3">
      <c r="A82" s="403" t="s">
        <v>1121</v>
      </c>
      <c r="B82" s="404" t="s">
        <v>1181</v>
      </c>
      <c r="C82" s="404" t="s">
        <v>1217</v>
      </c>
      <c r="D82" s="404" t="s">
        <v>1218</v>
      </c>
      <c r="E82" s="407">
        <v>44</v>
      </c>
      <c r="F82" s="407">
        <v>20533.370000000003</v>
      </c>
      <c r="G82" s="404">
        <v>1</v>
      </c>
      <c r="H82" s="404">
        <v>466.66750000000008</v>
      </c>
      <c r="I82" s="407">
        <v>49</v>
      </c>
      <c r="J82" s="407">
        <v>22866.719999999998</v>
      </c>
      <c r="K82" s="404">
        <v>1.1136369724015101</v>
      </c>
      <c r="L82" s="404">
        <v>466.66775510204076</v>
      </c>
      <c r="M82" s="407">
        <v>71</v>
      </c>
      <c r="N82" s="407">
        <v>33133.35</v>
      </c>
      <c r="O82" s="457">
        <v>1.6136342938348647</v>
      </c>
      <c r="P82" s="408">
        <v>466.66690140845066</v>
      </c>
    </row>
    <row r="83" spans="1:16" ht="14.4" customHeight="1" x14ac:dyDescent="0.3">
      <c r="A83" s="403" t="s">
        <v>1121</v>
      </c>
      <c r="B83" s="404" t="s">
        <v>1181</v>
      </c>
      <c r="C83" s="404" t="s">
        <v>1219</v>
      </c>
      <c r="D83" s="404" t="s">
        <v>1218</v>
      </c>
      <c r="E83" s="407">
        <v>27</v>
      </c>
      <c r="F83" s="407">
        <v>27000</v>
      </c>
      <c r="G83" s="404">
        <v>1</v>
      </c>
      <c r="H83" s="404">
        <v>1000</v>
      </c>
      <c r="I83" s="407">
        <v>23</v>
      </c>
      <c r="J83" s="407">
        <v>23000</v>
      </c>
      <c r="K83" s="404">
        <v>0.85185185185185186</v>
      </c>
      <c r="L83" s="404">
        <v>1000</v>
      </c>
      <c r="M83" s="407">
        <v>16</v>
      </c>
      <c r="N83" s="407">
        <v>16000</v>
      </c>
      <c r="O83" s="457">
        <v>0.59259259259259256</v>
      </c>
      <c r="P83" s="408">
        <v>1000</v>
      </c>
    </row>
    <row r="84" spans="1:16" ht="14.4" customHeight="1" x14ac:dyDescent="0.3">
      <c r="A84" s="403" t="s">
        <v>1121</v>
      </c>
      <c r="B84" s="404" t="s">
        <v>1181</v>
      </c>
      <c r="C84" s="404" t="s">
        <v>1220</v>
      </c>
      <c r="D84" s="404" t="s">
        <v>1221</v>
      </c>
      <c r="E84" s="407">
        <v>281</v>
      </c>
      <c r="F84" s="407">
        <v>14050</v>
      </c>
      <c r="G84" s="404">
        <v>1</v>
      </c>
      <c r="H84" s="404">
        <v>50</v>
      </c>
      <c r="I84" s="407">
        <v>161</v>
      </c>
      <c r="J84" s="407">
        <v>8050</v>
      </c>
      <c r="K84" s="404">
        <v>0.57295373665480431</v>
      </c>
      <c r="L84" s="404">
        <v>50</v>
      </c>
      <c r="M84" s="407">
        <v>180</v>
      </c>
      <c r="N84" s="407">
        <v>9000</v>
      </c>
      <c r="O84" s="457">
        <v>0.64056939501779364</v>
      </c>
      <c r="P84" s="408">
        <v>50</v>
      </c>
    </row>
    <row r="85" spans="1:16" ht="14.4" customHeight="1" x14ac:dyDescent="0.3">
      <c r="A85" s="403" t="s">
        <v>1121</v>
      </c>
      <c r="B85" s="404" t="s">
        <v>1181</v>
      </c>
      <c r="C85" s="404" t="s">
        <v>1222</v>
      </c>
      <c r="D85" s="404" t="s">
        <v>1223</v>
      </c>
      <c r="E85" s="407">
        <v>85</v>
      </c>
      <c r="F85" s="407">
        <v>8594.4299999999985</v>
      </c>
      <c r="G85" s="404">
        <v>1</v>
      </c>
      <c r="H85" s="404">
        <v>101.11094117647058</v>
      </c>
      <c r="I85" s="407">
        <v>105</v>
      </c>
      <c r="J85" s="407">
        <v>10616.66</v>
      </c>
      <c r="K85" s="404">
        <v>1.2352954180789188</v>
      </c>
      <c r="L85" s="404">
        <v>101.11104761904761</v>
      </c>
      <c r="M85" s="407">
        <v>65</v>
      </c>
      <c r="N85" s="407">
        <v>6572.1999999999989</v>
      </c>
      <c r="O85" s="457">
        <v>0.76470458192108148</v>
      </c>
      <c r="P85" s="408">
        <v>101.11076923076921</v>
      </c>
    </row>
    <row r="86" spans="1:16" ht="14.4" customHeight="1" x14ac:dyDescent="0.3">
      <c r="A86" s="403" t="s">
        <v>1121</v>
      </c>
      <c r="B86" s="404" t="s">
        <v>1181</v>
      </c>
      <c r="C86" s="404" t="s">
        <v>1224</v>
      </c>
      <c r="D86" s="404" t="s">
        <v>1225</v>
      </c>
      <c r="E86" s="407">
        <v>14</v>
      </c>
      <c r="F86" s="407">
        <v>1073.33</v>
      </c>
      <c r="G86" s="404">
        <v>1</v>
      </c>
      <c r="H86" s="404">
        <v>76.666428571428568</v>
      </c>
      <c r="I86" s="407">
        <v>14</v>
      </c>
      <c r="J86" s="407">
        <v>1073.3400000000001</v>
      </c>
      <c r="K86" s="404">
        <v>1.0000093167991206</v>
      </c>
      <c r="L86" s="404">
        <v>76.667142857142863</v>
      </c>
      <c r="M86" s="407">
        <v>18</v>
      </c>
      <c r="N86" s="407">
        <v>1380</v>
      </c>
      <c r="O86" s="457">
        <v>1.2857182786281947</v>
      </c>
      <c r="P86" s="408">
        <v>76.666666666666671</v>
      </c>
    </row>
    <row r="87" spans="1:16" ht="14.4" customHeight="1" x14ac:dyDescent="0.3">
      <c r="A87" s="403" t="s">
        <v>1121</v>
      </c>
      <c r="B87" s="404" t="s">
        <v>1181</v>
      </c>
      <c r="C87" s="404" t="s">
        <v>1226</v>
      </c>
      <c r="D87" s="404" t="s">
        <v>1227</v>
      </c>
      <c r="E87" s="407">
        <v>4</v>
      </c>
      <c r="F87" s="407">
        <v>0</v>
      </c>
      <c r="G87" s="404"/>
      <c r="H87" s="404">
        <v>0</v>
      </c>
      <c r="I87" s="407">
        <v>4</v>
      </c>
      <c r="J87" s="407">
        <v>0</v>
      </c>
      <c r="K87" s="404"/>
      <c r="L87" s="404">
        <v>0</v>
      </c>
      <c r="M87" s="407">
        <v>4</v>
      </c>
      <c r="N87" s="407">
        <v>0</v>
      </c>
      <c r="O87" s="457"/>
      <c r="P87" s="408">
        <v>0</v>
      </c>
    </row>
    <row r="88" spans="1:16" ht="14.4" customHeight="1" x14ac:dyDescent="0.3">
      <c r="A88" s="403" t="s">
        <v>1121</v>
      </c>
      <c r="B88" s="404" t="s">
        <v>1181</v>
      </c>
      <c r="C88" s="404" t="s">
        <v>1228</v>
      </c>
      <c r="D88" s="404" t="s">
        <v>1229</v>
      </c>
      <c r="E88" s="407">
        <v>201</v>
      </c>
      <c r="F88" s="407">
        <v>0</v>
      </c>
      <c r="G88" s="404"/>
      <c r="H88" s="404">
        <v>0</v>
      </c>
      <c r="I88" s="407">
        <v>169</v>
      </c>
      <c r="J88" s="407">
        <v>0</v>
      </c>
      <c r="K88" s="404"/>
      <c r="L88" s="404">
        <v>0</v>
      </c>
      <c r="M88" s="407">
        <v>180</v>
      </c>
      <c r="N88" s="407">
        <v>0</v>
      </c>
      <c r="O88" s="457"/>
      <c r="P88" s="408">
        <v>0</v>
      </c>
    </row>
    <row r="89" spans="1:16" ht="14.4" customHeight="1" x14ac:dyDescent="0.3">
      <c r="A89" s="403" t="s">
        <v>1121</v>
      </c>
      <c r="B89" s="404" t="s">
        <v>1181</v>
      </c>
      <c r="C89" s="404" t="s">
        <v>1230</v>
      </c>
      <c r="D89" s="404" t="s">
        <v>1231</v>
      </c>
      <c r="E89" s="407">
        <v>509</v>
      </c>
      <c r="F89" s="407">
        <v>155527.81</v>
      </c>
      <c r="G89" s="404">
        <v>1</v>
      </c>
      <c r="H89" s="404">
        <v>305.55561886051078</v>
      </c>
      <c r="I89" s="407">
        <v>503</v>
      </c>
      <c r="J89" s="407">
        <v>153694.43999999997</v>
      </c>
      <c r="K89" s="404">
        <v>0.98821194743242369</v>
      </c>
      <c r="L89" s="404">
        <v>305.55554671968184</v>
      </c>
      <c r="M89" s="407">
        <v>562</v>
      </c>
      <c r="N89" s="407">
        <v>171722.22</v>
      </c>
      <c r="O89" s="457">
        <v>1.1041254936978795</v>
      </c>
      <c r="P89" s="408">
        <v>305.55555160142347</v>
      </c>
    </row>
    <row r="90" spans="1:16" ht="14.4" customHeight="1" x14ac:dyDescent="0.3">
      <c r="A90" s="403" t="s">
        <v>1121</v>
      </c>
      <c r="B90" s="404" t="s">
        <v>1181</v>
      </c>
      <c r="C90" s="404" t="s">
        <v>1232</v>
      </c>
      <c r="D90" s="404" t="s">
        <v>1233</v>
      </c>
      <c r="E90" s="407">
        <v>1293</v>
      </c>
      <c r="F90" s="407">
        <v>0</v>
      </c>
      <c r="G90" s="404"/>
      <c r="H90" s="404">
        <v>0</v>
      </c>
      <c r="I90" s="407">
        <v>1211</v>
      </c>
      <c r="J90" s="407">
        <v>0</v>
      </c>
      <c r="K90" s="404"/>
      <c r="L90" s="404">
        <v>0</v>
      </c>
      <c r="M90" s="407">
        <v>1275</v>
      </c>
      <c r="N90" s="407">
        <v>0</v>
      </c>
      <c r="O90" s="457"/>
      <c r="P90" s="408">
        <v>0</v>
      </c>
    </row>
    <row r="91" spans="1:16" ht="14.4" customHeight="1" x14ac:dyDescent="0.3">
      <c r="A91" s="403" t="s">
        <v>1121</v>
      </c>
      <c r="B91" s="404" t="s">
        <v>1181</v>
      </c>
      <c r="C91" s="404" t="s">
        <v>1234</v>
      </c>
      <c r="D91" s="404" t="s">
        <v>1235</v>
      </c>
      <c r="E91" s="407">
        <v>745</v>
      </c>
      <c r="F91" s="407">
        <v>339388.89</v>
      </c>
      <c r="G91" s="404">
        <v>1</v>
      </c>
      <c r="H91" s="404">
        <v>455.55555704697986</v>
      </c>
      <c r="I91" s="407">
        <v>713</v>
      </c>
      <c r="J91" s="407">
        <v>324811.13</v>
      </c>
      <c r="K91" s="404">
        <v>0.95704703238812561</v>
      </c>
      <c r="L91" s="404">
        <v>455.55558204768585</v>
      </c>
      <c r="M91" s="407">
        <v>665</v>
      </c>
      <c r="N91" s="407">
        <v>302944.43999999994</v>
      </c>
      <c r="O91" s="457">
        <v>0.89261743364669344</v>
      </c>
      <c r="P91" s="408">
        <v>455.5555488721804</v>
      </c>
    </row>
    <row r="92" spans="1:16" ht="14.4" customHeight="1" x14ac:dyDescent="0.3">
      <c r="A92" s="403" t="s">
        <v>1121</v>
      </c>
      <c r="B92" s="404" t="s">
        <v>1181</v>
      </c>
      <c r="C92" s="404" t="s">
        <v>1236</v>
      </c>
      <c r="D92" s="404" t="s">
        <v>1237</v>
      </c>
      <c r="E92" s="407">
        <v>20</v>
      </c>
      <c r="F92" s="407">
        <v>1177.79</v>
      </c>
      <c r="G92" s="404">
        <v>1</v>
      </c>
      <c r="H92" s="404">
        <v>58.889499999999998</v>
      </c>
      <c r="I92" s="407">
        <v>16</v>
      </c>
      <c r="J92" s="407">
        <v>942.23</v>
      </c>
      <c r="K92" s="404">
        <v>0.79999830190441423</v>
      </c>
      <c r="L92" s="404">
        <v>58.889375000000001</v>
      </c>
      <c r="M92" s="407">
        <v>42</v>
      </c>
      <c r="N92" s="407">
        <v>2473.35</v>
      </c>
      <c r="O92" s="457">
        <v>2.0999923585698639</v>
      </c>
      <c r="P92" s="408">
        <v>58.889285714285712</v>
      </c>
    </row>
    <row r="93" spans="1:16" ht="14.4" customHeight="1" x14ac:dyDescent="0.3">
      <c r="A93" s="403" t="s">
        <v>1121</v>
      </c>
      <c r="B93" s="404" t="s">
        <v>1181</v>
      </c>
      <c r="C93" s="404" t="s">
        <v>1238</v>
      </c>
      <c r="D93" s="404" t="s">
        <v>1239</v>
      </c>
      <c r="E93" s="407">
        <v>575</v>
      </c>
      <c r="F93" s="407">
        <v>44722.250000000007</v>
      </c>
      <c r="G93" s="404">
        <v>1</v>
      </c>
      <c r="H93" s="404">
        <v>77.777826086956537</v>
      </c>
      <c r="I93" s="407">
        <v>562</v>
      </c>
      <c r="J93" s="407">
        <v>43711.100000000006</v>
      </c>
      <c r="K93" s="404">
        <v>0.97739044882580817</v>
      </c>
      <c r="L93" s="404">
        <v>77.777758007117441</v>
      </c>
      <c r="M93" s="407">
        <v>618</v>
      </c>
      <c r="N93" s="407">
        <v>48066.659999999996</v>
      </c>
      <c r="O93" s="457">
        <v>1.0747817920609986</v>
      </c>
      <c r="P93" s="408">
        <v>77.777766990291255</v>
      </c>
    </row>
    <row r="94" spans="1:16" ht="14.4" customHeight="1" x14ac:dyDescent="0.3">
      <c r="A94" s="403" t="s">
        <v>1121</v>
      </c>
      <c r="B94" s="404" t="s">
        <v>1181</v>
      </c>
      <c r="C94" s="404" t="s">
        <v>1240</v>
      </c>
      <c r="D94" s="404" t="s">
        <v>1241</v>
      </c>
      <c r="E94" s="407">
        <v>21</v>
      </c>
      <c r="F94" s="407">
        <v>14700</v>
      </c>
      <c r="G94" s="404">
        <v>1</v>
      </c>
      <c r="H94" s="404">
        <v>700</v>
      </c>
      <c r="I94" s="407">
        <v>17</v>
      </c>
      <c r="J94" s="407">
        <v>11900</v>
      </c>
      <c r="K94" s="404">
        <v>0.80952380952380953</v>
      </c>
      <c r="L94" s="404">
        <v>700</v>
      </c>
      <c r="M94" s="407">
        <v>13</v>
      </c>
      <c r="N94" s="407">
        <v>9100</v>
      </c>
      <c r="O94" s="457">
        <v>0.61904761904761907</v>
      </c>
      <c r="P94" s="408">
        <v>700</v>
      </c>
    </row>
    <row r="95" spans="1:16" ht="14.4" customHeight="1" x14ac:dyDescent="0.3">
      <c r="A95" s="403" t="s">
        <v>1121</v>
      </c>
      <c r="B95" s="404" t="s">
        <v>1181</v>
      </c>
      <c r="C95" s="404" t="s">
        <v>1242</v>
      </c>
      <c r="D95" s="404" t="s">
        <v>1243</v>
      </c>
      <c r="E95" s="407">
        <v>61</v>
      </c>
      <c r="F95" s="407">
        <v>67777.789999999994</v>
      </c>
      <c r="G95" s="404">
        <v>1</v>
      </c>
      <c r="H95" s="404">
        <v>1111.1113114754098</v>
      </c>
      <c r="I95" s="407">
        <v>47</v>
      </c>
      <c r="J95" s="407">
        <v>52222.220000000008</v>
      </c>
      <c r="K95" s="404">
        <v>0.77049163155068956</v>
      </c>
      <c r="L95" s="404">
        <v>1111.1110638297873</v>
      </c>
      <c r="M95" s="407">
        <v>39</v>
      </c>
      <c r="N95" s="407">
        <v>43333.32</v>
      </c>
      <c r="O95" s="457">
        <v>0.63934395028223856</v>
      </c>
      <c r="P95" s="408">
        <v>1111.1107692307692</v>
      </c>
    </row>
    <row r="96" spans="1:16" ht="14.4" customHeight="1" x14ac:dyDescent="0.3">
      <c r="A96" s="403" t="s">
        <v>1121</v>
      </c>
      <c r="B96" s="404" t="s">
        <v>1181</v>
      </c>
      <c r="C96" s="404" t="s">
        <v>1244</v>
      </c>
      <c r="D96" s="404" t="s">
        <v>1245</v>
      </c>
      <c r="E96" s="407">
        <v>0</v>
      </c>
      <c r="F96" s="407">
        <v>0</v>
      </c>
      <c r="G96" s="404"/>
      <c r="H96" s="404"/>
      <c r="I96" s="407"/>
      <c r="J96" s="407"/>
      <c r="K96" s="404"/>
      <c r="L96" s="404"/>
      <c r="M96" s="407"/>
      <c r="N96" s="407"/>
      <c r="O96" s="457"/>
      <c r="P96" s="408"/>
    </row>
    <row r="97" spans="1:16" ht="14.4" customHeight="1" x14ac:dyDescent="0.3">
      <c r="A97" s="403" t="s">
        <v>1121</v>
      </c>
      <c r="B97" s="404" t="s">
        <v>1181</v>
      </c>
      <c r="C97" s="404" t="s">
        <v>1246</v>
      </c>
      <c r="D97" s="404" t="s">
        <v>1247</v>
      </c>
      <c r="E97" s="407">
        <v>28</v>
      </c>
      <c r="F97" s="407">
        <v>7560</v>
      </c>
      <c r="G97" s="404">
        <v>1</v>
      </c>
      <c r="H97" s="404">
        <v>270</v>
      </c>
      <c r="I97" s="407">
        <v>13</v>
      </c>
      <c r="J97" s="407">
        <v>3510</v>
      </c>
      <c r="K97" s="404">
        <v>0.4642857142857143</v>
      </c>
      <c r="L97" s="404">
        <v>270</v>
      </c>
      <c r="M97" s="407">
        <v>22</v>
      </c>
      <c r="N97" s="407">
        <v>5940</v>
      </c>
      <c r="O97" s="457">
        <v>0.7857142857142857</v>
      </c>
      <c r="P97" s="408">
        <v>270</v>
      </c>
    </row>
    <row r="98" spans="1:16" ht="14.4" customHeight="1" x14ac:dyDescent="0.3">
      <c r="A98" s="403" t="s">
        <v>1121</v>
      </c>
      <c r="B98" s="404" t="s">
        <v>1181</v>
      </c>
      <c r="C98" s="404" t="s">
        <v>1248</v>
      </c>
      <c r="D98" s="404" t="s">
        <v>1249</v>
      </c>
      <c r="E98" s="407">
        <v>704</v>
      </c>
      <c r="F98" s="407">
        <v>62577.810000000012</v>
      </c>
      <c r="G98" s="404">
        <v>1</v>
      </c>
      <c r="H98" s="404">
        <v>88.888934659090921</v>
      </c>
      <c r="I98" s="407">
        <v>611</v>
      </c>
      <c r="J98" s="407">
        <v>54311.159999999989</v>
      </c>
      <c r="K98" s="404">
        <v>0.86789806162919381</v>
      </c>
      <c r="L98" s="404">
        <v>88.888968903436975</v>
      </c>
      <c r="M98" s="407">
        <v>847</v>
      </c>
      <c r="N98" s="407">
        <v>75288.900000000009</v>
      </c>
      <c r="O98" s="457">
        <v>1.2031245580502097</v>
      </c>
      <c r="P98" s="408">
        <v>88.888902007083828</v>
      </c>
    </row>
    <row r="99" spans="1:16" ht="14.4" customHeight="1" x14ac:dyDescent="0.3">
      <c r="A99" s="403" t="s">
        <v>1121</v>
      </c>
      <c r="B99" s="404" t="s">
        <v>1181</v>
      </c>
      <c r="C99" s="404" t="s">
        <v>1250</v>
      </c>
      <c r="D99" s="404" t="s">
        <v>1251</v>
      </c>
      <c r="E99" s="407">
        <v>69</v>
      </c>
      <c r="F99" s="407">
        <v>2989.99</v>
      </c>
      <c r="G99" s="404">
        <v>1</v>
      </c>
      <c r="H99" s="404">
        <v>43.333188405797095</v>
      </c>
      <c r="I99" s="407">
        <v>66</v>
      </c>
      <c r="J99" s="407">
        <v>2859.99</v>
      </c>
      <c r="K99" s="404">
        <v>0.95652159371770473</v>
      </c>
      <c r="L99" s="404">
        <v>43.333181818181814</v>
      </c>
      <c r="M99" s="407">
        <v>67</v>
      </c>
      <c r="N99" s="407">
        <v>2903.33</v>
      </c>
      <c r="O99" s="457">
        <v>0.97101662547366385</v>
      </c>
      <c r="P99" s="408">
        <v>43.33328358208955</v>
      </c>
    </row>
    <row r="100" spans="1:16" ht="14.4" customHeight="1" x14ac:dyDescent="0.3">
      <c r="A100" s="403" t="s">
        <v>1121</v>
      </c>
      <c r="B100" s="404" t="s">
        <v>1181</v>
      </c>
      <c r="C100" s="404" t="s">
        <v>1252</v>
      </c>
      <c r="D100" s="404" t="s">
        <v>1253</v>
      </c>
      <c r="E100" s="407">
        <v>192</v>
      </c>
      <c r="F100" s="407">
        <v>18560</v>
      </c>
      <c r="G100" s="404">
        <v>1</v>
      </c>
      <c r="H100" s="404">
        <v>96.666666666666671</v>
      </c>
      <c r="I100" s="407">
        <v>164</v>
      </c>
      <c r="J100" s="407">
        <v>15853.33</v>
      </c>
      <c r="K100" s="404">
        <v>0.85416648706896547</v>
      </c>
      <c r="L100" s="404">
        <v>96.666646341463419</v>
      </c>
      <c r="M100" s="407">
        <v>198</v>
      </c>
      <c r="N100" s="407">
        <v>19140</v>
      </c>
      <c r="O100" s="457">
        <v>1.03125</v>
      </c>
      <c r="P100" s="408">
        <v>96.666666666666671</v>
      </c>
    </row>
    <row r="101" spans="1:16" ht="14.4" customHeight="1" x14ac:dyDescent="0.3">
      <c r="A101" s="403" t="s">
        <v>1121</v>
      </c>
      <c r="B101" s="404" t="s">
        <v>1181</v>
      </c>
      <c r="C101" s="404" t="s">
        <v>1254</v>
      </c>
      <c r="D101" s="404" t="s">
        <v>1255</v>
      </c>
      <c r="E101" s="407"/>
      <c r="F101" s="407"/>
      <c r="G101" s="404"/>
      <c r="H101" s="404"/>
      <c r="I101" s="407">
        <v>4</v>
      </c>
      <c r="J101" s="407">
        <v>804.44</v>
      </c>
      <c r="K101" s="404"/>
      <c r="L101" s="404">
        <v>201.11</v>
      </c>
      <c r="M101" s="407"/>
      <c r="N101" s="407"/>
      <c r="O101" s="457"/>
      <c r="P101" s="408"/>
    </row>
    <row r="102" spans="1:16" ht="14.4" customHeight="1" x14ac:dyDescent="0.3">
      <c r="A102" s="403" t="s">
        <v>1121</v>
      </c>
      <c r="B102" s="404" t="s">
        <v>1181</v>
      </c>
      <c r="C102" s="404" t="s">
        <v>1256</v>
      </c>
      <c r="D102" s="404" t="s">
        <v>1257</v>
      </c>
      <c r="E102" s="407">
        <v>322</v>
      </c>
      <c r="F102" s="407">
        <v>45080</v>
      </c>
      <c r="G102" s="404">
        <v>1</v>
      </c>
      <c r="H102" s="404">
        <v>140</v>
      </c>
      <c r="I102" s="407">
        <v>296</v>
      </c>
      <c r="J102" s="407">
        <v>41440</v>
      </c>
      <c r="K102" s="404">
        <v>0.91925465838509313</v>
      </c>
      <c r="L102" s="404">
        <v>140</v>
      </c>
      <c r="M102" s="407">
        <v>294</v>
      </c>
      <c r="N102" s="407">
        <v>41160</v>
      </c>
      <c r="O102" s="457">
        <v>0.91304347826086951</v>
      </c>
      <c r="P102" s="408">
        <v>140</v>
      </c>
    </row>
    <row r="103" spans="1:16" ht="14.4" customHeight="1" x14ac:dyDescent="0.3">
      <c r="A103" s="403" t="s">
        <v>1121</v>
      </c>
      <c r="B103" s="404" t="s">
        <v>1181</v>
      </c>
      <c r="C103" s="404" t="s">
        <v>1258</v>
      </c>
      <c r="D103" s="404" t="s">
        <v>1259</v>
      </c>
      <c r="E103" s="407">
        <v>262</v>
      </c>
      <c r="F103" s="407">
        <v>19795.560000000001</v>
      </c>
      <c r="G103" s="404">
        <v>1</v>
      </c>
      <c r="H103" s="404">
        <v>75.555572519083981</v>
      </c>
      <c r="I103" s="407">
        <v>253</v>
      </c>
      <c r="J103" s="407">
        <v>19115.55</v>
      </c>
      <c r="K103" s="404">
        <v>0.96564835751047196</v>
      </c>
      <c r="L103" s="404">
        <v>75.555533596837947</v>
      </c>
      <c r="M103" s="407">
        <v>271</v>
      </c>
      <c r="N103" s="407">
        <v>20475.54</v>
      </c>
      <c r="O103" s="457">
        <v>1.0343501269981754</v>
      </c>
      <c r="P103" s="408">
        <v>75.555498154981549</v>
      </c>
    </row>
    <row r="104" spans="1:16" ht="14.4" customHeight="1" x14ac:dyDescent="0.3">
      <c r="A104" s="403" t="s">
        <v>1121</v>
      </c>
      <c r="B104" s="404" t="s">
        <v>1181</v>
      </c>
      <c r="C104" s="404" t="s">
        <v>1260</v>
      </c>
      <c r="D104" s="404" t="s">
        <v>1261</v>
      </c>
      <c r="E104" s="407">
        <v>43</v>
      </c>
      <c r="F104" s="407">
        <v>55183.310000000005</v>
      </c>
      <c r="G104" s="404">
        <v>1</v>
      </c>
      <c r="H104" s="404">
        <v>1283.3327906976745</v>
      </c>
      <c r="I104" s="407">
        <v>19</v>
      </c>
      <c r="J104" s="407">
        <v>24383.33</v>
      </c>
      <c r="K104" s="404">
        <v>0.44186059154479856</v>
      </c>
      <c r="L104" s="404">
        <v>1283.333157894737</v>
      </c>
      <c r="M104" s="407">
        <v>26</v>
      </c>
      <c r="N104" s="407">
        <v>33366.660000000003</v>
      </c>
      <c r="O104" s="457">
        <v>0.60465129764778514</v>
      </c>
      <c r="P104" s="408">
        <v>1283.333076923077</v>
      </c>
    </row>
    <row r="105" spans="1:16" ht="14.4" customHeight="1" x14ac:dyDescent="0.3">
      <c r="A105" s="403" t="s">
        <v>1121</v>
      </c>
      <c r="B105" s="404" t="s">
        <v>1181</v>
      </c>
      <c r="C105" s="404" t="s">
        <v>1262</v>
      </c>
      <c r="D105" s="404" t="s">
        <v>1263</v>
      </c>
      <c r="E105" s="407">
        <v>14</v>
      </c>
      <c r="F105" s="407">
        <v>1633.3600000000001</v>
      </c>
      <c r="G105" s="404">
        <v>1</v>
      </c>
      <c r="H105" s="404">
        <v>116.66857142857144</v>
      </c>
      <c r="I105" s="407">
        <v>2</v>
      </c>
      <c r="J105" s="407">
        <v>233.34</v>
      </c>
      <c r="K105" s="404">
        <v>0.1428588920997208</v>
      </c>
      <c r="L105" s="404">
        <v>116.67</v>
      </c>
      <c r="M105" s="407">
        <v>8</v>
      </c>
      <c r="N105" s="407">
        <v>933.34999999999991</v>
      </c>
      <c r="O105" s="457">
        <v>0.57142944604986035</v>
      </c>
      <c r="P105" s="408">
        <v>116.66874999999999</v>
      </c>
    </row>
    <row r="106" spans="1:16" ht="14.4" customHeight="1" x14ac:dyDescent="0.3">
      <c r="A106" s="403" t="s">
        <v>1121</v>
      </c>
      <c r="B106" s="404" t="s">
        <v>1181</v>
      </c>
      <c r="C106" s="404" t="s">
        <v>1264</v>
      </c>
      <c r="D106" s="404" t="s">
        <v>1265</v>
      </c>
      <c r="E106" s="407">
        <v>34</v>
      </c>
      <c r="F106" s="407">
        <v>1662.2199999999998</v>
      </c>
      <c r="G106" s="404">
        <v>1</v>
      </c>
      <c r="H106" s="404">
        <v>48.888823529411759</v>
      </c>
      <c r="I106" s="407">
        <v>9</v>
      </c>
      <c r="J106" s="407">
        <v>440.01</v>
      </c>
      <c r="K106" s="404">
        <v>0.26471225228910739</v>
      </c>
      <c r="L106" s="404">
        <v>48.89</v>
      </c>
      <c r="M106" s="407">
        <v>8</v>
      </c>
      <c r="N106" s="407">
        <v>391.11</v>
      </c>
      <c r="O106" s="457">
        <v>0.23529376376171629</v>
      </c>
      <c r="P106" s="408">
        <v>48.888750000000002</v>
      </c>
    </row>
    <row r="107" spans="1:16" ht="14.4" customHeight="1" x14ac:dyDescent="0.3">
      <c r="A107" s="403" t="s">
        <v>1121</v>
      </c>
      <c r="B107" s="404" t="s">
        <v>1181</v>
      </c>
      <c r="C107" s="404" t="s">
        <v>1266</v>
      </c>
      <c r="D107" s="404" t="s">
        <v>1267</v>
      </c>
      <c r="E107" s="407">
        <v>2</v>
      </c>
      <c r="F107" s="407">
        <v>933.34</v>
      </c>
      <c r="G107" s="404">
        <v>1</v>
      </c>
      <c r="H107" s="404">
        <v>466.67</v>
      </c>
      <c r="I107" s="407">
        <v>2</v>
      </c>
      <c r="J107" s="407">
        <v>933.33</v>
      </c>
      <c r="K107" s="404">
        <v>0.99998928579081581</v>
      </c>
      <c r="L107" s="404">
        <v>466.66500000000002</v>
      </c>
      <c r="M107" s="407">
        <v>1</v>
      </c>
      <c r="N107" s="407">
        <v>466.67</v>
      </c>
      <c r="O107" s="457">
        <v>0.5</v>
      </c>
      <c r="P107" s="408">
        <v>466.67</v>
      </c>
    </row>
    <row r="108" spans="1:16" ht="14.4" customHeight="1" x14ac:dyDescent="0.3">
      <c r="A108" s="403" t="s">
        <v>1121</v>
      </c>
      <c r="B108" s="404" t="s">
        <v>1181</v>
      </c>
      <c r="C108" s="404" t="s">
        <v>1268</v>
      </c>
      <c r="D108" s="404" t="s">
        <v>1269</v>
      </c>
      <c r="E108" s="407">
        <v>3</v>
      </c>
      <c r="F108" s="407">
        <v>983.33999999999992</v>
      </c>
      <c r="G108" s="404">
        <v>1</v>
      </c>
      <c r="H108" s="404">
        <v>327.78</v>
      </c>
      <c r="I108" s="407">
        <v>1</v>
      </c>
      <c r="J108" s="407">
        <v>327.78</v>
      </c>
      <c r="K108" s="404">
        <v>0.33333333333333331</v>
      </c>
      <c r="L108" s="404">
        <v>327.78</v>
      </c>
      <c r="M108" s="407">
        <v>8</v>
      </c>
      <c r="N108" s="407">
        <v>2622.23</v>
      </c>
      <c r="O108" s="457">
        <v>2.6666564972440869</v>
      </c>
      <c r="P108" s="408">
        <v>327.77875</v>
      </c>
    </row>
    <row r="109" spans="1:16" ht="14.4" customHeight="1" x14ac:dyDescent="0.3">
      <c r="A109" s="403" t="s">
        <v>1121</v>
      </c>
      <c r="B109" s="404" t="s">
        <v>1181</v>
      </c>
      <c r="C109" s="404" t="s">
        <v>1270</v>
      </c>
      <c r="D109" s="404" t="s">
        <v>1271</v>
      </c>
      <c r="E109" s="407">
        <v>6</v>
      </c>
      <c r="F109" s="407">
        <v>2800</v>
      </c>
      <c r="G109" s="404">
        <v>1</v>
      </c>
      <c r="H109" s="404">
        <v>466.66666666666669</v>
      </c>
      <c r="I109" s="407">
        <v>9</v>
      </c>
      <c r="J109" s="407">
        <v>4200</v>
      </c>
      <c r="K109" s="404">
        <v>1.5</v>
      </c>
      <c r="L109" s="404">
        <v>466.66666666666669</v>
      </c>
      <c r="M109" s="407">
        <v>14</v>
      </c>
      <c r="N109" s="407">
        <v>6533.33</v>
      </c>
      <c r="O109" s="457">
        <v>2.333332142857143</v>
      </c>
      <c r="P109" s="408">
        <v>466.66642857142858</v>
      </c>
    </row>
    <row r="110" spans="1:16" ht="14.4" customHeight="1" x14ac:dyDescent="0.3">
      <c r="A110" s="403" t="s">
        <v>1121</v>
      </c>
      <c r="B110" s="404" t="s">
        <v>1181</v>
      </c>
      <c r="C110" s="404" t="s">
        <v>1272</v>
      </c>
      <c r="D110" s="404" t="s">
        <v>1273</v>
      </c>
      <c r="E110" s="407">
        <v>3</v>
      </c>
      <c r="F110" s="407">
        <v>293.34000000000003</v>
      </c>
      <c r="G110" s="404">
        <v>1</v>
      </c>
      <c r="H110" s="404">
        <v>97.780000000000015</v>
      </c>
      <c r="I110" s="407">
        <v>8</v>
      </c>
      <c r="J110" s="407">
        <v>782.23</v>
      </c>
      <c r="K110" s="404">
        <v>2.6666325765323515</v>
      </c>
      <c r="L110" s="404">
        <v>97.778750000000002</v>
      </c>
      <c r="M110" s="407">
        <v>3</v>
      </c>
      <c r="N110" s="407">
        <v>293.34000000000003</v>
      </c>
      <c r="O110" s="457">
        <v>1</v>
      </c>
      <c r="P110" s="408">
        <v>97.780000000000015</v>
      </c>
    </row>
    <row r="111" spans="1:16" ht="14.4" customHeight="1" x14ac:dyDescent="0.3">
      <c r="A111" s="403" t="s">
        <v>1121</v>
      </c>
      <c r="B111" s="404" t="s">
        <v>1181</v>
      </c>
      <c r="C111" s="404" t="s">
        <v>1274</v>
      </c>
      <c r="D111" s="404" t="s">
        <v>1275</v>
      </c>
      <c r="E111" s="407">
        <v>2</v>
      </c>
      <c r="F111" s="407">
        <v>584.44000000000005</v>
      </c>
      <c r="G111" s="404">
        <v>1</v>
      </c>
      <c r="H111" s="404">
        <v>292.22000000000003</v>
      </c>
      <c r="I111" s="407"/>
      <c r="J111" s="407"/>
      <c r="K111" s="404"/>
      <c r="L111" s="404"/>
      <c r="M111" s="407"/>
      <c r="N111" s="407"/>
      <c r="O111" s="457"/>
      <c r="P111" s="408"/>
    </row>
    <row r="112" spans="1:16" ht="14.4" customHeight="1" x14ac:dyDescent="0.3">
      <c r="A112" s="403" t="s">
        <v>1121</v>
      </c>
      <c r="B112" s="404" t="s">
        <v>1181</v>
      </c>
      <c r="C112" s="404" t="s">
        <v>1276</v>
      </c>
      <c r="D112" s="404" t="s">
        <v>1277</v>
      </c>
      <c r="E112" s="407"/>
      <c r="F112" s="407"/>
      <c r="G112" s="404"/>
      <c r="H112" s="404"/>
      <c r="I112" s="407">
        <v>2</v>
      </c>
      <c r="J112" s="407">
        <v>1291.1099999999999</v>
      </c>
      <c r="K112" s="404"/>
      <c r="L112" s="404">
        <v>645.55499999999995</v>
      </c>
      <c r="M112" s="407"/>
      <c r="N112" s="407"/>
      <c r="O112" s="457"/>
      <c r="P112" s="408"/>
    </row>
    <row r="113" spans="1:16" ht="14.4" customHeight="1" x14ac:dyDescent="0.3">
      <c r="A113" s="403" t="s">
        <v>1121</v>
      </c>
      <c r="B113" s="404" t="s">
        <v>1181</v>
      </c>
      <c r="C113" s="404" t="s">
        <v>1278</v>
      </c>
      <c r="D113" s="404" t="s">
        <v>1279</v>
      </c>
      <c r="E113" s="407">
        <v>1</v>
      </c>
      <c r="F113" s="407">
        <v>222.22</v>
      </c>
      <c r="G113" s="404">
        <v>1</v>
      </c>
      <c r="H113" s="404">
        <v>222.22</v>
      </c>
      <c r="I113" s="407">
        <v>1</v>
      </c>
      <c r="J113" s="407">
        <v>222.22</v>
      </c>
      <c r="K113" s="404">
        <v>1</v>
      </c>
      <c r="L113" s="404">
        <v>222.22</v>
      </c>
      <c r="M113" s="407"/>
      <c r="N113" s="407"/>
      <c r="O113" s="457"/>
      <c r="P113" s="408"/>
    </row>
    <row r="114" spans="1:16" ht="14.4" customHeight="1" x14ac:dyDescent="0.3">
      <c r="A114" s="403" t="s">
        <v>1280</v>
      </c>
      <c r="B114" s="404" t="s">
        <v>1122</v>
      </c>
      <c r="C114" s="404" t="s">
        <v>1124</v>
      </c>
      <c r="D114" s="404" t="s">
        <v>1118</v>
      </c>
      <c r="E114" s="407"/>
      <c r="F114" s="407"/>
      <c r="G114" s="404"/>
      <c r="H114" s="404"/>
      <c r="I114" s="407">
        <v>2</v>
      </c>
      <c r="J114" s="407">
        <v>226</v>
      </c>
      <c r="K114" s="404"/>
      <c r="L114" s="404">
        <v>113</v>
      </c>
      <c r="M114" s="407"/>
      <c r="N114" s="407"/>
      <c r="O114" s="457"/>
      <c r="P114" s="408"/>
    </row>
    <row r="115" spans="1:16" ht="14.4" customHeight="1" x14ac:dyDescent="0.3">
      <c r="A115" s="403" t="s">
        <v>1280</v>
      </c>
      <c r="B115" s="404" t="s">
        <v>1122</v>
      </c>
      <c r="C115" s="404" t="s">
        <v>1129</v>
      </c>
      <c r="D115" s="404" t="s">
        <v>1118</v>
      </c>
      <c r="E115" s="407">
        <v>1</v>
      </c>
      <c r="F115" s="407">
        <v>1657</v>
      </c>
      <c r="G115" s="404">
        <v>1</v>
      </c>
      <c r="H115" s="404">
        <v>1657</v>
      </c>
      <c r="I115" s="407">
        <v>1</v>
      </c>
      <c r="J115" s="407">
        <v>1657</v>
      </c>
      <c r="K115" s="404">
        <v>1</v>
      </c>
      <c r="L115" s="404">
        <v>1657</v>
      </c>
      <c r="M115" s="407">
        <v>2</v>
      </c>
      <c r="N115" s="407">
        <v>3314</v>
      </c>
      <c r="O115" s="457">
        <v>2</v>
      </c>
      <c r="P115" s="408">
        <v>1657</v>
      </c>
    </row>
    <row r="116" spans="1:16" ht="14.4" customHeight="1" x14ac:dyDescent="0.3">
      <c r="A116" s="403" t="s">
        <v>1280</v>
      </c>
      <c r="B116" s="404" t="s">
        <v>1122</v>
      </c>
      <c r="C116" s="404" t="s">
        <v>1281</v>
      </c>
      <c r="D116" s="404" t="s">
        <v>1118</v>
      </c>
      <c r="E116" s="407">
        <v>3</v>
      </c>
      <c r="F116" s="407">
        <v>3024</v>
      </c>
      <c r="G116" s="404">
        <v>1</v>
      </c>
      <c r="H116" s="404">
        <v>1008</v>
      </c>
      <c r="I116" s="407"/>
      <c r="J116" s="407"/>
      <c r="K116" s="404"/>
      <c r="L116" s="404"/>
      <c r="M116" s="407">
        <v>1</v>
      </c>
      <c r="N116" s="407">
        <v>1008</v>
      </c>
      <c r="O116" s="457">
        <v>0.33333333333333331</v>
      </c>
      <c r="P116" s="408">
        <v>1008</v>
      </c>
    </row>
    <row r="117" spans="1:16" ht="14.4" customHeight="1" x14ac:dyDescent="0.3">
      <c r="A117" s="403" t="s">
        <v>1280</v>
      </c>
      <c r="B117" s="404" t="s">
        <v>1122</v>
      </c>
      <c r="C117" s="404" t="s">
        <v>1282</v>
      </c>
      <c r="D117" s="404" t="s">
        <v>1118</v>
      </c>
      <c r="E117" s="407">
        <v>127</v>
      </c>
      <c r="F117" s="407">
        <v>27559</v>
      </c>
      <c r="G117" s="404">
        <v>1</v>
      </c>
      <c r="H117" s="404">
        <v>217</v>
      </c>
      <c r="I117" s="407">
        <v>93</v>
      </c>
      <c r="J117" s="407">
        <v>20181</v>
      </c>
      <c r="K117" s="404">
        <v>0.73228346456692917</v>
      </c>
      <c r="L117" s="404">
        <v>217</v>
      </c>
      <c r="M117" s="407">
        <v>98</v>
      </c>
      <c r="N117" s="407">
        <v>21266</v>
      </c>
      <c r="O117" s="457">
        <v>0.77165354330708658</v>
      </c>
      <c r="P117" s="408">
        <v>217</v>
      </c>
    </row>
    <row r="118" spans="1:16" ht="14.4" customHeight="1" x14ac:dyDescent="0.3">
      <c r="A118" s="403" t="s">
        <v>1280</v>
      </c>
      <c r="B118" s="404" t="s">
        <v>1122</v>
      </c>
      <c r="C118" s="404" t="s">
        <v>1283</v>
      </c>
      <c r="D118" s="404" t="s">
        <v>1118</v>
      </c>
      <c r="E118" s="407"/>
      <c r="F118" s="407"/>
      <c r="G118" s="404"/>
      <c r="H118" s="404"/>
      <c r="I118" s="407">
        <v>1</v>
      </c>
      <c r="J118" s="407">
        <v>1289</v>
      </c>
      <c r="K118" s="404"/>
      <c r="L118" s="404">
        <v>1289</v>
      </c>
      <c r="M118" s="407"/>
      <c r="N118" s="407"/>
      <c r="O118" s="457"/>
      <c r="P118" s="408"/>
    </row>
    <row r="119" spans="1:16" ht="14.4" customHeight="1" x14ac:dyDescent="0.3">
      <c r="A119" s="403" t="s">
        <v>1280</v>
      </c>
      <c r="B119" s="404" t="s">
        <v>1122</v>
      </c>
      <c r="C119" s="404" t="s">
        <v>1284</v>
      </c>
      <c r="D119" s="404" t="s">
        <v>1118</v>
      </c>
      <c r="E119" s="407"/>
      <c r="F119" s="407"/>
      <c r="G119" s="404"/>
      <c r="H119" s="404"/>
      <c r="I119" s="407">
        <v>1</v>
      </c>
      <c r="J119" s="407">
        <v>806</v>
      </c>
      <c r="K119" s="404"/>
      <c r="L119" s="404">
        <v>806</v>
      </c>
      <c r="M119" s="407"/>
      <c r="N119" s="407"/>
      <c r="O119" s="457"/>
      <c r="P119" s="408"/>
    </row>
    <row r="120" spans="1:16" ht="14.4" customHeight="1" x14ac:dyDescent="0.3">
      <c r="A120" s="403" t="s">
        <v>1280</v>
      </c>
      <c r="B120" s="404" t="s">
        <v>1122</v>
      </c>
      <c r="C120" s="404" t="s">
        <v>1285</v>
      </c>
      <c r="D120" s="404" t="s">
        <v>1118</v>
      </c>
      <c r="E120" s="407">
        <v>1</v>
      </c>
      <c r="F120" s="407">
        <v>2450</v>
      </c>
      <c r="G120" s="404">
        <v>1</v>
      </c>
      <c r="H120" s="404">
        <v>2450</v>
      </c>
      <c r="I120" s="407"/>
      <c r="J120" s="407"/>
      <c r="K120" s="404"/>
      <c r="L120" s="404"/>
      <c r="M120" s="407"/>
      <c r="N120" s="407"/>
      <c r="O120" s="457"/>
      <c r="P120" s="408"/>
    </row>
    <row r="121" spans="1:16" ht="14.4" customHeight="1" x14ac:dyDescent="0.3">
      <c r="A121" s="403" t="s">
        <v>1280</v>
      </c>
      <c r="B121" s="404" t="s">
        <v>1122</v>
      </c>
      <c r="C121" s="404" t="s">
        <v>1286</v>
      </c>
      <c r="D121" s="404" t="s">
        <v>1118</v>
      </c>
      <c r="E121" s="407">
        <v>36</v>
      </c>
      <c r="F121" s="407">
        <v>37548</v>
      </c>
      <c r="G121" s="404">
        <v>1</v>
      </c>
      <c r="H121" s="404">
        <v>1043</v>
      </c>
      <c r="I121" s="407">
        <v>37</v>
      </c>
      <c r="J121" s="407">
        <v>38591</v>
      </c>
      <c r="K121" s="404">
        <v>1.0277777777777777</v>
      </c>
      <c r="L121" s="404">
        <v>1043</v>
      </c>
      <c r="M121" s="407">
        <v>46</v>
      </c>
      <c r="N121" s="407">
        <v>47978</v>
      </c>
      <c r="O121" s="457">
        <v>1.2777777777777777</v>
      </c>
      <c r="P121" s="408">
        <v>1043</v>
      </c>
    </row>
    <row r="122" spans="1:16" ht="14.4" customHeight="1" x14ac:dyDescent="0.3">
      <c r="A122" s="403" t="s">
        <v>1280</v>
      </c>
      <c r="B122" s="404" t="s">
        <v>1122</v>
      </c>
      <c r="C122" s="404" t="s">
        <v>1287</v>
      </c>
      <c r="D122" s="404" t="s">
        <v>1118</v>
      </c>
      <c r="E122" s="407"/>
      <c r="F122" s="407"/>
      <c r="G122" s="404"/>
      <c r="H122" s="404"/>
      <c r="I122" s="407">
        <v>1</v>
      </c>
      <c r="J122" s="407">
        <v>1654</v>
      </c>
      <c r="K122" s="404"/>
      <c r="L122" s="404">
        <v>1654</v>
      </c>
      <c r="M122" s="407"/>
      <c r="N122" s="407"/>
      <c r="O122" s="457"/>
      <c r="P122" s="408"/>
    </row>
    <row r="123" spans="1:16" ht="14.4" customHeight="1" x14ac:dyDescent="0.3">
      <c r="A123" s="403" t="s">
        <v>1280</v>
      </c>
      <c r="B123" s="404" t="s">
        <v>1122</v>
      </c>
      <c r="C123" s="404" t="s">
        <v>1288</v>
      </c>
      <c r="D123" s="404" t="s">
        <v>1118</v>
      </c>
      <c r="E123" s="407">
        <v>5</v>
      </c>
      <c r="F123" s="407">
        <v>6615</v>
      </c>
      <c r="G123" s="404">
        <v>1</v>
      </c>
      <c r="H123" s="404">
        <v>1323</v>
      </c>
      <c r="I123" s="407">
        <v>3</v>
      </c>
      <c r="J123" s="407">
        <v>3969</v>
      </c>
      <c r="K123" s="404">
        <v>0.6</v>
      </c>
      <c r="L123" s="404">
        <v>1323</v>
      </c>
      <c r="M123" s="407">
        <v>5</v>
      </c>
      <c r="N123" s="407">
        <v>6615</v>
      </c>
      <c r="O123" s="457">
        <v>1</v>
      </c>
      <c r="P123" s="408">
        <v>1323</v>
      </c>
    </row>
    <row r="124" spans="1:16" ht="14.4" customHeight="1" x14ac:dyDescent="0.3">
      <c r="A124" s="403" t="s">
        <v>1280</v>
      </c>
      <c r="B124" s="404" t="s">
        <v>1122</v>
      </c>
      <c r="C124" s="404" t="s">
        <v>1289</v>
      </c>
      <c r="D124" s="404" t="s">
        <v>1118</v>
      </c>
      <c r="E124" s="407">
        <v>2</v>
      </c>
      <c r="F124" s="407">
        <v>3866</v>
      </c>
      <c r="G124" s="404">
        <v>1</v>
      </c>
      <c r="H124" s="404">
        <v>1933</v>
      </c>
      <c r="I124" s="407">
        <v>1</v>
      </c>
      <c r="J124" s="407">
        <v>1933</v>
      </c>
      <c r="K124" s="404">
        <v>0.5</v>
      </c>
      <c r="L124" s="404">
        <v>1933</v>
      </c>
      <c r="M124" s="407">
        <v>2</v>
      </c>
      <c r="N124" s="407">
        <v>3866</v>
      </c>
      <c r="O124" s="457">
        <v>1</v>
      </c>
      <c r="P124" s="408">
        <v>1933</v>
      </c>
    </row>
    <row r="125" spans="1:16" ht="14.4" customHeight="1" x14ac:dyDescent="0.3">
      <c r="A125" s="403" t="s">
        <v>1280</v>
      </c>
      <c r="B125" s="404" t="s">
        <v>1122</v>
      </c>
      <c r="C125" s="404" t="s">
        <v>1290</v>
      </c>
      <c r="D125" s="404" t="s">
        <v>1118</v>
      </c>
      <c r="E125" s="407">
        <v>31</v>
      </c>
      <c r="F125" s="407">
        <v>16802</v>
      </c>
      <c r="G125" s="404">
        <v>1</v>
      </c>
      <c r="H125" s="404">
        <v>542</v>
      </c>
      <c r="I125" s="407">
        <v>25</v>
      </c>
      <c r="J125" s="407">
        <v>13550</v>
      </c>
      <c r="K125" s="404">
        <v>0.80645161290322576</v>
      </c>
      <c r="L125" s="404">
        <v>542</v>
      </c>
      <c r="M125" s="407">
        <v>23</v>
      </c>
      <c r="N125" s="407">
        <v>12466</v>
      </c>
      <c r="O125" s="457">
        <v>0.74193548387096775</v>
      </c>
      <c r="P125" s="408">
        <v>542</v>
      </c>
    </row>
    <row r="126" spans="1:16" ht="14.4" customHeight="1" x14ac:dyDescent="0.3">
      <c r="A126" s="403" t="s">
        <v>1280</v>
      </c>
      <c r="B126" s="404" t="s">
        <v>1122</v>
      </c>
      <c r="C126" s="404" t="s">
        <v>1291</v>
      </c>
      <c r="D126" s="404" t="s">
        <v>1118</v>
      </c>
      <c r="E126" s="407"/>
      <c r="F126" s="407"/>
      <c r="G126" s="404"/>
      <c r="H126" s="404"/>
      <c r="I126" s="407"/>
      <c r="J126" s="407"/>
      <c r="K126" s="404"/>
      <c r="L126" s="404"/>
      <c r="M126" s="407">
        <v>1</v>
      </c>
      <c r="N126" s="407">
        <v>298</v>
      </c>
      <c r="O126" s="457"/>
      <c r="P126" s="408">
        <v>298</v>
      </c>
    </row>
    <row r="127" spans="1:16" ht="14.4" customHeight="1" x14ac:dyDescent="0.3">
      <c r="A127" s="403" t="s">
        <v>1280</v>
      </c>
      <c r="B127" s="404" t="s">
        <v>1122</v>
      </c>
      <c r="C127" s="404" t="s">
        <v>1292</v>
      </c>
      <c r="D127" s="404" t="s">
        <v>1118</v>
      </c>
      <c r="E127" s="407">
        <v>19</v>
      </c>
      <c r="F127" s="407">
        <v>11001</v>
      </c>
      <c r="G127" s="404">
        <v>1</v>
      </c>
      <c r="H127" s="404">
        <v>579</v>
      </c>
      <c r="I127" s="407">
        <v>9</v>
      </c>
      <c r="J127" s="407">
        <v>5211</v>
      </c>
      <c r="K127" s="404">
        <v>0.47368421052631576</v>
      </c>
      <c r="L127" s="404">
        <v>579</v>
      </c>
      <c r="M127" s="407">
        <v>12</v>
      </c>
      <c r="N127" s="407">
        <v>6948</v>
      </c>
      <c r="O127" s="457">
        <v>0.63157894736842102</v>
      </c>
      <c r="P127" s="408">
        <v>579</v>
      </c>
    </row>
    <row r="128" spans="1:16" ht="14.4" customHeight="1" x14ac:dyDescent="0.3">
      <c r="A128" s="403" t="s">
        <v>1280</v>
      </c>
      <c r="B128" s="404" t="s">
        <v>1122</v>
      </c>
      <c r="C128" s="404" t="s">
        <v>1131</v>
      </c>
      <c r="D128" s="404" t="s">
        <v>1118</v>
      </c>
      <c r="E128" s="407">
        <v>2</v>
      </c>
      <c r="F128" s="407">
        <v>226</v>
      </c>
      <c r="G128" s="404">
        <v>1</v>
      </c>
      <c r="H128" s="404">
        <v>113</v>
      </c>
      <c r="I128" s="407">
        <v>1</v>
      </c>
      <c r="J128" s="407">
        <v>113</v>
      </c>
      <c r="K128" s="404">
        <v>0.5</v>
      </c>
      <c r="L128" s="404">
        <v>113</v>
      </c>
      <c r="M128" s="407">
        <v>2</v>
      </c>
      <c r="N128" s="407">
        <v>226</v>
      </c>
      <c r="O128" s="457">
        <v>1</v>
      </c>
      <c r="P128" s="408">
        <v>113</v>
      </c>
    </row>
    <row r="129" spans="1:16" ht="14.4" customHeight="1" x14ac:dyDescent="0.3">
      <c r="A129" s="403" t="s">
        <v>1280</v>
      </c>
      <c r="B129" s="404" t="s">
        <v>1122</v>
      </c>
      <c r="C129" s="404" t="s">
        <v>1132</v>
      </c>
      <c r="D129" s="404" t="s">
        <v>1118</v>
      </c>
      <c r="E129" s="407">
        <v>1</v>
      </c>
      <c r="F129" s="407">
        <v>132</v>
      </c>
      <c r="G129" s="404">
        <v>1</v>
      </c>
      <c r="H129" s="404">
        <v>132</v>
      </c>
      <c r="I129" s="407"/>
      <c r="J129" s="407"/>
      <c r="K129" s="404"/>
      <c r="L129" s="404"/>
      <c r="M129" s="407"/>
      <c r="N129" s="407"/>
      <c r="O129" s="457"/>
      <c r="P129" s="408"/>
    </row>
    <row r="130" spans="1:16" ht="14.4" customHeight="1" x14ac:dyDescent="0.3">
      <c r="A130" s="403" t="s">
        <v>1280</v>
      </c>
      <c r="B130" s="404" t="s">
        <v>1122</v>
      </c>
      <c r="C130" s="404" t="s">
        <v>1293</v>
      </c>
      <c r="D130" s="404" t="s">
        <v>1118</v>
      </c>
      <c r="E130" s="407">
        <v>1</v>
      </c>
      <c r="F130" s="407">
        <v>156</v>
      </c>
      <c r="G130" s="404">
        <v>1</v>
      </c>
      <c r="H130" s="404">
        <v>156</v>
      </c>
      <c r="I130" s="407"/>
      <c r="J130" s="407"/>
      <c r="K130" s="404"/>
      <c r="L130" s="404"/>
      <c r="M130" s="407"/>
      <c r="N130" s="407"/>
      <c r="O130" s="457"/>
      <c r="P130" s="408"/>
    </row>
    <row r="131" spans="1:16" ht="14.4" customHeight="1" x14ac:dyDescent="0.3">
      <c r="A131" s="403" t="s">
        <v>1280</v>
      </c>
      <c r="B131" s="404" t="s">
        <v>1122</v>
      </c>
      <c r="C131" s="404" t="s">
        <v>1160</v>
      </c>
      <c r="D131" s="404" t="s">
        <v>1118</v>
      </c>
      <c r="E131" s="407"/>
      <c r="F131" s="407"/>
      <c r="G131" s="404"/>
      <c r="H131" s="404"/>
      <c r="I131" s="407">
        <v>1</v>
      </c>
      <c r="J131" s="407">
        <v>1740</v>
      </c>
      <c r="K131" s="404"/>
      <c r="L131" s="404">
        <v>1740</v>
      </c>
      <c r="M131" s="407">
        <v>3</v>
      </c>
      <c r="N131" s="407">
        <v>5220</v>
      </c>
      <c r="O131" s="457"/>
      <c r="P131" s="408">
        <v>1740</v>
      </c>
    </row>
    <row r="132" spans="1:16" ht="14.4" customHeight="1" x14ac:dyDescent="0.3">
      <c r="A132" s="403" t="s">
        <v>1280</v>
      </c>
      <c r="B132" s="404" t="s">
        <v>1122</v>
      </c>
      <c r="C132" s="404" t="s">
        <v>1174</v>
      </c>
      <c r="D132" s="404" t="s">
        <v>1118</v>
      </c>
      <c r="E132" s="407">
        <v>5</v>
      </c>
      <c r="F132" s="407">
        <v>5040</v>
      </c>
      <c r="G132" s="404">
        <v>1</v>
      </c>
      <c r="H132" s="404">
        <v>1008</v>
      </c>
      <c r="I132" s="407">
        <v>2</v>
      </c>
      <c r="J132" s="407">
        <v>2016</v>
      </c>
      <c r="K132" s="404">
        <v>0.4</v>
      </c>
      <c r="L132" s="404">
        <v>1008</v>
      </c>
      <c r="M132" s="407"/>
      <c r="N132" s="407"/>
      <c r="O132" s="457"/>
      <c r="P132" s="408"/>
    </row>
    <row r="133" spans="1:16" ht="14.4" customHeight="1" x14ac:dyDescent="0.3">
      <c r="A133" s="403" t="s">
        <v>1280</v>
      </c>
      <c r="B133" s="404" t="s">
        <v>1122</v>
      </c>
      <c r="C133" s="404" t="s">
        <v>1294</v>
      </c>
      <c r="D133" s="404" t="s">
        <v>1118</v>
      </c>
      <c r="E133" s="407">
        <v>56</v>
      </c>
      <c r="F133" s="407">
        <v>12152</v>
      </c>
      <c r="G133" s="404">
        <v>1</v>
      </c>
      <c r="H133" s="404">
        <v>217</v>
      </c>
      <c r="I133" s="407">
        <v>57</v>
      </c>
      <c r="J133" s="407">
        <v>12369</v>
      </c>
      <c r="K133" s="404">
        <v>1.0178571428571428</v>
      </c>
      <c r="L133" s="404">
        <v>217</v>
      </c>
      <c r="M133" s="407">
        <v>44</v>
      </c>
      <c r="N133" s="407">
        <v>9548</v>
      </c>
      <c r="O133" s="457">
        <v>0.7857142857142857</v>
      </c>
      <c r="P133" s="408">
        <v>217</v>
      </c>
    </row>
    <row r="134" spans="1:16" ht="14.4" customHeight="1" x14ac:dyDescent="0.3">
      <c r="A134" s="403" t="s">
        <v>1280</v>
      </c>
      <c r="B134" s="404" t="s">
        <v>1122</v>
      </c>
      <c r="C134" s="404" t="s">
        <v>1295</v>
      </c>
      <c r="D134" s="404" t="s">
        <v>1118</v>
      </c>
      <c r="E134" s="407">
        <v>45</v>
      </c>
      <c r="F134" s="407">
        <v>46935</v>
      </c>
      <c r="G134" s="404">
        <v>1</v>
      </c>
      <c r="H134" s="404">
        <v>1043</v>
      </c>
      <c r="I134" s="407">
        <v>33</v>
      </c>
      <c r="J134" s="407">
        <v>34419</v>
      </c>
      <c r="K134" s="404">
        <v>0.73333333333333328</v>
      </c>
      <c r="L134" s="404">
        <v>1043</v>
      </c>
      <c r="M134" s="407">
        <v>37</v>
      </c>
      <c r="N134" s="407">
        <v>38591</v>
      </c>
      <c r="O134" s="457">
        <v>0.82222222222222219</v>
      </c>
      <c r="P134" s="408">
        <v>1043</v>
      </c>
    </row>
    <row r="135" spans="1:16" ht="14.4" customHeight="1" x14ac:dyDescent="0.3">
      <c r="A135" s="403" t="s">
        <v>1280</v>
      </c>
      <c r="B135" s="404" t="s">
        <v>1122</v>
      </c>
      <c r="C135" s="404" t="s">
        <v>1296</v>
      </c>
      <c r="D135" s="404" t="s">
        <v>1118</v>
      </c>
      <c r="E135" s="407">
        <v>1</v>
      </c>
      <c r="F135" s="407">
        <v>1323</v>
      </c>
      <c r="G135" s="404">
        <v>1</v>
      </c>
      <c r="H135" s="404">
        <v>1323</v>
      </c>
      <c r="I135" s="407"/>
      <c r="J135" s="407"/>
      <c r="K135" s="404"/>
      <c r="L135" s="404"/>
      <c r="M135" s="407"/>
      <c r="N135" s="407"/>
      <c r="O135" s="457"/>
      <c r="P135" s="408"/>
    </row>
    <row r="136" spans="1:16" ht="14.4" customHeight="1" x14ac:dyDescent="0.3">
      <c r="A136" s="403" t="s">
        <v>1280</v>
      </c>
      <c r="B136" s="404" t="s">
        <v>1122</v>
      </c>
      <c r="C136" s="404" t="s">
        <v>1297</v>
      </c>
      <c r="D136" s="404" t="s">
        <v>1118</v>
      </c>
      <c r="E136" s="407"/>
      <c r="F136" s="407"/>
      <c r="G136" s="404"/>
      <c r="H136" s="404"/>
      <c r="I136" s="407">
        <v>1</v>
      </c>
      <c r="J136" s="407">
        <v>965</v>
      </c>
      <c r="K136" s="404"/>
      <c r="L136" s="404">
        <v>965</v>
      </c>
      <c r="M136" s="407"/>
      <c r="N136" s="407"/>
      <c r="O136" s="457"/>
      <c r="P136" s="408"/>
    </row>
    <row r="137" spans="1:16" ht="14.4" customHeight="1" x14ac:dyDescent="0.3">
      <c r="A137" s="403" t="s">
        <v>1280</v>
      </c>
      <c r="B137" s="404" t="s">
        <v>1122</v>
      </c>
      <c r="C137" s="404" t="s">
        <v>1298</v>
      </c>
      <c r="D137" s="404" t="s">
        <v>1118</v>
      </c>
      <c r="E137" s="407">
        <v>9</v>
      </c>
      <c r="F137" s="407">
        <v>4878</v>
      </c>
      <c r="G137" s="404">
        <v>1</v>
      </c>
      <c r="H137" s="404">
        <v>542</v>
      </c>
      <c r="I137" s="407">
        <v>5</v>
      </c>
      <c r="J137" s="407">
        <v>2710</v>
      </c>
      <c r="K137" s="404">
        <v>0.55555555555555558</v>
      </c>
      <c r="L137" s="404">
        <v>542</v>
      </c>
      <c r="M137" s="407">
        <v>9</v>
      </c>
      <c r="N137" s="407">
        <v>4878</v>
      </c>
      <c r="O137" s="457">
        <v>1</v>
      </c>
      <c r="P137" s="408">
        <v>542</v>
      </c>
    </row>
    <row r="138" spans="1:16" ht="14.4" customHeight="1" x14ac:dyDescent="0.3">
      <c r="A138" s="403" t="s">
        <v>1280</v>
      </c>
      <c r="B138" s="404" t="s">
        <v>1122</v>
      </c>
      <c r="C138" s="404" t="s">
        <v>1299</v>
      </c>
      <c r="D138" s="404" t="s">
        <v>1118</v>
      </c>
      <c r="E138" s="407"/>
      <c r="F138" s="407"/>
      <c r="G138" s="404"/>
      <c r="H138" s="404"/>
      <c r="I138" s="407">
        <v>1</v>
      </c>
      <c r="J138" s="407">
        <v>298</v>
      </c>
      <c r="K138" s="404"/>
      <c r="L138" s="404">
        <v>298</v>
      </c>
      <c r="M138" s="407"/>
      <c r="N138" s="407"/>
      <c r="O138" s="457"/>
      <c r="P138" s="408"/>
    </row>
    <row r="139" spans="1:16" ht="14.4" customHeight="1" x14ac:dyDescent="0.3">
      <c r="A139" s="403" t="s">
        <v>1280</v>
      </c>
      <c r="B139" s="404" t="s">
        <v>1122</v>
      </c>
      <c r="C139" s="404" t="s">
        <v>1300</v>
      </c>
      <c r="D139" s="404" t="s">
        <v>1118</v>
      </c>
      <c r="E139" s="407">
        <v>11</v>
      </c>
      <c r="F139" s="407">
        <v>6369</v>
      </c>
      <c r="G139" s="404">
        <v>1</v>
      </c>
      <c r="H139" s="404">
        <v>579</v>
      </c>
      <c r="I139" s="407">
        <v>15</v>
      </c>
      <c r="J139" s="407">
        <v>8685</v>
      </c>
      <c r="K139" s="404">
        <v>1.3636363636363635</v>
      </c>
      <c r="L139" s="404">
        <v>579</v>
      </c>
      <c r="M139" s="407">
        <v>15</v>
      </c>
      <c r="N139" s="407">
        <v>8685</v>
      </c>
      <c r="O139" s="457">
        <v>1.3636363636363635</v>
      </c>
      <c r="P139" s="408">
        <v>579</v>
      </c>
    </row>
    <row r="140" spans="1:16" ht="14.4" customHeight="1" x14ac:dyDescent="0.3">
      <c r="A140" s="403" t="s">
        <v>1280</v>
      </c>
      <c r="B140" s="404" t="s">
        <v>1181</v>
      </c>
      <c r="C140" s="404" t="s">
        <v>1188</v>
      </c>
      <c r="D140" s="404" t="s">
        <v>1189</v>
      </c>
      <c r="E140" s="407"/>
      <c r="F140" s="407"/>
      <c r="G140" s="404"/>
      <c r="H140" s="404"/>
      <c r="I140" s="407">
        <v>4</v>
      </c>
      <c r="J140" s="407">
        <v>311.12</v>
      </c>
      <c r="K140" s="404"/>
      <c r="L140" s="404">
        <v>77.78</v>
      </c>
      <c r="M140" s="407">
        <v>3</v>
      </c>
      <c r="N140" s="407">
        <v>233.34</v>
      </c>
      <c r="O140" s="457"/>
      <c r="P140" s="408">
        <v>77.78</v>
      </c>
    </row>
    <row r="141" spans="1:16" ht="14.4" customHeight="1" x14ac:dyDescent="0.3">
      <c r="A141" s="403" t="s">
        <v>1280</v>
      </c>
      <c r="B141" s="404" t="s">
        <v>1181</v>
      </c>
      <c r="C141" s="404" t="s">
        <v>1190</v>
      </c>
      <c r="D141" s="404" t="s">
        <v>1191</v>
      </c>
      <c r="E141" s="407">
        <v>28</v>
      </c>
      <c r="F141" s="407">
        <v>7000</v>
      </c>
      <c r="G141" s="404">
        <v>1</v>
      </c>
      <c r="H141" s="404">
        <v>250</v>
      </c>
      <c r="I141" s="407">
        <v>26</v>
      </c>
      <c r="J141" s="407">
        <v>6500</v>
      </c>
      <c r="K141" s="404">
        <v>0.9285714285714286</v>
      </c>
      <c r="L141" s="404">
        <v>250</v>
      </c>
      <c r="M141" s="407">
        <v>14</v>
      </c>
      <c r="N141" s="407">
        <v>3500</v>
      </c>
      <c r="O141" s="457">
        <v>0.5</v>
      </c>
      <c r="P141" s="408">
        <v>250</v>
      </c>
    </row>
    <row r="142" spans="1:16" ht="14.4" customHeight="1" x14ac:dyDescent="0.3">
      <c r="A142" s="403" t="s">
        <v>1280</v>
      </c>
      <c r="B142" s="404" t="s">
        <v>1181</v>
      </c>
      <c r="C142" s="404" t="s">
        <v>1192</v>
      </c>
      <c r="D142" s="404" t="s">
        <v>1193</v>
      </c>
      <c r="E142" s="407">
        <v>170</v>
      </c>
      <c r="F142" s="407">
        <v>51000</v>
      </c>
      <c r="G142" s="404">
        <v>1</v>
      </c>
      <c r="H142" s="404">
        <v>300</v>
      </c>
      <c r="I142" s="407">
        <v>141</v>
      </c>
      <c r="J142" s="407">
        <v>42300</v>
      </c>
      <c r="K142" s="404">
        <v>0.8294117647058824</v>
      </c>
      <c r="L142" s="404">
        <v>300</v>
      </c>
      <c r="M142" s="407">
        <v>135</v>
      </c>
      <c r="N142" s="407">
        <v>40500</v>
      </c>
      <c r="O142" s="457">
        <v>0.79411764705882348</v>
      </c>
      <c r="P142" s="408">
        <v>300</v>
      </c>
    </row>
    <row r="143" spans="1:16" ht="14.4" customHeight="1" x14ac:dyDescent="0.3">
      <c r="A143" s="403" t="s">
        <v>1280</v>
      </c>
      <c r="B143" s="404" t="s">
        <v>1181</v>
      </c>
      <c r="C143" s="404" t="s">
        <v>1194</v>
      </c>
      <c r="D143" s="404" t="s">
        <v>1195</v>
      </c>
      <c r="E143" s="407">
        <v>2</v>
      </c>
      <c r="F143" s="407">
        <v>222.22</v>
      </c>
      <c r="G143" s="404">
        <v>1</v>
      </c>
      <c r="H143" s="404">
        <v>111.11</v>
      </c>
      <c r="I143" s="407"/>
      <c r="J143" s="407"/>
      <c r="K143" s="404"/>
      <c r="L143" s="404"/>
      <c r="M143" s="407"/>
      <c r="N143" s="407"/>
      <c r="O143" s="457"/>
      <c r="P143" s="408"/>
    </row>
    <row r="144" spans="1:16" ht="14.4" customHeight="1" x14ac:dyDescent="0.3">
      <c r="A144" s="403" t="s">
        <v>1280</v>
      </c>
      <c r="B144" s="404" t="s">
        <v>1181</v>
      </c>
      <c r="C144" s="404" t="s">
        <v>1198</v>
      </c>
      <c r="D144" s="404" t="s">
        <v>1199</v>
      </c>
      <c r="E144" s="407">
        <v>1</v>
      </c>
      <c r="F144" s="407">
        <v>244.44</v>
      </c>
      <c r="G144" s="404">
        <v>1</v>
      </c>
      <c r="H144" s="404">
        <v>244.44</v>
      </c>
      <c r="I144" s="407"/>
      <c r="J144" s="407"/>
      <c r="K144" s="404"/>
      <c r="L144" s="404"/>
      <c r="M144" s="407"/>
      <c r="N144" s="407"/>
      <c r="O144" s="457"/>
      <c r="P144" s="408"/>
    </row>
    <row r="145" spans="1:16" ht="14.4" customHeight="1" x14ac:dyDescent="0.3">
      <c r="A145" s="403" t="s">
        <v>1280</v>
      </c>
      <c r="B145" s="404" t="s">
        <v>1181</v>
      </c>
      <c r="C145" s="404" t="s">
        <v>1301</v>
      </c>
      <c r="D145" s="404" t="s">
        <v>1302</v>
      </c>
      <c r="E145" s="407">
        <v>104</v>
      </c>
      <c r="F145" s="407">
        <v>69333.33</v>
      </c>
      <c r="G145" s="404">
        <v>1</v>
      </c>
      <c r="H145" s="404">
        <v>666.66663461538462</v>
      </c>
      <c r="I145" s="407">
        <v>78</v>
      </c>
      <c r="J145" s="407">
        <v>52000</v>
      </c>
      <c r="K145" s="404">
        <v>0.75000003605769405</v>
      </c>
      <c r="L145" s="404">
        <v>666.66666666666663</v>
      </c>
      <c r="M145" s="407">
        <v>76</v>
      </c>
      <c r="N145" s="407">
        <v>50666.67</v>
      </c>
      <c r="O145" s="457">
        <v>0.7307693139792939</v>
      </c>
      <c r="P145" s="408">
        <v>666.6667105263158</v>
      </c>
    </row>
    <row r="146" spans="1:16" ht="14.4" customHeight="1" x14ac:dyDescent="0.3">
      <c r="A146" s="403" t="s">
        <v>1280</v>
      </c>
      <c r="B146" s="404" t="s">
        <v>1181</v>
      </c>
      <c r="C146" s="404" t="s">
        <v>1303</v>
      </c>
      <c r="D146" s="404" t="s">
        <v>1304</v>
      </c>
      <c r="E146" s="407">
        <v>140</v>
      </c>
      <c r="F146" s="407">
        <v>32666.66</v>
      </c>
      <c r="G146" s="404">
        <v>1</v>
      </c>
      <c r="H146" s="404">
        <v>233.33328571428572</v>
      </c>
      <c r="I146" s="407">
        <v>143</v>
      </c>
      <c r="J146" s="407">
        <v>33366.650000000009</v>
      </c>
      <c r="K146" s="404">
        <v>1.0214282696792389</v>
      </c>
      <c r="L146" s="404">
        <v>233.33321678321684</v>
      </c>
      <c r="M146" s="407">
        <v>113</v>
      </c>
      <c r="N146" s="407">
        <v>26366.660000000003</v>
      </c>
      <c r="O146" s="457">
        <v>0.80714281778424868</v>
      </c>
      <c r="P146" s="408">
        <v>233.33327433628321</v>
      </c>
    </row>
    <row r="147" spans="1:16" ht="14.4" customHeight="1" x14ac:dyDescent="0.3">
      <c r="A147" s="403" t="s">
        <v>1280</v>
      </c>
      <c r="B147" s="404" t="s">
        <v>1181</v>
      </c>
      <c r="C147" s="404" t="s">
        <v>1305</v>
      </c>
      <c r="D147" s="404" t="s">
        <v>1306</v>
      </c>
      <c r="E147" s="407">
        <v>82</v>
      </c>
      <c r="F147" s="407">
        <v>63777.770000000004</v>
      </c>
      <c r="G147" s="404">
        <v>1</v>
      </c>
      <c r="H147" s="404">
        <v>777.77768292682936</v>
      </c>
      <c r="I147" s="407">
        <v>74</v>
      </c>
      <c r="J147" s="407">
        <v>57555.569999999992</v>
      </c>
      <c r="K147" s="404">
        <v>0.90243936092466059</v>
      </c>
      <c r="L147" s="404">
        <v>777.77797297297286</v>
      </c>
      <c r="M147" s="407">
        <v>84</v>
      </c>
      <c r="N147" s="407">
        <v>65333.33</v>
      </c>
      <c r="O147" s="457">
        <v>1.0243903165632791</v>
      </c>
      <c r="P147" s="408">
        <v>777.77773809523808</v>
      </c>
    </row>
    <row r="148" spans="1:16" ht="14.4" customHeight="1" x14ac:dyDescent="0.3">
      <c r="A148" s="403" t="s">
        <v>1280</v>
      </c>
      <c r="B148" s="404" t="s">
        <v>1181</v>
      </c>
      <c r="C148" s="404" t="s">
        <v>1307</v>
      </c>
      <c r="D148" s="404" t="s">
        <v>1308</v>
      </c>
      <c r="E148" s="407">
        <v>415</v>
      </c>
      <c r="F148" s="407">
        <v>101444.44</v>
      </c>
      <c r="G148" s="404">
        <v>1</v>
      </c>
      <c r="H148" s="404">
        <v>244.44443373493976</v>
      </c>
      <c r="I148" s="407">
        <v>361</v>
      </c>
      <c r="J148" s="407">
        <v>88244.45</v>
      </c>
      <c r="K148" s="404">
        <v>0.869879610947628</v>
      </c>
      <c r="L148" s="404">
        <v>244.44445983379501</v>
      </c>
      <c r="M148" s="407">
        <v>356</v>
      </c>
      <c r="N148" s="407">
        <v>87022.23</v>
      </c>
      <c r="O148" s="457">
        <v>0.85783143955449892</v>
      </c>
      <c r="P148" s="408">
        <v>244.44446629213482</v>
      </c>
    </row>
    <row r="149" spans="1:16" ht="14.4" customHeight="1" x14ac:dyDescent="0.3">
      <c r="A149" s="403" t="s">
        <v>1280</v>
      </c>
      <c r="B149" s="404" t="s">
        <v>1181</v>
      </c>
      <c r="C149" s="404" t="s">
        <v>1309</v>
      </c>
      <c r="D149" s="404" t="s">
        <v>1310</v>
      </c>
      <c r="E149" s="407">
        <v>5</v>
      </c>
      <c r="F149" s="407">
        <v>2627.7799999999997</v>
      </c>
      <c r="G149" s="404">
        <v>1</v>
      </c>
      <c r="H149" s="404">
        <v>525.55599999999993</v>
      </c>
      <c r="I149" s="407">
        <v>3</v>
      </c>
      <c r="J149" s="407">
        <v>1576.6699999999998</v>
      </c>
      <c r="K149" s="404">
        <v>0.60000076109872214</v>
      </c>
      <c r="L149" s="404">
        <v>525.55666666666662</v>
      </c>
      <c r="M149" s="407">
        <v>4</v>
      </c>
      <c r="N149" s="407">
        <v>2102.2199999999998</v>
      </c>
      <c r="O149" s="457">
        <v>0.79999847780255573</v>
      </c>
      <c r="P149" s="408">
        <v>525.55499999999995</v>
      </c>
    </row>
    <row r="150" spans="1:16" ht="14.4" customHeight="1" x14ac:dyDescent="0.3">
      <c r="A150" s="403" t="s">
        <v>1280</v>
      </c>
      <c r="B150" s="404" t="s">
        <v>1181</v>
      </c>
      <c r="C150" s="404" t="s">
        <v>1311</v>
      </c>
      <c r="D150" s="404" t="s">
        <v>1312</v>
      </c>
      <c r="E150" s="407">
        <v>3</v>
      </c>
      <c r="F150" s="407">
        <v>3000</v>
      </c>
      <c r="G150" s="404">
        <v>1</v>
      </c>
      <c r="H150" s="404">
        <v>1000</v>
      </c>
      <c r="I150" s="407">
        <v>2</v>
      </c>
      <c r="J150" s="407">
        <v>2000</v>
      </c>
      <c r="K150" s="404">
        <v>0.66666666666666663</v>
      </c>
      <c r="L150" s="404">
        <v>1000</v>
      </c>
      <c r="M150" s="407"/>
      <c r="N150" s="407"/>
      <c r="O150" s="457"/>
      <c r="P150" s="408"/>
    </row>
    <row r="151" spans="1:16" ht="14.4" customHeight="1" x14ac:dyDescent="0.3">
      <c r="A151" s="403" t="s">
        <v>1280</v>
      </c>
      <c r="B151" s="404" t="s">
        <v>1181</v>
      </c>
      <c r="C151" s="404" t="s">
        <v>1226</v>
      </c>
      <c r="D151" s="404" t="s">
        <v>1227</v>
      </c>
      <c r="E151" s="407">
        <v>2</v>
      </c>
      <c r="F151" s="407">
        <v>0</v>
      </c>
      <c r="G151" s="404"/>
      <c r="H151" s="404">
        <v>0</v>
      </c>
      <c r="I151" s="407">
        <v>3</v>
      </c>
      <c r="J151" s="407">
        <v>0</v>
      </c>
      <c r="K151" s="404"/>
      <c r="L151" s="404">
        <v>0</v>
      </c>
      <c r="M151" s="407">
        <v>5</v>
      </c>
      <c r="N151" s="407">
        <v>0</v>
      </c>
      <c r="O151" s="457"/>
      <c r="P151" s="408">
        <v>0</v>
      </c>
    </row>
    <row r="152" spans="1:16" ht="14.4" customHeight="1" x14ac:dyDescent="0.3">
      <c r="A152" s="403" t="s">
        <v>1280</v>
      </c>
      <c r="B152" s="404" t="s">
        <v>1181</v>
      </c>
      <c r="C152" s="404" t="s">
        <v>1228</v>
      </c>
      <c r="D152" s="404" t="s">
        <v>1229</v>
      </c>
      <c r="E152" s="407">
        <v>276</v>
      </c>
      <c r="F152" s="407">
        <v>0</v>
      </c>
      <c r="G152" s="404"/>
      <c r="H152" s="404">
        <v>0</v>
      </c>
      <c r="I152" s="407">
        <v>225</v>
      </c>
      <c r="J152" s="407">
        <v>0</v>
      </c>
      <c r="K152" s="404"/>
      <c r="L152" s="404">
        <v>0</v>
      </c>
      <c r="M152" s="407">
        <v>215</v>
      </c>
      <c r="N152" s="407">
        <v>0</v>
      </c>
      <c r="O152" s="457"/>
      <c r="P152" s="408">
        <v>0</v>
      </c>
    </row>
    <row r="153" spans="1:16" ht="14.4" customHeight="1" x14ac:dyDescent="0.3">
      <c r="A153" s="403" t="s">
        <v>1280</v>
      </c>
      <c r="B153" s="404" t="s">
        <v>1181</v>
      </c>
      <c r="C153" s="404" t="s">
        <v>1230</v>
      </c>
      <c r="D153" s="404" t="s">
        <v>1231</v>
      </c>
      <c r="E153" s="407">
        <v>226</v>
      </c>
      <c r="F153" s="407">
        <v>69055.570000000007</v>
      </c>
      <c r="G153" s="404">
        <v>1</v>
      </c>
      <c r="H153" s="404">
        <v>305.55561946902657</v>
      </c>
      <c r="I153" s="407">
        <v>190</v>
      </c>
      <c r="J153" s="407">
        <v>58055.540000000008</v>
      </c>
      <c r="K153" s="404">
        <v>0.84070756348836162</v>
      </c>
      <c r="L153" s="404">
        <v>305.5554736842106</v>
      </c>
      <c r="M153" s="407">
        <v>159</v>
      </c>
      <c r="N153" s="407">
        <v>48583.34</v>
      </c>
      <c r="O153" s="457">
        <v>0.70353977238910625</v>
      </c>
      <c r="P153" s="408">
        <v>305.55559748427669</v>
      </c>
    </row>
    <row r="154" spans="1:16" ht="14.4" customHeight="1" x14ac:dyDescent="0.3">
      <c r="A154" s="403" t="s">
        <v>1280</v>
      </c>
      <c r="B154" s="404" t="s">
        <v>1181</v>
      </c>
      <c r="C154" s="404" t="s">
        <v>1232</v>
      </c>
      <c r="D154" s="404" t="s">
        <v>1233</v>
      </c>
      <c r="E154" s="407">
        <v>588</v>
      </c>
      <c r="F154" s="407">
        <v>0</v>
      </c>
      <c r="G154" s="404"/>
      <c r="H154" s="404">
        <v>0</v>
      </c>
      <c r="I154" s="407">
        <v>583</v>
      </c>
      <c r="J154" s="407">
        <v>0</v>
      </c>
      <c r="K154" s="404"/>
      <c r="L154" s="404">
        <v>0</v>
      </c>
      <c r="M154" s="407">
        <v>516</v>
      </c>
      <c r="N154" s="407">
        <v>0</v>
      </c>
      <c r="O154" s="457"/>
      <c r="P154" s="408">
        <v>0</v>
      </c>
    </row>
    <row r="155" spans="1:16" ht="14.4" customHeight="1" x14ac:dyDescent="0.3">
      <c r="A155" s="403" t="s">
        <v>1280</v>
      </c>
      <c r="B155" s="404" t="s">
        <v>1181</v>
      </c>
      <c r="C155" s="404" t="s">
        <v>1234</v>
      </c>
      <c r="D155" s="404" t="s">
        <v>1235</v>
      </c>
      <c r="E155" s="407">
        <v>187</v>
      </c>
      <c r="F155" s="407">
        <v>85188.9</v>
      </c>
      <c r="G155" s="404">
        <v>1</v>
      </c>
      <c r="H155" s="404">
        <v>455.55561497326198</v>
      </c>
      <c r="I155" s="407">
        <v>151</v>
      </c>
      <c r="J155" s="407">
        <v>68788.89</v>
      </c>
      <c r="K155" s="404">
        <v>0.80748653873920195</v>
      </c>
      <c r="L155" s="404">
        <v>455.55556291390729</v>
      </c>
      <c r="M155" s="407">
        <v>173</v>
      </c>
      <c r="N155" s="407">
        <v>78811.11</v>
      </c>
      <c r="O155" s="457">
        <v>0.92513355613231307</v>
      </c>
      <c r="P155" s="408">
        <v>455.55554913294799</v>
      </c>
    </row>
    <row r="156" spans="1:16" ht="14.4" customHeight="1" x14ac:dyDescent="0.3">
      <c r="A156" s="403" t="s">
        <v>1280</v>
      </c>
      <c r="B156" s="404" t="s">
        <v>1181</v>
      </c>
      <c r="C156" s="404" t="s">
        <v>1238</v>
      </c>
      <c r="D156" s="404" t="s">
        <v>1239</v>
      </c>
      <c r="E156" s="407">
        <v>234</v>
      </c>
      <c r="F156" s="407">
        <v>18200</v>
      </c>
      <c r="G156" s="404">
        <v>1</v>
      </c>
      <c r="H156" s="404">
        <v>77.777777777777771</v>
      </c>
      <c r="I156" s="407">
        <v>191</v>
      </c>
      <c r="J156" s="407">
        <v>14855.58</v>
      </c>
      <c r="K156" s="404">
        <v>0.81624065934065937</v>
      </c>
      <c r="L156" s="404">
        <v>77.777905759162309</v>
      </c>
      <c r="M156" s="407">
        <v>164</v>
      </c>
      <c r="N156" s="407">
        <v>12755.57</v>
      </c>
      <c r="O156" s="457">
        <v>0.70085549450549445</v>
      </c>
      <c r="P156" s="408">
        <v>77.77786585365854</v>
      </c>
    </row>
    <row r="157" spans="1:16" ht="14.4" customHeight="1" x14ac:dyDescent="0.3">
      <c r="A157" s="403" t="s">
        <v>1280</v>
      </c>
      <c r="B157" s="404" t="s">
        <v>1181</v>
      </c>
      <c r="C157" s="404" t="s">
        <v>1313</v>
      </c>
      <c r="D157" s="404" t="s">
        <v>1314</v>
      </c>
      <c r="E157" s="407">
        <v>113</v>
      </c>
      <c r="F157" s="407">
        <v>163222.23000000001</v>
      </c>
      <c r="G157" s="404">
        <v>1</v>
      </c>
      <c r="H157" s="404">
        <v>1444.4445132743365</v>
      </c>
      <c r="I157" s="407">
        <v>112</v>
      </c>
      <c r="J157" s="407">
        <v>161777.76999999999</v>
      </c>
      <c r="K157" s="404">
        <v>0.99115034759664766</v>
      </c>
      <c r="L157" s="404">
        <v>1444.4443749999998</v>
      </c>
      <c r="M157" s="407">
        <v>92</v>
      </c>
      <c r="N157" s="407">
        <v>132888.88</v>
      </c>
      <c r="O157" s="457">
        <v>0.81415919878070531</v>
      </c>
      <c r="P157" s="408">
        <v>1444.4443478260871</v>
      </c>
    </row>
    <row r="158" spans="1:16" ht="14.4" customHeight="1" x14ac:dyDescent="0.3">
      <c r="A158" s="403" t="s">
        <v>1280</v>
      </c>
      <c r="B158" s="404" t="s">
        <v>1181</v>
      </c>
      <c r="C158" s="404" t="s">
        <v>1248</v>
      </c>
      <c r="D158" s="404" t="s">
        <v>1249</v>
      </c>
      <c r="E158" s="407">
        <v>2</v>
      </c>
      <c r="F158" s="407">
        <v>177.78</v>
      </c>
      <c r="G158" s="404">
        <v>1</v>
      </c>
      <c r="H158" s="404">
        <v>88.89</v>
      </c>
      <c r="I158" s="407"/>
      <c r="J158" s="407"/>
      <c r="K158" s="404"/>
      <c r="L158" s="404"/>
      <c r="M158" s="407"/>
      <c r="N158" s="407"/>
      <c r="O158" s="457"/>
      <c r="P158" s="408"/>
    </row>
    <row r="159" spans="1:16" ht="14.4" customHeight="1" x14ac:dyDescent="0.3">
      <c r="A159" s="403" t="s">
        <v>1280</v>
      </c>
      <c r="B159" s="404" t="s">
        <v>1181</v>
      </c>
      <c r="C159" s="404" t="s">
        <v>1252</v>
      </c>
      <c r="D159" s="404" t="s">
        <v>1253</v>
      </c>
      <c r="E159" s="407">
        <v>7</v>
      </c>
      <c r="F159" s="407">
        <v>676.67000000000007</v>
      </c>
      <c r="G159" s="404">
        <v>1</v>
      </c>
      <c r="H159" s="404">
        <v>96.667142857142863</v>
      </c>
      <c r="I159" s="407">
        <v>3</v>
      </c>
      <c r="J159" s="407">
        <v>290</v>
      </c>
      <c r="K159" s="404">
        <v>0.42856931739252513</v>
      </c>
      <c r="L159" s="404">
        <v>96.666666666666671</v>
      </c>
      <c r="M159" s="407">
        <v>2</v>
      </c>
      <c r="N159" s="407">
        <v>193.34</v>
      </c>
      <c r="O159" s="457">
        <v>0.28572273042989932</v>
      </c>
      <c r="P159" s="408">
        <v>96.67</v>
      </c>
    </row>
    <row r="160" spans="1:16" ht="14.4" customHeight="1" x14ac:dyDescent="0.3">
      <c r="A160" s="403" t="s">
        <v>1280</v>
      </c>
      <c r="B160" s="404" t="s">
        <v>1181</v>
      </c>
      <c r="C160" s="404" t="s">
        <v>1315</v>
      </c>
      <c r="D160" s="404" t="s">
        <v>1316</v>
      </c>
      <c r="E160" s="407">
        <v>129</v>
      </c>
      <c r="F160" s="407">
        <v>45150</v>
      </c>
      <c r="G160" s="404">
        <v>1</v>
      </c>
      <c r="H160" s="404">
        <v>350</v>
      </c>
      <c r="I160" s="407">
        <v>111</v>
      </c>
      <c r="J160" s="407">
        <v>38850</v>
      </c>
      <c r="K160" s="404">
        <v>0.86046511627906974</v>
      </c>
      <c r="L160" s="404">
        <v>350</v>
      </c>
      <c r="M160" s="407">
        <v>90</v>
      </c>
      <c r="N160" s="407">
        <v>31500</v>
      </c>
      <c r="O160" s="457">
        <v>0.69767441860465118</v>
      </c>
      <c r="P160" s="408">
        <v>350</v>
      </c>
    </row>
    <row r="161" spans="1:16" ht="14.4" customHeight="1" x14ac:dyDescent="0.3">
      <c r="A161" s="403" t="s">
        <v>1280</v>
      </c>
      <c r="B161" s="404" t="s">
        <v>1181</v>
      </c>
      <c r="C161" s="404" t="s">
        <v>1317</v>
      </c>
      <c r="D161" s="404" t="s">
        <v>1318</v>
      </c>
      <c r="E161" s="407">
        <v>28</v>
      </c>
      <c r="F161" s="407">
        <v>1648.9</v>
      </c>
      <c r="G161" s="404">
        <v>1</v>
      </c>
      <c r="H161" s="404">
        <v>58.88928571428572</v>
      </c>
      <c r="I161" s="407">
        <v>25</v>
      </c>
      <c r="J161" s="407">
        <v>1472.23</v>
      </c>
      <c r="K161" s="404">
        <v>0.89285584328946566</v>
      </c>
      <c r="L161" s="404">
        <v>58.889200000000002</v>
      </c>
      <c r="M161" s="407">
        <v>14</v>
      </c>
      <c r="N161" s="407">
        <v>824.44999999999993</v>
      </c>
      <c r="O161" s="457">
        <v>0.49999999999999994</v>
      </c>
      <c r="P161" s="408">
        <v>58.889285714285712</v>
      </c>
    </row>
    <row r="162" spans="1:16" ht="14.4" customHeight="1" x14ac:dyDescent="0.3">
      <c r="A162" s="403" t="s">
        <v>1280</v>
      </c>
      <c r="B162" s="404" t="s">
        <v>1181</v>
      </c>
      <c r="C162" s="404" t="s">
        <v>1319</v>
      </c>
      <c r="D162" s="404" t="s">
        <v>1320</v>
      </c>
      <c r="E162" s="407">
        <v>169</v>
      </c>
      <c r="F162" s="407">
        <v>21782.23</v>
      </c>
      <c r="G162" s="404">
        <v>1</v>
      </c>
      <c r="H162" s="404">
        <v>128.88893491124261</v>
      </c>
      <c r="I162" s="407">
        <v>140</v>
      </c>
      <c r="J162" s="407">
        <v>18044.46</v>
      </c>
      <c r="K162" s="404">
        <v>0.82840278520610611</v>
      </c>
      <c r="L162" s="404">
        <v>128.88899999999998</v>
      </c>
      <c r="M162" s="407">
        <v>134</v>
      </c>
      <c r="N162" s="407">
        <v>17271.11</v>
      </c>
      <c r="O162" s="457">
        <v>0.79289907415356464</v>
      </c>
      <c r="P162" s="408">
        <v>128.88888059701492</v>
      </c>
    </row>
    <row r="163" spans="1:16" ht="14.4" customHeight="1" x14ac:dyDescent="0.3">
      <c r="A163" s="403" t="s">
        <v>1280</v>
      </c>
      <c r="B163" s="404" t="s">
        <v>1181</v>
      </c>
      <c r="C163" s="404" t="s">
        <v>1264</v>
      </c>
      <c r="D163" s="404" t="s">
        <v>1265</v>
      </c>
      <c r="E163" s="407">
        <v>494</v>
      </c>
      <c r="F163" s="407">
        <v>24151.100000000002</v>
      </c>
      <c r="G163" s="404">
        <v>1</v>
      </c>
      <c r="H163" s="404">
        <v>48.888866396761138</v>
      </c>
      <c r="I163" s="407">
        <v>320</v>
      </c>
      <c r="J163" s="407">
        <v>15644.43</v>
      </c>
      <c r="K163" s="404">
        <v>0.64777297928458744</v>
      </c>
      <c r="L163" s="404">
        <v>48.888843749999999</v>
      </c>
      <c r="M163" s="407">
        <v>319</v>
      </c>
      <c r="N163" s="407">
        <v>15595.560000000001</v>
      </c>
      <c r="O163" s="457">
        <v>0.64574946896828711</v>
      </c>
      <c r="P163" s="408">
        <v>48.88890282131662</v>
      </c>
    </row>
    <row r="164" spans="1:16" ht="14.4" customHeight="1" x14ac:dyDescent="0.3">
      <c r="A164" s="403" t="s">
        <v>1280</v>
      </c>
      <c r="B164" s="404" t="s">
        <v>1181</v>
      </c>
      <c r="C164" s="404" t="s">
        <v>1321</v>
      </c>
      <c r="D164" s="404" t="s">
        <v>1322</v>
      </c>
      <c r="E164" s="407">
        <v>652</v>
      </c>
      <c r="F164" s="407">
        <v>579555.55999999994</v>
      </c>
      <c r="G164" s="404">
        <v>1</v>
      </c>
      <c r="H164" s="404">
        <v>888.88889570552135</v>
      </c>
      <c r="I164" s="407">
        <v>692</v>
      </c>
      <c r="J164" s="407">
        <v>615111.1</v>
      </c>
      <c r="K164" s="404">
        <v>1.0613496659405701</v>
      </c>
      <c r="L164" s="404">
        <v>888.88887283236988</v>
      </c>
      <c r="M164" s="407">
        <v>613</v>
      </c>
      <c r="N164" s="407">
        <v>544888.9</v>
      </c>
      <c r="O164" s="457">
        <v>0.9401840610415334</v>
      </c>
      <c r="P164" s="408">
        <v>888.88890701468188</v>
      </c>
    </row>
    <row r="165" spans="1:16" ht="14.4" customHeight="1" thickBot="1" x14ac:dyDescent="0.35">
      <c r="A165" s="409" t="s">
        <v>1280</v>
      </c>
      <c r="B165" s="410" t="s">
        <v>1181</v>
      </c>
      <c r="C165" s="410" t="s">
        <v>1323</v>
      </c>
      <c r="D165" s="410" t="s">
        <v>1324</v>
      </c>
      <c r="E165" s="413">
        <v>8</v>
      </c>
      <c r="F165" s="413">
        <v>2666.67</v>
      </c>
      <c r="G165" s="410">
        <v>1</v>
      </c>
      <c r="H165" s="410">
        <v>333.33375000000001</v>
      </c>
      <c r="I165" s="413">
        <v>25</v>
      </c>
      <c r="J165" s="413">
        <v>8333.33</v>
      </c>
      <c r="K165" s="410">
        <v>3.1249948437564452</v>
      </c>
      <c r="L165" s="410">
        <v>333.33319999999998</v>
      </c>
      <c r="M165" s="413">
        <v>15</v>
      </c>
      <c r="N165" s="413">
        <v>4999.99</v>
      </c>
      <c r="O165" s="421">
        <v>1.8749939062576171</v>
      </c>
      <c r="P165" s="414">
        <v>333.33266666666663</v>
      </c>
    </row>
  </sheetData>
  <autoFilter ref="A5:P5"/>
  <mergeCells count="10">
    <mergeCell ref="P4:P5"/>
    <mergeCell ref="A1:P1"/>
    <mergeCell ref="A4:A5"/>
    <mergeCell ref="B4:B5"/>
    <mergeCell ref="C4:C5"/>
    <mergeCell ref="D4:D5"/>
    <mergeCell ref="E4:F4"/>
    <mergeCell ref="I4:J4"/>
    <mergeCell ref="M4:N4"/>
    <mergeCell ref="O4:O5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1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39" bestFit="1" customWidth="1"/>
    <col min="2" max="2" width="11.6640625" style="139" hidden="1" customWidth="1"/>
    <col min="3" max="4" width="11" style="141" customWidth="1"/>
    <col min="5" max="5" width="11" style="142" customWidth="1"/>
    <col min="6" max="16384" width="8.88671875" style="139"/>
  </cols>
  <sheetData>
    <row r="1" spans="1:5" ht="18.600000000000001" thickBot="1" x14ac:dyDescent="0.4">
      <c r="A1" s="290" t="s">
        <v>109</v>
      </c>
      <c r="B1" s="290"/>
      <c r="C1" s="291"/>
      <c r="D1" s="291"/>
      <c r="E1" s="291"/>
    </row>
    <row r="2" spans="1:5" ht="14.4" customHeight="1" thickBot="1" x14ac:dyDescent="0.35">
      <c r="A2" s="217" t="s">
        <v>223</v>
      </c>
      <c r="B2" s="140"/>
    </row>
    <row r="3" spans="1:5" ht="14.4" customHeight="1" thickBot="1" x14ac:dyDescent="0.35">
      <c r="A3" s="143"/>
      <c r="C3" s="144" t="s">
        <v>97</v>
      </c>
      <c r="D3" s="145" t="s">
        <v>63</v>
      </c>
      <c r="E3" s="146" t="s">
        <v>65</v>
      </c>
    </row>
    <row r="4" spans="1:5" ht="14.4" customHeight="1" thickBot="1" x14ac:dyDescent="0.35">
      <c r="A4" s="147" t="str">
        <f>HYPERLINK("#HI!A1","NÁKLADY CELKEM (v tisících Kč)")</f>
        <v>NÁKLADY CELKEM (v tisících Kč)</v>
      </c>
      <c r="B4" s="148"/>
      <c r="C4" s="149">
        <f ca="1">IF(ISERROR(VLOOKUP("Náklady celkem",INDIRECT("HI!$A:$G"),6,0)),0,VLOOKUP("Náklady celkem",INDIRECT("HI!$A:$G"),6,0))</f>
        <v>7133</v>
      </c>
      <c r="D4" s="149">
        <f ca="1">IF(ISERROR(VLOOKUP("Náklady celkem",INDIRECT("HI!$A:$G"),5,0)),0,VLOOKUP("Náklady celkem",INDIRECT("HI!$A:$G"),5,0))</f>
        <v>5833.3288600000096</v>
      </c>
      <c r="E4" s="150">
        <f ca="1">IF(C4=0,0,D4/C4)</f>
        <v>0.81779459694378376</v>
      </c>
    </row>
    <row r="5" spans="1:5" ht="14.4" customHeight="1" x14ac:dyDescent="0.3">
      <c r="A5" s="151" t="s">
        <v>131</v>
      </c>
      <c r="B5" s="152"/>
      <c r="C5" s="153"/>
      <c r="D5" s="153"/>
      <c r="E5" s="154"/>
    </row>
    <row r="6" spans="1:5" ht="14.4" customHeight="1" x14ac:dyDescent="0.3">
      <c r="A6" s="155" t="s">
        <v>136</v>
      </c>
      <c r="B6" s="156"/>
      <c r="C6" s="157"/>
      <c r="D6" s="157"/>
      <c r="E6" s="154"/>
    </row>
    <row r="7" spans="1:5" ht="14.4" customHeight="1" x14ac:dyDescent="0.3">
      <c r="A7" s="158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56" t="s">
        <v>101</v>
      </c>
      <c r="C7" s="157">
        <f>IF(ISERROR(HI!F5),"",HI!F5)</f>
        <v>50</v>
      </c>
      <c r="D7" s="157">
        <f>IF(ISERROR(HI!E5),"",HI!E5)</f>
        <v>24.859739999999999</v>
      </c>
      <c r="E7" s="154">
        <f t="shared" ref="E7:E12" si="0">IF(C7=0,0,D7/C7)</f>
        <v>0.49719479999999999</v>
      </c>
    </row>
    <row r="8" spans="1:5" ht="14.4" customHeight="1" x14ac:dyDescent="0.3">
      <c r="A8" s="158" t="str">
        <f>HYPERLINK("#'LŽ PL'!A1","% plnění pozitivního listu")</f>
        <v>% plnění pozitivního listu</v>
      </c>
      <c r="B8" s="156" t="s">
        <v>129</v>
      </c>
      <c r="C8" s="159">
        <v>0.9</v>
      </c>
      <c r="D8" s="159">
        <f>IF(ISERROR(VLOOKUP("celkem",'LŽ PL'!$A:$F,5,0)),0,VLOOKUP("celkem",'LŽ PL'!$A:$F,5,0))</f>
        <v>1</v>
      </c>
      <c r="E8" s="154">
        <f t="shared" si="0"/>
        <v>1.1111111111111112</v>
      </c>
    </row>
    <row r="9" spans="1:5" ht="14.4" customHeight="1" x14ac:dyDescent="0.3">
      <c r="A9" s="160" t="s">
        <v>132</v>
      </c>
      <c r="B9" s="156"/>
      <c r="C9" s="157"/>
      <c r="D9" s="157"/>
      <c r="E9" s="154"/>
    </row>
    <row r="10" spans="1:5" ht="14.4" customHeight="1" x14ac:dyDescent="0.3">
      <c r="A10" s="160" t="s">
        <v>133</v>
      </c>
      <c r="B10" s="156"/>
      <c r="C10" s="157"/>
      <c r="D10" s="157"/>
      <c r="E10" s="154"/>
    </row>
    <row r="11" spans="1:5" ht="14.4" customHeight="1" x14ac:dyDescent="0.3">
      <c r="A11" s="161" t="s">
        <v>137</v>
      </c>
      <c r="B11" s="156"/>
      <c r="C11" s="153"/>
      <c r="D11" s="153"/>
      <c r="E11" s="154"/>
    </row>
    <row r="12" spans="1:5" ht="14.4" customHeight="1" x14ac:dyDescent="0.3">
      <c r="A12" s="162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2" s="156" t="s">
        <v>101</v>
      </c>
      <c r="C12" s="157">
        <f>IF(ISERROR(HI!F6),"",HI!F6)</f>
        <v>716</v>
      </c>
      <c r="D12" s="157">
        <f>IF(ISERROR(HI!E6),"",HI!E6)</f>
        <v>624.47056000000202</v>
      </c>
      <c r="E12" s="154">
        <f t="shared" si="0"/>
        <v>0.87216558659218157</v>
      </c>
    </row>
    <row r="13" spans="1:5" ht="14.4" customHeight="1" thickBot="1" x14ac:dyDescent="0.35">
      <c r="A13" s="163" t="str">
        <f>HYPERLINK("#HI!A1","Osobní náklady")</f>
        <v>Osobní náklady</v>
      </c>
      <c r="B13" s="156"/>
      <c r="C13" s="153">
        <f ca="1">IF(ISERROR(VLOOKUP("Osobní náklady (Kč)",INDIRECT("HI!$A:$G"),6,0)),0,VLOOKUP("Osobní náklady (Kč)",INDIRECT("HI!$A:$G"),6,0))</f>
        <v>0</v>
      </c>
      <c r="D13" s="153">
        <f ca="1">IF(ISERROR(VLOOKUP("Osobní náklady (Kč)",INDIRECT("HI!$A:$G"),5,0)),0,VLOOKUP("Osobní náklady (Kč)",INDIRECT("HI!$A:$G"),5,0))</f>
        <v>0</v>
      </c>
      <c r="E13" s="154">
        <f ca="1">IF(C13=0,0,D13/C13)</f>
        <v>0</v>
      </c>
    </row>
    <row r="14" spans="1:5" ht="14.4" customHeight="1" thickBot="1" x14ac:dyDescent="0.35">
      <c r="A14" s="167"/>
      <c r="B14" s="168"/>
      <c r="C14" s="169"/>
      <c r="D14" s="169"/>
      <c r="E14" s="170"/>
    </row>
    <row r="15" spans="1:5" ht="14.4" customHeight="1" thickBot="1" x14ac:dyDescent="0.35">
      <c r="A15" s="171" t="str">
        <f>HYPERLINK("#HI!A1","VÝNOSY CELKEM (v tisících)")</f>
        <v>VÝNOSY CELKEM (v tisících)</v>
      </c>
      <c r="B15" s="172"/>
      <c r="C15" s="173">
        <f ca="1">IF(ISERROR(VLOOKUP("Výnosy celkem",INDIRECT("HI!$A:$G"),6,0)),0,VLOOKUP("Výnosy celkem",INDIRECT("HI!$A:$G"),6,0))</f>
        <v>3943.5290700000023</v>
      </c>
      <c r="D15" s="173">
        <f ca="1">IF(ISERROR(VLOOKUP("Výnosy celkem",INDIRECT("HI!$A:$G"),5,0)),0,VLOOKUP("Výnosy celkem",INDIRECT("HI!$A:$G"),5,0))</f>
        <v>3817.8099699999993</v>
      </c>
      <c r="E15" s="174">
        <f t="shared" ref="E15:E17" ca="1" si="1">IF(C15=0,0,D15/C15)</f>
        <v>0.96812015386005434</v>
      </c>
    </row>
    <row r="16" spans="1:5" ht="14.4" customHeight="1" x14ac:dyDescent="0.3">
      <c r="A16" s="175" t="str">
        <f>HYPERLINK("#HI!A1","Ambulance (body za výkony + Kč za ZUM a ZULP)")</f>
        <v>Ambulance (body za výkony + Kč za ZUM a ZULP)</v>
      </c>
      <c r="B16" s="152"/>
      <c r="C16" s="153">
        <f ca="1">IF(ISERROR(VLOOKUP("Ambulance *",INDIRECT("HI!$A:$G"),6,0)),0,VLOOKUP("Ambulance *",INDIRECT("HI!$A:$G"),6,0))</f>
        <v>3943.5290700000023</v>
      </c>
      <c r="D16" s="153">
        <f ca="1">IF(ISERROR(VLOOKUP("Ambulance *",INDIRECT("HI!$A:$G"),5,0)),0,VLOOKUP("Ambulance *",INDIRECT("HI!$A:$G"),5,0))</f>
        <v>3817.8099699999993</v>
      </c>
      <c r="E16" s="154">
        <f t="shared" ca="1" si="1"/>
        <v>0.96812015386005434</v>
      </c>
    </row>
    <row r="17" spans="1:5" ht="14.4" customHeight="1" x14ac:dyDescent="0.3">
      <c r="A17" s="176" t="str">
        <f>HYPERLINK("#'ZV Vykáz.-A'!A1","Zdravotní výkony vykázané u ambulantních pacientů (min. 100 %)")</f>
        <v>Zdravotní výkony vykázané u ambulantních pacientů (min. 100 %)</v>
      </c>
      <c r="B17" s="139" t="s">
        <v>111</v>
      </c>
      <c r="C17" s="159">
        <v>1</v>
      </c>
      <c r="D17" s="159">
        <f>IF(ISERROR(VLOOKUP("Celkem:",'ZV Vykáz.-A'!$A:$S,7,0)),"",VLOOKUP("Celkem:",'ZV Vykáz.-A'!$A:$S,7,0))</f>
        <v>0.96812015386005434</v>
      </c>
      <c r="E17" s="154">
        <f t="shared" si="1"/>
        <v>0.96812015386005434</v>
      </c>
    </row>
    <row r="18" spans="1:5" ht="14.4" customHeight="1" x14ac:dyDescent="0.3">
      <c r="A18" s="177" t="str">
        <f>HYPERLINK("#HI!A1","Hospitalizace (casemix * 30000)")</f>
        <v>Hospitalizace (casemix * 30000)</v>
      </c>
      <c r="B18" s="156"/>
      <c r="C18" s="153">
        <f ca="1">IF(ISERROR(VLOOKUP("Hospitalizace *",INDIRECT("HI!$A:$G"),6,0)),0,VLOOKUP("Hospitalizace *",INDIRECT("HI!$A:$G"),6,0))</f>
        <v>0</v>
      </c>
      <c r="D18" s="153">
        <f ca="1">IF(ISERROR(VLOOKUP("Hospitalizace *",INDIRECT("HI!$A:$G"),5,0)),0,VLOOKUP("Hospitalizace *",INDIRECT("HI!$A:$G"),5,0))</f>
        <v>0</v>
      </c>
      <c r="E18" s="154">
        <f ca="1">IF(C18=0,0,D18/C18)</f>
        <v>0</v>
      </c>
    </row>
    <row r="19" spans="1:5" ht="14.4" customHeight="1" thickBot="1" x14ac:dyDescent="0.35">
      <c r="A19" s="178" t="s">
        <v>134</v>
      </c>
      <c r="B19" s="164"/>
      <c r="C19" s="165"/>
      <c r="D19" s="165"/>
      <c r="E19" s="166"/>
    </row>
    <row r="20" spans="1:5" ht="14.4" customHeight="1" thickBot="1" x14ac:dyDescent="0.35">
      <c r="A20" s="179"/>
      <c r="B20" s="180"/>
      <c r="C20" s="181"/>
      <c r="D20" s="181"/>
      <c r="E20" s="182"/>
    </row>
    <row r="21" spans="1:5" ht="14.4" customHeight="1" thickBot="1" x14ac:dyDescent="0.35">
      <c r="A21" s="183" t="s">
        <v>135</v>
      </c>
      <c r="B21" s="184"/>
      <c r="C21" s="185"/>
      <c r="D21" s="185"/>
      <c r="E21" s="186"/>
    </row>
  </sheetData>
  <mergeCells count="1">
    <mergeCell ref="A1:E1"/>
  </mergeCells>
  <conditionalFormatting sqref="E5">
    <cfRule type="cellIs" dxfId="44" priority="13" operator="greaterThan">
      <formula>1</formula>
    </cfRule>
    <cfRule type="iconSet" priority="14">
      <iconSet iconSet="3Symbols2" reverse="1">
        <cfvo type="percent" val="0"/>
        <cfvo type="num" val="1"/>
        <cfvo type="num" val="1"/>
      </iconSet>
    </cfRule>
  </conditionalFormatting>
  <conditionalFormatting sqref="E11">
    <cfRule type="cellIs" dxfId="43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3">
    <cfRule type="cellIs" dxfId="42" priority="7" operator="greaterThan">
      <formula>1</formula>
    </cfRule>
    <cfRule type="iconSet" priority="8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41" priority="5" operator="lessThan">
      <formula>1</formula>
    </cfRule>
    <cfRule type="iconSet" priority="6">
      <iconSet iconSet="3Symbols2">
        <cfvo type="percent" val="0"/>
        <cfvo type="num" val="1"/>
        <cfvo type="num" val="1"/>
      </iconSet>
    </cfRule>
  </conditionalFormatting>
  <conditionalFormatting sqref="E18">
    <cfRule type="cellIs" dxfId="40" priority="3" operator="lessThan">
      <formula>1</formula>
    </cfRule>
    <cfRule type="iconSet" priority="4">
      <iconSet iconSet="3Symbols2">
        <cfvo type="percent" val="0"/>
        <cfvo type="num" val="1"/>
        <cfvo type="num" val="1"/>
      </iconSet>
    </cfRule>
  </conditionalFormatting>
  <conditionalFormatting sqref="E6">
    <cfRule type="cellIs" dxfId="39" priority="1" operator="greaterThan">
      <formula>1</formula>
    </cfRule>
    <cfRule type="iconSet" priority="2">
      <iconSet iconSet="3Symbols2" reverse="1">
        <cfvo type="percent" val="0"/>
        <cfvo type="num" val="1"/>
        <cfvo type="num" val="1"/>
      </iconSet>
    </cfRule>
  </conditionalFormatting>
  <conditionalFormatting sqref="E15 E17 E8">
    <cfRule type="cellIs" dxfId="38" priority="16" operator="lessThan">
      <formula>1</formula>
    </cfRule>
  </conditionalFormatting>
  <conditionalFormatting sqref="E15 E17 E8">
    <cfRule type="iconSet" priority="48">
      <iconSet iconSet="3Symbols2">
        <cfvo type="percent" val="0"/>
        <cfvo type="num" val="1"/>
        <cfvo type="num" val="1"/>
      </iconSet>
    </cfRule>
  </conditionalFormatting>
  <conditionalFormatting sqref="E4 E7 E12">
    <cfRule type="cellIs" dxfId="37" priority="53" operator="greaterThan">
      <formula>1</formula>
    </cfRule>
    <cfRule type="iconSet" priority="54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H23"/>
  <sheetViews>
    <sheetView showGridLines="0" showRowColHeaders="0" zoomScaleNormal="100" workbookViewId="0">
      <selection sqref="A1:H1"/>
    </sheetView>
  </sheetViews>
  <sheetFormatPr defaultRowHeight="14.4" customHeight="1" x14ac:dyDescent="0.3"/>
  <cols>
    <col min="1" max="1" width="34.21875" style="120" bestFit="1" customWidth="1"/>
    <col min="2" max="3" width="9.5546875" style="120" customWidth="1"/>
    <col min="4" max="4" width="2.44140625" style="120" customWidth="1"/>
    <col min="5" max="8" width="9.5546875" style="120" customWidth="1"/>
    <col min="9" max="16384" width="8.88671875" style="120"/>
  </cols>
  <sheetData>
    <row r="1" spans="1:8" ht="18.600000000000001" customHeight="1" thickBot="1" x14ac:dyDescent="0.4">
      <c r="A1" s="290" t="s">
        <v>121</v>
      </c>
      <c r="B1" s="290"/>
      <c r="C1" s="290"/>
      <c r="D1" s="290"/>
      <c r="E1" s="290"/>
      <c r="F1" s="290"/>
      <c r="G1" s="291"/>
      <c r="H1" s="291"/>
    </row>
    <row r="2" spans="1:8" ht="14.4" customHeight="1" thickBot="1" x14ac:dyDescent="0.35">
      <c r="A2" s="217" t="s">
        <v>223</v>
      </c>
      <c r="B2" s="101"/>
      <c r="C2" s="101"/>
      <c r="D2" s="101"/>
      <c r="E2" s="101"/>
      <c r="F2" s="101"/>
    </row>
    <row r="3" spans="1:8" ht="14.4" customHeight="1" x14ac:dyDescent="0.3">
      <c r="A3" s="292"/>
      <c r="B3" s="97">
        <v>2012</v>
      </c>
      <c r="C3" s="40">
        <v>2013</v>
      </c>
      <c r="D3" s="7"/>
      <c r="E3" s="296">
        <v>2014</v>
      </c>
      <c r="F3" s="297"/>
      <c r="G3" s="297"/>
      <c r="H3" s="298"/>
    </row>
    <row r="4" spans="1:8" ht="14.4" customHeight="1" thickBot="1" x14ac:dyDescent="0.35">
      <c r="A4" s="293"/>
      <c r="B4" s="294" t="s">
        <v>63</v>
      </c>
      <c r="C4" s="295"/>
      <c r="D4" s="7"/>
      <c r="E4" s="118" t="s">
        <v>63</v>
      </c>
      <c r="F4" s="99" t="s">
        <v>64</v>
      </c>
      <c r="G4" s="99" t="s">
        <v>58</v>
      </c>
      <c r="H4" s="100" t="s">
        <v>65</v>
      </c>
    </row>
    <row r="5" spans="1:8" ht="14.4" customHeight="1" x14ac:dyDescent="0.3">
      <c r="A5" s="102" t="str">
        <f>HYPERLINK("#'Léky Žádanky'!A1","Léky (Kč)")</f>
        <v>Léky (Kč)</v>
      </c>
      <c r="B5" s="27">
        <v>34.631869999999999</v>
      </c>
      <c r="C5" s="29">
        <v>37.606459999999998</v>
      </c>
      <c r="D5" s="8"/>
      <c r="E5" s="107">
        <v>24.859739999999999</v>
      </c>
      <c r="F5" s="28">
        <v>50</v>
      </c>
      <c r="G5" s="106">
        <f>E5-F5</f>
        <v>-25.140260000000001</v>
      </c>
      <c r="H5" s="112">
        <f>IF(F5&lt;0.00000001,"",E5/F5)</f>
        <v>0.49719479999999999</v>
      </c>
    </row>
    <row r="6" spans="1:8" ht="14.4" customHeight="1" x14ac:dyDescent="0.3">
      <c r="A6" s="102" t="str">
        <f>HYPERLINK("#'Materiál Žádanky'!A1","Materiál - SZM (Kč)")</f>
        <v>Materiál - SZM (Kč)</v>
      </c>
      <c r="B6" s="10">
        <v>932.05502999999999</v>
      </c>
      <c r="C6" s="31">
        <v>636.41773999999998</v>
      </c>
      <c r="D6" s="8"/>
      <c r="E6" s="108">
        <v>624.47056000000202</v>
      </c>
      <c r="F6" s="30">
        <v>716</v>
      </c>
      <c r="G6" s="109">
        <f>E6-F6</f>
        <v>-91.529439999997976</v>
      </c>
      <c r="H6" s="113">
        <f>IF(F6&lt;0.00000001,"",E6/F6)</f>
        <v>0.87216558659218157</v>
      </c>
    </row>
    <row r="7" spans="1:8" ht="14.4" customHeight="1" x14ac:dyDescent="0.3">
      <c r="A7" s="282" t="str">
        <f>HYPERLINK("#'Osobní náklady'!A1","Osobní náklady (Kč) *")</f>
        <v>Osobní náklady (Kč) *</v>
      </c>
      <c r="B7" s="10">
        <v>4510.5490600000003</v>
      </c>
      <c r="C7" s="31">
        <v>4128.8028199999999</v>
      </c>
      <c r="D7" s="8"/>
      <c r="E7" s="108">
        <v>4124.16968000001</v>
      </c>
      <c r="F7" s="30">
        <v>5068</v>
      </c>
      <c r="G7" s="109">
        <f>E7-F7</f>
        <v>-943.83031999999002</v>
      </c>
      <c r="H7" s="113">
        <f>IF(F7&lt;0.00000001,"",E7/F7)</f>
        <v>0.81376670876085433</v>
      </c>
    </row>
    <row r="8" spans="1:8" ht="14.4" customHeight="1" thickBot="1" x14ac:dyDescent="0.35">
      <c r="A8" s="1" t="s">
        <v>66</v>
      </c>
      <c r="B8" s="11">
        <v>2179.4757800000002</v>
      </c>
      <c r="C8" s="33">
        <v>1129.5916500000001</v>
      </c>
      <c r="D8" s="8"/>
      <c r="E8" s="110">
        <v>1059.82888</v>
      </c>
      <c r="F8" s="32">
        <v>1299</v>
      </c>
      <c r="G8" s="111">
        <f>E8-F8</f>
        <v>-239.17111999999997</v>
      </c>
      <c r="H8" s="114">
        <f>IF(F8&lt;0.00000001,"",E8/F8)</f>
        <v>0.81588058506543493</v>
      </c>
    </row>
    <row r="9" spans="1:8" ht="14.4" customHeight="1" thickBot="1" x14ac:dyDescent="0.35">
      <c r="A9" s="2" t="s">
        <v>67</v>
      </c>
      <c r="B9" s="3">
        <v>7656.7117399999997</v>
      </c>
      <c r="C9" s="35">
        <v>5932.41867</v>
      </c>
      <c r="D9" s="8"/>
      <c r="E9" s="3">
        <v>5833.3288600000096</v>
      </c>
      <c r="F9" s="34">
        <v>7133</v>
      </c>
      <c r="G9" s="34">
        <f>E9-F9</f>
        <v>-1299.6711399999904</v>
      </c>
      <c r="H9" s="115">
        <f>IF(F9&lt;0.00000001,"",E9/F9)</f>
        <v>0.81779459694378376</v>
      </c>
    </row>
    <row r="10" spans="1:8" ht="14.4" customHeight="1" thickBot="1" x14ac:dyDescent="0.35">
      <c r="A10" s="12"/>
      <c r="B10" s="12"/>
      <c r="C10" s="98"/>
      <c r="D10" s="8"/>
      <c r="E10" s="12"/>
      <c r="F10" s="13"/>
    </row>
    <row r="11" spans="1:8" ht="14.4" customHeight="1" x14ac:dyDescent="0.3">
      <c r="A11" s="123" t="str">
        <f>HYPERLINK("#'ZV Vykáz.-A'!A1","Ambulance *")</f>
        <v>Ambulance *</v>
      </c>
      <c r="B11" s="9">
        <f>IF(ISERROR(VLOOKUP("Celkem:",'ZV Vykáz.-A'!A:F,2,0)),0,VLOOKUP("Celkem:",'ZV Vykáz.-A'!A:F,2,0)/1000)</f>
        <v>3943.5290700000023</v>
      </c>
      <c r="C11" s="29">
        <f>IF(ISERROR(VLOOKUP("Celkem:",'ZV Vykáz.-A'!A:F,4,0)),0,VLOOKUP("Celkem:",'ZV Vykáz.-A'!A:F,4,0)/1000)</f>
        <v>3672.6134299999999</v>
      </c>
      <c r="D11" s="8"/>
      <c r="E11" s="107">
        <f>IF(ISERROR(VLOOKUP("Celkem:",'ZV Vykáz.-A'!A:F,6,0)),0,VLOOKUP("Celkem:",'ZV Vykáz.-A'!A:F,6,0)/1000)</f>
        <v>3817.8099699999993</v>
      </c>
      <c r="F11" s="28">
        <f>B11</f>
        <v>3943.5290700000023</v>
      </c>
      <c r="G11" s="106">
        <f>E11-F11</f>
        <v>-125.71910000000298</v>
      </c>
      <c r="H11" s="112">
        <f>IF(F11&lt;0.00000001,"",E11/F11)</f>
        <v>0.96812015386005434</v>
      </c>
    </row>
    <row r="12" spans="1:8" ht="14.4" customHeight="1" thickBot="1" x14ac:dyDescent="0.35">
      <c r="A12" s="124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110">
        <f>IF(ISERROR(VLOOKUP("Celkem",#REF!,4,0)),0,VLOOKUP("Celkem",#REF!,4,0)*30)</f>
        <v>0</v>
      </c>
      <c r="F12" s="32">
        <f>B12</f>
        <v>0</v>
      </c>
      <c r="G12" s="111">
        <f>E12-F12</f>
        <v>0</v>
      </c>
      <c r="H12" s="114" t="str">
        <f>IF(F12&lt;0.00000001,"",E12/F12)</f>
        <v/>
      </c>
    </row>
    <row r="13" spans="1:8" ht="14.4" customHeight="1" thickBot="1" x14ac:dyDescent="0.35">
      <c r="A13" s="4" t="s">
        <v>70</v>
      </c>
      <c r="B13" s="5">
        <f>SUM(B11:B12)</f>
        <v>3943.5290700000023</v>
      </c>
      <c r="C13" s="37">
        <f>SUM(C11:C12)</f>
        <v>3672.6134299999999</v>
      </c>
      <c r="D13" s="8"/>
      <c r="E13" s="5">
        <f>SUM(E11:E12)</f>
        <v>3817.8099699999993</v>
      </c>
      <c r="F13" s="36">
        <f>SUM(F11:F12)</f>
        <v>3943.5290700000023</v>
      </c>
      <c r="G13" s="36">
        <f>E13-F13</f>
        <v>-125.71910000000298</v>
      </c>
      <c r="H13" s="116">
        <f>IF(F13&lt;0.00000001,"",E13/F13)</f>
        <v>0.96812015386005434</v>
      </c>
    </row>
    <row r="14" spans="1:8" ht="14.4" customHeight="1" thickBot="1" x14ac:dyDescent="0.35">
      <c r="A14" s="12"/>
      <c r="B14" s="12"/>
      <c r="C14" s="98"/>
      <c r="D14" s="8"/>
      <c r="E14" s="12"/>
      <c r="F14" s="13"/>
    </row>
    <row r="15" spans="1:8" ht="14.4" customHeight="1" thickBot="1" x14ac:dyDescent="0.35">
      <c r="A15" s="125" t="str">
        <f>HYPERLINK("#'HI Graf'!A1","Hospodářský index (Výnosy / Náklady) *")</f>
        <v>Hospodářský index (Výnosy / Náklady) *</v>
      </c>
      <c r="B15" s="6">
        <f>IF(B9=0,"",B13/B9)</f>
        <v>0.51504212303021901</v>
      </c>
      <c r="C15" s="39">
        <f>IF(C9=0,"",C13/C9)</f>
        <v>0.61907522619269217</v>
      </c>
      <c r="D15" s="8"/>
      <c r="E15" s="6">
        <f>IF(E9=0,"",E13/E9)</f>
        <v>0.65448221103721438</v>
      </c>
      <c r="F15" s="38">
        <f>IF(F9=0,"",F13/F9)</f>
        <v>0.55285701247721886</v>
      </c>
      <c r="G15" s="38">
        <f>IF(ISERROR(F15-E15),"",E15-F15)</f>
        <v>0.10162519855999552</v>
      </c>
      <c r="H15" s="117">
        <f>IF(ISERROR(F15-E15),"",IF(F15&lt;0.00000001,"",E15/F15))</f>
        <v>1.1838182319595396</v>
      </c>
    </row>
    <row r="17" spans="1:8" ht="14.4" customHeight="1" x14ac:dyDescent="0.3">
      <c r="A17" s="103" t="s">
        <v>139</v>
      </c>
    </row>
    <row r="18" spans="1:8" ht="14.4" customHeight="1" x14ac:dyDescent="0.3">
      <c r="A18" s="284" t="s">
        <v>220</v>
      </c>
      <c r="B18" s="285"/>
      <c r="C18" s="285"/>
      <c r="D18" s="285"/>
      <c r="E18" s="285"/>
      <c r="F18" s="285"/>
      <c r="G18" s="285"/>
      <c r="H18" s="285"/>
    </row>
    <row r="19" spans="1:8" x14ac:dyDescent="0.3">
      <c r="A19" s="283" t="s">
        <v>219</v>
      </c>
      <c r="B19" s="285"/>
      <c r="C19" s="285"/>
      <c r="D19" s="285"/>
      <c r="E19" s="285"/>
      <c r="F19" s="285"/>
      <c r="G19" s="285"/>
      <c r="H19" s="285"/>
    </row>
    <row r="20" spans="1:8" ht="14.4" customHeight="1" x14ac:dyDescent="0.3">
      <c r="A20" s="104" t="s">
        <v>140</v>
      </c>
    </row>
    <row r="21" spans="1:8" ht="14.4" customHeight="1" x14ac:dyDescent="0.3">
      <c r="A21" s="104" t="s">
        <v>141</v>
      </c>
    </row>
    <row r="22" spans="1:8" ht="14.4" customHeight="1" x14ac:dyDescent="0.3">
      <c r="A22" s="105" t="s">
        <v>142</v>
      </c>
    </row>
    <row r="23" spans="1:8" ht="14.4" customHeight="1" x14ac:dyDescent="0.3">
      <c r="A23" s="105" t="s">
        <v>143</v>
      </c>
    </row>
  </sheetData>
  <mergeCells count="4">
    <mergeCell ref="A3:A4"/>
    <mergeCell ref="B4:C4"/>
    <mergeCell ref="E3:H3"/>
    <mergeCell ref="A1:H1"/>
  </mergeCells>
  <conditionalFormatting sqref="F11:F12">
    <cfRule type="dataBar" priority="5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6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36" priority="4" operator="greaterThan">
      <formula>0</formula>
    </cfRule>
  </conditionalFormatting>
  <conditionalFormatting sqref="G11:G13 G15">
    <cfRule type="cellIs" dxfId="35" priority="3" operator="lessThan">
      <formula>0</formula>
    </cfRule>
  </conditionalFormatting>
  <conditionalFormatting sqref="H5:H9">
    <cfRule type="cellIs" dxfId="34" priority="2" operator="greaterThan">
      <formula>1</formula>
    </cfRule>
  </conditionalFormatting>
  <conditionalFormatting sqref="H11:H13 H15">
    <cfRule type="cellIs" dxfId="33" priority="1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20"/>
    <col min="2" max="13" width="8.88671875" style="120" customWidth="1"/>
    <col min="14" max="16384" width="8.88671875" style="120"/>
  </cols>
  <sheetData>
    <row r="1" spans="1:13" ht="18.600000000000001" customHeight="1" thickBot="1" x14ac:dyDescent="0.4">
      <c r="A1" s="290" t="s">
        <v>95</v>
      </c>
      <c r="B1" s="290"/>
      <c r="C1" s="290"/>
      <c r="D1" s="290"/>
      <c r="E1" s="290"/>
      <c r="F1" s="290"/>
      <c r="G1" s="290"/>
      <c r="H1" s="290"/>
      <c r="I1" s="290"/>
      <c r="J1" s="290"/>
      <c r="K1" s="290"/>
      <c r="L1" s="290"/>
      <c r="M1" s="290"/>
    </row>
    <row r="2" spans="1:13" ht="14.4" customHeight="1" x14ac:dyDescent="0.3">
      <c r="A2" s="217" t="s">
        <v>223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</row>
    <row r="3" spans="1:13" ht="14.4" customHeight="1" x14ac:dyDescent="0.3">
      <c r="A3" s="187"/>
      <c r="B3" s="188" t="s">
        <v>72</v>
      </c>
      <c r="C3" s="189" t="s">
        <v>73</v>
      </c>
      <c r="D3" s="189" t="s">
        <v>74</v>
      </c>
      <c r="E3" s="188" t="s">
        <v>75</v>
      </c>
      <c r="F3" s="189" t="s">
        <v>76</v>
      </c>
      <c r="G3" s="189" t="s">
        <v>77</v>
      </c>
      <c r="H3" s="189" t="s">
        <v>78</v>
      </c>
      <c r="I3" s="189" t="s">
        <v>79</v>
      </c>
      <c r="J3" s="189" t="s">
        <v>80</v>
      </c>
      <c r="K3" s="189" t="s">
        <v>81</v>
      </c>
      <c r="L3" s="189" t="s">
        <v>82</v>
      </c>
      <c r="M3" s="189" t="s">
        <v>83</v>
      </c>
    </row>
    <row r="4" spans="1:13" ht="14.4" customHeight="1" x14ac:dyDescent="0.3">
      <c r="A4" s="187" t="s">
        <v>71</v>
      </c>
      <c r="B4" s="190">
        <f>(B10+B8)/B6</f>
        <v>0.78949766060367887</v>
      </c>
      <c r="C4" s="190">
        <f t="shared" ref="C4:M4" si="0">(C10+C8)/C6</f>
        <v>0.65448221103721438</v>
      </c>
      <c r="D4" s="190">
        <f t="shared" si="0"/>
        <v>0.65448221103721438</v>
      </c>
      <c r="E4" s="190">
        <f t="shared" si="0"/>
        <v>0.65448221103721438</v>
      </c>
      <c r="F4" s="190">
        <f t="shared" si="0"/>
        <v>0.65448221103721438</v>
      </c>
      <c r="G4" s="190">
        <f t="shared" si="0"/>
        <v>0.65448221103721438</v>
      </c>
      <c r="H4" s="190">
        <f t="shared" si="0"/>
        <v>0.65448221103721438</v>
      </c>
      <c r="I4" s="190">
        <f t="shared" si="0"/>
        <v>0.65448221103721438</v>
      </c>
      <c r="J4" s="190">
        <f t="shared" si="0"/>
        <v>0.65448221103721438</v>
      </c>
      <c r="K4" s="190">
        <f t="shared" si="0"/>
        <v>0.65448221103721438</v>
      </c>
      <c r="L4" s="190">
        <f t="shared" si="0"/>
        <v>0.65448221103721438</v>
      </c>
      <c r="M4" s="190">
        <f t="shared" si="0"/>
        <v>0.65448221103721438</v>
      </c>
    </row>
    <row r="5" spans="1:13" ht="14.4" customHeight="1" x14ac:dyDescent="0.3">
      <c r="A5" s="191" t="s">
        <v>43</v>
      </c>
      <c r="B5" s="190">
        <f>IF(ISERROR(VLOOKUP($A5,'Man Tab'!$A:$Q,COLUMN()+2,0)),0,VLOOKUP($A5,'Man Tab'!$A:$Q,COLUMN()+2,0))</f>
        <v>2827.1887700000102</v>
      </c>
      <c r="C5" s="190">
        <f>IF(ISERROR(VLOOKUP($A5,'Man Tab'!$A:$Q,COLUMN()+2,0)),0,VLOOKUP($A5,'Man Tab'!$A:$Q,COLUMN()+2,0))</f>
        <v>3006.1400899999999</v>
      </c>
      <c r="D5" s="190">
        <f>IF(ISERROR(VLOOKUP($A5,'Man Tab'!$A:$Q,COLUMN()+2,0)),0,VLOOKUP($A5,'Man Tab'!$A:$Q,COLUMN()+2,0))</f>
        <v>4.9406564584124654E-324</v>
      </c>
      <c r="E5" s="190">
        <f>IF(ISERROR(VLOOKUP($A5,'Man Tab'!$A:$Q,COLUMN()+2,0)),0,VLOOKUP($A5,'Man Tab'!$A:$Q,COLUMN()+2,0))</f>
        <v>4.9406564584124654E-324</v>
      </c>
      <c r="F5" s="190">
        <f>IF(ISERROR(VLOOKUP($A5,'Man Tab'!$A:$Q,COLUMN()+2,0)),0,VLOOKUP($A5,'Man Tab'!$A:$Q,COLUMN()+2,0))</f>
        <v>4.9406564584124654E-324</v>
      </c>
      <c r="G5" s="190">
        <f>IF(ISERROR(VLOOKUP($A5,'Man Tab'!$A:$Q,COLUMN()+2,0)),0,VLOOKUP($A5,'Man Tab'!$A:$Q,COLUMN()+2,0))</f>
        <v>4.9406564584124654E-324</v>
      </c>
      <c r="H5" s="190">
        <f>IF(ISERROR(VLOOKUP($A5,'Man Tab'!$A:$Q,COLUMN()+2,0)),0,VLOOKUP($A5,'Man Tab'!$A:$Q,COLUMN()+2,0))</f>
        <v>4.9406564584124654E-324</v>
      </c>
      <c r="I5" s="190">
        <f>IF(ISERROR(VLOOKUP($A5,'Man Tab'!$A:$Q,COLUMN()+2,0)),0,VLOOKUP($A5,'Man Tab'!$A:$Q,COLUMN()+2,0))</f>
        <v>4.9406564584124654E-324</v>
      </c>
      <c r="J5" s="190">
        <f>IF(ISERROR(VLOOKUP($A5,'Man Tab'!$A:$Q,COLUMN()+2,0)),0,VLOOKUP($A5,'Man Tab'!$A:$Q,COLUMN()+2,0))</f>
        <v>4.9406564584124654E-324</v>
      </c>
      <c r="K5" s="190">
        <f>IF(ISERROR(VLOOKUP($A5,'Man Tab'!$A:$Q,COLUMN()+2,0)),0,VLOOKUP($A5,'Man Tab'!$A:$Q,COLUMN()+2,0))</f>
        <v>4.9406564584124654E-324</v>
      </c>
      <c r="L5" s="190">
        <f>IF(ISERROR(VLOOKUP($A5,'Man Tab'!$A:$Q,COLUMN()+2,0)),0,VLOOKUP($A5,'Man Tab'!$A:$Q,COLUMN()+2,0))</f>
        <v>4.9406564584124654E-324</v>
      </c>
      <c r="M5" s="190">
        <f>IF(ISERROR(VLOOKUP($A5,'Man Tab'!$A:$Q,COLUMN()+2,0)),0,VLOOKUP($A5,'Man Tab'!$A:$Q,COLUMN()+2,0))</f>
        <v>4.9406564584124654E-324</v>
      </c>
    </row>
    <row r="6" spans="1:13" ht="14.4" customHeight="1" x14ac:dyDescent="0.3">
      <c r="A6" s="191" t="s">
        <v>67</v>
      </c>
      <c r="B6" s="192">
        <f>B5</f>
        <v>2827.1887700000102</v>
      </c>
      <c r="C6" s="192">
        <f t="shared" ref="C6:M6" si="1">C5+B6</f>
        <v>5833.3288600000105</v>
      </c>
      <c r="D6" s="192">
        <f t="shared" si="1"/>
        <v>5833.3288600000105</v>
      </c>
      <c r="E6" s="192">
        <f t="shared" si="1"/>
        <v>5833.3288600000105</v>
      </c>
      <c r="F6" s="192">
        <f t="shared" si="1"/>
        <v>5833.3288600000105</v>
      </c>
      <c r="G6" s="192">
        <f t="shared" si="1"/>
        <v>5833.3288600000105</v>
      </c>
      <c r="H6" s="192">
        <f t="shared" si="1"/>
        <v>5833.3288600000105</v>
      </c>
      <c r="I6" s="192">
        <f t="shared" si="1"/>
        <v>5833.3288600000105</v>
      </c>
      <c r="J6" s="192">
        <f t="shared" si="1"/>
        <v>5833.3288600000105</v>
      </c>
      <c r="K6" s="192">
        <f t="shared" si="1"/>
        <v>5833.3288600000105</v>
      </c>
      <c r="L6" s="192">
        <f t="shared" si="1"/>
        <v>5833.3288600000105</v>
      </c>
      <c r="M6" s="192">
        <f t="shared" si="1"/>
        <v>5833.3288600000105</v>
      </c>
    </row>
    <row r="7" spans="1:13" ht="14.4" customHeight="1" x14ac:dyDescent="0.3">
      <c r="A7" s="191" t="s">
        <v>93</v>
      </c>
      <c r="B7" s="191"/>
      <c r="C7" s="191"/>
      <c r="D7" s="191"/>
      <c r="E7" s="191"/>
      <c r="F7" s="191"/>
      <c r="G7" s="191"/>
      <c r="H7" s="191"/>
      <c r="I7" s="191"/>
      <c r="J7" s="191"/>
      <c r="K7" s="191"/>
      <c r="L7" s="191"/>
      <c r="M7" s="191"/>
    </row>
    <row r="8" spans="1:13" ht="14.4" customHeight="1" x14ac:dyDescent="0.3">
      <c r="A8" s="191" t="s">
        <v>68</v>
      </c>
      <c r="B8" s="192">
        <f>B7*30</f>
        <v>0</v>
      </c>
      <c r="C8" s="192">
        <f t="shared" ref="C8:M8" si="2">C7*30</f>
        <v>0</v>
      </c>
      <c r="D8" s="192">
        <f t="shared" si="2"/>
        <v>0</v>
      </c>
      <c r="E8" s="192">
        <f t="shared" si="2"/>
        <v>0</v>
      </c>
      <c r="F8" s="192">
        <f t="shared" si="2"/>
        <v>0</v>
      </c>
      <c r="G8" s="192">
        <f t="shared" si="2"/>
        <v>0</v>
      </c>
      <c r="H8" s="192">
        <f t="shared" si="2"/>
        <v>0</v>
      </c>
      <c r="I8" s="192">
        <f t="shared" si="2"/>
        <v>0</v>
      </c>
      <c r="J8" s="192">
        <f t="shared" si="2"/>
        <v>0</v>
      </c>
      <c r="K8" s="192">
        <f t="shared" si="2"/>
        <v>0</v>
      </c>
      <c r="L8" s="192">
        <f t="shared" si="2"/>
        <v>0</v>
      </c>
      <c r="M8" s="192">
        <f t="shared" si="2"/>
        <v>0</v>
      </c>
    </row>
    <row r="9" spans="1:13" ht="14.4" customHeight="1" x14ac:dyDescent="0.3">
      <c r="A9" s="191" t="s">
        <v>94</v>
      </c>
      <c r="B9" s="191">
        <v>2232058.9200000004</v>
      </c>
      <c r="C9" s="191">
        <v>1585751.0499999993</v>
      </c>
      <c r="D9" s="191">
        <v>0</v>
      </c>
      <c r="E9" s="191">
        <v>0</v>
      </c>
      <c r="F9" s="191">
        <v>0</v>
      </c>
      <c r="G9" s="191">
        <v>0</v>
      </c>
      <c r="H9" s="191">
        <v>0</v>
      </c>
      <c r="I9" s="191">
        <v>0</v>
      </c>
      <c r="J9" s="191">
        <v>0</v>
      </c>
      <c r="K9" s="191">
        <v>0</v>
      </c>
      <c r="L9" s="191">
        <v>0</v>
      </c>
      <c r="M9" s="191">
        <v>0</v>
      </c>
    </row>
    <row r="10" spans="1:13" ht="14.4" customHeight="1" x14ac:dyDescent="0.3">
      <c r="A10" s="191" t="s">
        <v>69</v>
      </c>
      <c r="B10" s="192">
        <f>B9/1000</f>
        <v>2232.0589200000004</v>
      </c>
      <c r="C10" s="192">
        <f t="shared" ref="C10:M10" si="3">C9/1000+B10</f>
        <v>3817.8099699999998</v>
      </c>
      <c r="D10" s="192">
        <f t="shared" si="3"/>
        <v>3817.8099699999998</v>
      </c>
      <c r="E10" s="192">
        <f t="shared" si="3"/>
        <v>3817.8099699999998</v>
      </c>
      <c r="F10" s="192">
        <f t="shared" si="3"/>
        <v>3817.8099699999998</v>
      </c>
      <c r="G10" s="192">
        <f t="shared" si="3"/>
        <v>3817.8099699999998</v>
      </c>
      <c r="H10" s="192">
        <f t="shared" si="3"/>
        <v>3817.8099699999998</v>
      </c>
      <c r="I10" s="192">
        <f t="shared" si="3"/>
        <v>3817.8099699999998</v>
      </c>
      <c r="J10" s="192">
        <f t="shared" si="3"/>
        <v>3817.8099699999998</v>
      </c>
      <c r="K10" s="192">
        <f t="shared" si="3"/>
        <v>3817.8099699999998</v>
      </c>
      <c r="L10" s="192">
        <f t="shared" si="3"/>
        <v>3817.8099699999998</v>
      </c>
      <c r="M10" s="192">
        <f t="shared" si="3"/>
        <v>3817.8099699999998</v>
      </c>
    </row>
    <row r="11" spans="1:13" ht="14.4" customHeight="1" x14ac:dyDescent="0.3">
      <c r="A11" s="187"/>
      <c r="B11" s="187" t="s">
        <v>84</v>
      </c>
      <c r="C11" s="187">
        <f>COUNTIF(B7:M7,"&lt;&gt;")</f>
        <v>0</v>
      </c>
      <c r="D11" s="187"/>
      <c r="E11" s="187"/>
      <c r="F11" s="187"/>
      <c r="G11" s="187"/>
      <c r="H11" s="187"/>
      <c r="I11" s="187"/>
      <c r="J11" s="187"/>
      <c r="K11" s="187"/>
      <c r="L11" s="187"/>
      <c r="M11" s="187"/>
    </row>
    <row r="12" spans="1:13" ht="14.4" customHeight="1" x14ac:dyDescent="0.3">
      <c r="A12" s="187">
        <v>0</v>
      </c>
      <c r="B12" s="190">
        <f>IF(ISERROR(HI!F15),#REF!,HI!F15)</f>
        <v>0.55285701247721886</v>
      </c>
      <c r="C12" s="187"/>
      <c r="D12" s="187"/>
      <c r="E12" s="187"/>
      <c r="F12" s="187"/>
      <c r="G12" s="187"/>
      <c r="H12" s="187"/>
      <c r="I12" s="187"/>
      <c r="J12" s="187"/>
      <c r="K12" s="187"/>
      <c r="L12" s="187"/>
      <c r="M12" s="187"/>
    </row>
    <row r="13" spans="1:13" ht="14.4" customHeight="1" x14ac:dyDescent="0.3">
      <c r="A13" s="187">
        <v>1</v>
      </c>
      <c r="B13" s="190">
        <f>IF(ISERROR(HI!F15),#REF!,HI!F15)</f>
        <v>0.55285701247721886</v>
      </c>
      <c r="C13" s="187"/>
      <c r="D13" s="187"/>
      <c r="E13" s="187"/>
      <c r="F13" s="187"/>
      <c r="G13" s="187"/>
      <c r="H13" s="187"/>
      <c r="I13" s="187"/>
      <c r="J13" s="187"/>
      <c r="K13" s="187"/>
      <c r="L13" s="187"/>
      <c r="M13" s="187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20" bestFit="1" customWidth="1"/>
    <col min="2" max="2" width="12.77734375" style="120" bestFit="1" customWidth="1"/>
    <col min="3" max="3" width="13.6640625" style="120" bestFit="1" customWidth="1"/>
    <col min="4" max="15" width="7.77734375" style="120" bestFit="1" customWidth="1"/>
    <col min="16" max="16" width="8.88671875" style="120" customWidth="1"/>
    <col min="17" max="17" width="6.6640625" style="120" bestFit="1" customWidth="1"/>
    <col min="18" max="16384" width="8.88671875" style="120"/>
  </cols>
  <sheetData>
    <row r="1" spans="1:17" s="193" customFormat="1" ht="18.600000000000001" customHeight="1" thickBot="1" x14ac:dyDescent="0.4">
      <c r="A1" s="299" t="s">
        <v>225</v>
      </c>
      <c r="B1" s="299"/>
      <c r="C1" s="299"/>
      <c r="D1" s="299"/>
      <c r="E1" s="299"/>
      <c r="F1" s="299"/>
      <c r="G1" s="299"/>
      <c r="H1" s="290"/>
      <c r="I1" s="290"/>
      <c r="J1" s="290"/>
      <c r="K1" s="290"/>
      <c r="L1" s="290"/>
      <c r="M1" s="290"/>
      <c r="N1" s="290"/>
      <c r="O1" s="290"/>
      <c r="P1" s="290"/>
      <c r="Q1" s="290"/>
    </row>
    <row r="2" spans="1:17" s="193" customFormat="1" ht="14.4" customHeight="1" thickBot="1" x14ac:dyDescent="0.3">
      <c r="A2" s="217" t="s">
        <v>223</v>
      </c>
      <c r="B2" s="194"/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194"/>
      <c r="N2" s="194"/>
      <c r="O2" s="194"/>
      <c r="P2" s="194"/>
      <c r="Q2" s="194"/>
    </row>
    <row r="3" spans="1:17" ht="14.4" customHeight="1" x14ac:dyDescent="0.3">
      <c r="A3" s="68"/>
      <c r="B3" s="300" t="s">
        <v>19</v>
      </c>
      <c r="C3" s="301"/>
      <c r="D3" s="301"/>
      <c r="E3" s="301"/>
      <c r="F3" s="301"/>
      <c r="G3" s="301"/>
      <c r="H3" s="301"/>
      <c r="I3" s="301"/>
      <c r="J3" s="301"/>
      <c r="K3" s="301"/>
      <c r="L3" s="301"/>
      <c r="M3" s="301"/>
      <c r="N3" s="301"/>
      <c r="O3" s="301"/>
      <c r="P3" s="128"/>
      <c r="Q3" s="130"/>
    </row>
    <row r="4" spans="1:17" ht="14.4" customHeight="1" x14ac:dyDescent="0.3">
      <c r="A4" s="69"/>
      <c r="B4" s="20">
        <v>2014</v>
      </c>
      <c r="C4" s="129" t="s">
        <v>20</v>
      </c>
      <c r="D4" s="119" t="s">
        <v>147</v>
      </c>
      <c r="E4" s="119" t="s">
        <v>148</v>
      </c>
      <c r="F4" s="119" t="s">
        <v>149</v>
      </c>
      <c r="G4" s="119" t="s">
        <v>150</v>
      </c>
      <c r="H4" s="119" t="s">
        <v>151</v>
      </c>
      <c r="I4" s="119" t="s">
        <v>152</v>
      </c>
      <c r="J4" s="119" t="s">
        <v>153</v>
      </c>
      <c r="K4" s="119" t="s">
        <v>154</v>
      </c>
      <c r="L4" s="119" t="s">
        <v>155</v>
      </c>
      <c r="M4" s="119" t="s">
        <v>156</v>
      </c>
      <c r="N4" s="119" t="s">
        <v>157</v>
      </c>
      <c r="O4" s="119" t="s">
        <v>158</v>
      </c>
      <c r="P4" s="302" t="s">
        <v>6</v>
      </c>
      <c r="Q4" s="303"/>
    </row>
    <row r="5" spans="1:17" ht="14.4" customHeight="1" thickBot="1" x14ac:dyDescent="0.35">
      <c r="A5" s="70"/>
      <c r="B5" s="21" t="s">
        <v>21</v>
      </c>
      <c r="C5" s="22" t="s">
        <v>21</v>
      </c>
      <c r="D5" s="22" t="s">
        <v>22</v>
      </c>
      <c r="E5" s="22" t="s">
        <v>22</v>
      </c>
      <c r="F5" s="22" t="s">
        <v>22</v>
      </c>
      <c r="G5" s="22" t="s">
        <v>22</v>
      </c>
      <c r="H5" s="22" t="s">
        <v>22</v>
      </c>
      <c r="I5" s="22" t="s">
        <v>22</v>
      </c>
      <c r="J5" s="22" t="s">
        <v>22</v>
      </c>
      <c r="K5" s="22" t="s">
        <v>22</v>
      </c>
      <c r="L5" s="22" t="s">
        <v>22</v>
      </c>
      <c r="M5" s="22" t="s">
        <v>22</v>
      </c>
      <c r="N5" s="22" t="s">
        <v>22</v>
      </c>
      <c r="O5" s="22" t="s">
        <v>22</v>
      </c>
      <c r="P5" s="22" t="s">
        <v>22</v>
      </c>
      <c r="Q5" s="23" t="s">
        <v>23</v>
      </c>
    </row>
    <row r="6" spans="1:17" ht="14.4" customHeight="1" x14ac:dyDescent="0.3">
      <c r="A6" s="14" t="s">
        <v>24</v>
      </c>
      <c r="B6" s="48">
        <v>4.9406564584124654E-324</v>
      </c>
      <c r="C6" s="49">
        <v>0</v>
      </c>
      <c r="D6" s="49">
        <v>4.9406564584124654E-324</v>
      </c>
      <c r="E6" s="49">
        <v>4.9406564584124654E-324</v>
      </c>
      <c r="F6" s="49">
        <v>4.9406564584124654E-324</v>
      </c>
      <c r="G6" s="49">
        <v>4.9406564584124654E-324</v>
      </c>
      <c r="H6" s="49">
        <v>4.9406564584124654E-324</v>
      </c>
      <c r="I6" s="49">
        <v>4.9406564584124654E-324</v>
      </c>
      <c r="J6" s="49">
        <v>4.9406564584124654E-324</v>
      </c>
      <c r="K6" s="49">
        <v>4.9406564584124654E-324</v>
      </c>
      <c r="L6" s="49">
        <v>4.9406564584124654E-324</v>
      </c>
      <c r="M6" s="49">
        <v>4.9406564584124654E-324</v>
      </c>
      <c r="N6" s="49">
        <v>4.9406564584124654E-324</v>
      </c>
      <c r="O6" s="49">
        <v>4.9406564584124654E-324</v>
      </c>
      <c r="P6" s="50">
        <v>9.8813129168249309E-324</v>
      </c>
      <c r="Q6" s="82" t="s">
        <v>224</v>
      </c>
    </row>
    <row r="7" spans="1:17" ht="14.4" customHeight="1" x14ac:dyDescent="0.3">
      <c r="A7" s="15" t="s">
        <v>25</v>
      </c>
      <c r="B7" s="51">
        <v>275.76606941463501</v>
      </c>
      <c r="C7" s="52">
        <v>22.980505784552001</v>
      </c>
      <c r="D7" s="52">
        <v>0.4083</v>
      </c>
      <c r="E7" s="52">
        <v>24.451440000000002</v>
      </c>
      <c r="F7" s="52">
        <v>4.9406564584124654E-324</v>
      </c>
      <c r="G7" s="52">
        <v>4.9406564584124654E-324</v>
      </c>
      <c r="H7" s="52">
        <v>4.9406564584124654E-324</v>
      </c>
      <c r="I7" s="52">
        <v>4.9406564584124654E-324</v>
      </c>
      <c r="J7" s="52">
        <v>4.9406564584124654E-324</v>
      </c>
      <c r="K7" s="52">
        <v>4.9406564584124654E-324</v>
      </c>
      <c r="L7" s="52">
        <v>4.9406564584124654E-324</v>
      </c>
      <c r="M7" s="52">
        <v>4.9406564584124654E-324</v>
      </c>
      <c r="N7" s="52">
        <v>4.9406564584124654E-324</v>
      </c>
      <c r="O7" s="52">
        <v>4.9406564584124654E-324</v>
      </c>
      <c r="P7" s="53">
        <v>24.859739999999999</v>
      </c>
      <c r="Q7" s="83">
        <v>0.54088757299400003</v>
      </c>
    </row>
    <row r="8" spans="1:17" ht="14.4" customHeight="1" x14ac:dyDescent="0.3">
      <c r="A8" s="15" t="s">
        <v>26</v>
      </c>
      <c r="B8" s="51">
        <v>4.9406564584124654E-324</v>
      </c>
      <c r="C8" s="52">
        <v>0</v>
      </c>
      <c r="D8" s="52">
        <v>4.9406564584124654E-324</v>
      </c>
      <c r="E8" s="52">
        <v>4.9406564584124654E-324</v>
      </c>
      <c r="F8" s="52">
        <v>4.9406564584124654E-324</v>
      </c>
      <c r="G8" s="52">
        <v>4.9406564584124654E-324</v>
      </c>
      <c r="H8" s="52">
        <v>4.9406564584124654E-324</v>
      </c>
      <c r="I8" s="52">
        <v>4.9406564584124654E-324</v>
      </c>
      <c r="J8" s="52">
        <v>4.9406564584124654E-324</v>
      </c>
      <c r="K8" s="52">
        <v>4.9406564584124654E-324</v>
      </c>
      <c r="L8" s="52">
        <v>4.9406564584124654E-324</v>
      </c>
      <c r="M8" s="52">
        <v>4.9406564584124654E-324</v>
      </c>
      <c r="N8" s="52">
        <v>4.9406564584124654E-324</v>
      </c>
      <c r="O8" s="52">
        <v>4.9406564584124654E-324</v>
      </c>
      <c r="P8" s="53">
        <v>9.8813129168249309E-324</v>
      </c>
      <c r="Q8" s="83" t="s">
        <v>224</v>
      </c>
    </row>
    <row r="9" spans="1:17" ht="14.4" customHeight="1" x14ac:dyDescent="0.3">
      <c r="A9" s="15" t="s">
        <v>27</v>
      </c>
      <c r="B9" s="51">
        <v>3908.1858196879398</v>
      </c>
      <c r="C9" s="52">
        <v>325.68215164066203</v>
      </c>
      <c r="D9" s="52">
        <v>305.078020000001</v>
      </c>
      <c r="E9" s="52">
        <v>319.39254</v>
      </c>
      <c r="F9" s="52">
        <v>4.9406564584124654E-324</v>
      </c>
      <c r="G9" s="52">
        <v>4.9406564584124654E-324</v>
      </c>
      <c r="H9" s="52">
        <v>4.9406564584124654E-324</v>
      </c>
      <c r="I9" s="52">
        <v>4.9406564584124654E-324</v>
      </c>
      <c r="J9" s="52">
        <v>4.9406564584124654E-324</v>
      </c>
      <c r="K9" s="52">
        <v>4.9406564584124654E-324</v>
      </c>
      <c r="L9" s="52">
        <v>4.9406564584124654E-324</v>
      </c>
      <c r="M9" s="52">
        <v>4.9406564584124654E-324</v>
      </c>
      <c r="N9" s="52">
        <v>4.9406564584124654E-324</v>
      </c>
      <c r="O9" s="52">
        <v>4.9406564584124654E-324</v>
      </c>
      <c r="P9" s="53">
        <v>624.47056000000202</v>
      </c>
      <c r="Q9" s="83">
        <v>0.95871167157000003</v>
      </c>
    </row>
    <row r="10" spans="1:17" ht="14.4" customHeight="1" x14ac:dyDescent="0.3">
      <c r="A10" s="15" t="s">
        <v>28</v>
      </c>
      <c r="B10" s="51">
        <v>0</v>
      </c>
      <c r="C10" s="52">
        <v>0</v>
      </c>
      <c r="D10" s="52">
        <v>4.9406564584124654E-324</v>
      </c>
      <c r="E10" s="52">
        <v>4.9406564584124654E-324</v>
      </c>
      <c r="F10" s="52">
        <v>4.9406564584124654E-324</v>
      </c>
      <c r="G10" s="52">
        <v>4.9406564584124654E-324</v>
      </c>
      <c r="H10" s="52">
        <v>4.9406564584124654E-324</v>
      </c>
      <c r="I10" s="52">
        <v>4.9406564584124654E-324</v>
      </c>
      <c r="J10" s="52">
        <v>4.9406564584124654E-324</v>
      </c>
      <c r="K10" s="52">
        <v>4.9406564584124654E-324</v>
      </c>
      <c r="L10" s="52">
        <v>4.9406564584124654E-324</v>
      </c>
      <c r="M10" s="52">
        <v>4.9406564584124654E-324</v>
      </c>
      <c r="N10" s="52">
        <v>4.9406564584124654E-324</v>
      </c>
      <c r="O10" s="52">
        <v>4.9406564584124654E-324</v>
      </c>
      <c r="P10" s="53">
        <v>9.8813129168249309E-324</v>
      </c>
      <c r="Q10" s="83" t="s">
        <v>224</v>
      </c>
    </row>
    <row r="11" spans="1:17" ht="14.4" customHeight="1" x14ac:dyDescent="0.3">
      <c r="A11" s="15" t="s">
        <v>29</v>
      </c>
      <c r="B11" s="51">
        <v>633.99054647966898</v>
      </c>
      <c r="C11" s="52">
        <v>52.832545539972003</v>
      </c>
      <c r="D11" s="52">
        <v>21.137740000000001</v>
      </c>
      <c r="E11" s="52">
        <v>42.17774</v>
      </c>
      <c r="F11" s="52">
        <v>4.9406564584124654E-324</v>
      </c>
      <c r="G11" s="52">
        <v>4.9406564584124654E-324</v>
      </c>
      <c r="H11" s="52">
        <v>4.9406564584124654E-324</v>
      </c>
      <c r="I11" s="52">
        <v>4.9406564584124654E-324</v>
      </c>
      <c r="J11" s="52">
        <v>4.9406564584124654E-324</v>
      </c>
      <c r="K11" s="52">
        <v>4.9406564584124654E-324</v>
      </c>
      <c r="L11" s="52">
        <v>4.9406564584124654E-324</v>
      </c>
      <c r="M11" s="52">
        <v>4.9406564584124654E-324</v>
      </c>
      <c r="N11" s="52">
        <v>4.9406564584124654E-324</v>
      </c>
      <c r="O11" s="52">
        <v>4.9406564584124654E-324</v>
      </c>
      <c r="P11" s="53">
        <v>63.315480000000001</v>
      </c>
      <c r="Q11" s="83">
        <v>0.59920906093799997</v>
      </c>
    </row>
    <row r="12" spans="1:17" ht="14.4" customHeight="1" x14ac:dyDescent="0.3">
      <c r="A12" s="15" t="s">
        <v>30</v>
      </c>
      <c r="B12" s="51">
        <v>59.435216117666002</v>
      </c>
      <c r="C12" s="52">
        <v>4.9529346764720001</v>
      </c>
      <c r="D12" s="52">
        <v>2.859</v>
      </c>
      <c r="E12" s="52">
        <v>1.90093</v>
      </c>
      <c r="F12" s="52">
        <v>4.9406564584124654E-324</v>
      </c>
      <c r="G12" s="52">
        <v>4.9406564584124654E-324</v>
      </c>
      <c r="H12" s="52">
        <v>4.9406564584124654E-324</v>
      </c>
      <c r="I12" s="52">
        <v>4.9406564584124654E-324</v>
      </c>
      <c r="J12" s="52">
        <v>4.9406564584124654E-324</v>
      </c>
      <c r="K12" s="52">
        <v>4.9406564584124654E-324</v>
      </c>
      <c r="L12" s="52">
        <v>4.9406564584124654E-324</v>
      </c>
      <c r="M12" s="52">
        <v>4.9406564584124654E-324</v>
      </c>
      <c r="N12" s="52">
        <v>4.9406564584124654E-324</v>
      </c>
      <c r="O12" s="52">
        <v>4.9406564584124654E-324</v>
      </c>
      <c r="P12" s="53">
        <v>4.7599299999999998</v>
      </c>
      <c r="Q12" s="83">
        <v>0.48051612941799998</v>
      </c>
    </row>
    <row r="13" spans="1:17" ht="14.4" customHeight="1" x14ac:dyDescent="0.3">
      <c r="A13" s="15" t="s">
        <v>31</v>
      </c>
      <c r="B13" s="51">
        <v>130.97194802735399</v>
      </c>
      <c r="C13" s="52">
        <v>10.914329002279</v>
      </c>
      <c r="D13" s="52">
        <v>5.6077399999999997</v>
      </c>
      <c r="E13" s="52">
        <v>8.3275000000000006</v>
      </c>
      <c r="F13" s="52">
        <v>4.9406564584124654E-324</v>
      </c>
      <c r="G13" s="52">
        <v>4.9406564584124654E-324</v>
      </c>
      <c r="H13" s="52">
        <v>4.9406564584124654E-324</v>
      </c>
      <c r="I13" s="52">
        <v>4.9406564584124654E-324</v>
      </c>
      <c r="J13" s="52">
        <v>4.9406564584124654E-324</v>
      </c>
      <c r="K13" s="52">
        <v>4.9406564584124654E-324</v>
      </c>
      <c r="L13" s="52">
        <v>4.9406564584124654E-324</v>
      </c>
      <c r="M13" s="52">
        <v>4.9406564584124654E-324</v>
      </c>
      <c r="N13" s="52">
        <v>4.9406564584124654E-324</v>
      </c>
      <c r="O13" s="52">
        <v>4.9406564584124654E-324</v>
      </c>
      <c r="P13" s="53">
        <v>13.93524</v>
      </c>
      <c r="Q13" s="83">
        <v>0.63839197064099995</v>
      </c>
    </row>
    <row r="14" spans="1:17" ht="14.4" customHeight="1" x14ac:dyDescent="0.3">
      <c r="A14" s="15" t="s">
        <v>32</v>
      </c>
      <c r="B14" s="51">
        <v>2000.48672618874</v>
      </c>
      <c r="C14" s="52">
        <v>166.707227182395</v>
      </c>
      <c r="D14" s="52">
        <v>175.691000000001</v>
      </c>
      <c r="E14" s="52">
        <v>170.971</v>
      </c>
      <c r="F14" s="52">
        <v>4.9406564584124654E-324</v>
      </c>
      <c r="G14" s="52">
        <v>4.9406564584124654E-324</v>
      </c>
      <c r="H14" s="52">
        <v>4.9406564584124654E-324</v>
      </c>
      <c r="I14" s="52">
        <v>4.9406564584124654E-324</v>
      </c>
      <c r="J14" s="52">
        <v>4.9406564584124654E-324</v>
      </c>
      <c r="K14" s="52">
        <v>4.9406564584124654E-324</v>
      </c>
      <c r="L14" s="52">
        <v>4.9406564584124654E-324</v>
      </c>
      <c r="M14" s="52">
        <v>4.9406564584124654E-324</v>
      </c>
      <c r="N14" s="52">
        <v>4.9406564584124654E-324</v>
      </c>
      <c r="O14" s="52">
        <v>4.9406564584124654E-324</v>
      </c>
      <c r="P14" s="53">
        <v>346.662000000001</v>
      </c>
      <c r="Q14" s="83">
        <v>1.0397329673669999</v>
      </c>
    </row>
    <row r="15" spans="1:17" ht="14.4" customHeight="1" x14ac:dyDescent="0.3">
      <c r="A15" s="15" t="s">
        <v>33</v>
      </c>
      <c r="B15" s="51">
        <v>4.9406564584124654E-324</v>
      </c>
      <c r="C15" s="52">
        <v>0</v>
      </c>
      <c r="D15" s="52">
        <v>4.9406564584124654E-324</v>
      </c>
      <c r="E15" s="52">
        <v>4.9406564584124654E-324</v>
      </c>
      <c r="F15" s="52">
        <v>4.9406564584124654E-324</v>
      </c>
      <c r="G15" s="52">
        <v>4.9406564584124654E-324</v>
      </c>
      <c r="H15" s="52">
        <v>4.9406564584124654E-324</v>
      </c>
      <c r="I15" s="52">
        <v>4.9406564584124654E-324</v>
      </c>
      <c r="J15" s="52">
        <v>4.9406564584124654E-324</v>
      </c>
      <c r="K15" s="52">
        <v>4.9406564584124654E-324</v>
      </c>
      <c r="L15" s="52">
        <v>4.9406564584124654E-324</v>
      </c>
      <c r="M15" s="52">
        <v>4.9406564584124654E-324</v>
      </c>
      <c r="N15" s="52">
        <v>4.9406564584124654E-324</v>
      </c>
      <c r="O15" s="52">
        <v>4.9406564584124654E-324</v>
      </c>
      <c r="P15" s="53">
        <v>9.8813129168249309E-324</v>
      </c>
      <c r="Q15" s="83" t="s">
        <v>224</v>
      </c>
    </row>
    <row r="16" spans="1:17" ht="14.4" customHeight="1" x14ac:dyDescent="0.3">
      <c r="A16" s="15" t="s">
        <v>34</v>
      </c>
      <c r="B16" s="51">
        <v>4.9406564584124654E-324</v>
      </c>
      <c r="C16" s="52">
        <v>0</v>
      </c>
      <c r="D16" s="52">
        <v>4.9406564584124654E-324</v>
      </c>
      <c r="E16" s="52">
        <v>4.9406564584124654E-324</v>
      </c>
      <c r="F16" s="52">
        <v>4.9406564584124654E-324</v>
      </c>
      <c r="G16" s="52">
        <v>4.9406564584124654E-324</v>
      </c>
      <c r="H16" s="52">
        <v>4.9406564584124654E-324</v>
      </c>
      <c r="I16" s="52">
        <v>4.9406564584124654E-324</v>
      </c>
      <c r="J16" s="52">
        <v>4.9406564584124654E-324</v>
      </c>
      <c r="K16" s="52">
        <v>4.9406564584124654E-324</v>
      </c>
      <c r="L16" s="52">
        <v>4.9406564584124654E-324</v>
      </c>
      <c r="M16" s="52">
        <v>4.9406564584124654E-324</v>
      </c>
      <c r="N16" s="52">
        <v>4.9406564584124654E-324</v>
      </c>
      <c r="O16" s="52">
        <v>4.9406564584124654E-324</v>
      </c>
      <c r="P16" s="53">
        <v>9.8813129168249309E-324</v>
      </c>
      <c r="Q16" s="83" t="s">
        <v>224</v>
      </c>
    </row>
    <row r="17" spans="1:17" ht="14.4" customHeight="1" x14ac:dyDescent="0.3">
      <c r="A17" s="15" t="s">
        <v>35</v>
      </c>
      <c r="B17" s="51">
        <v>600.45396722338796</v>
      </c>
      <c r="C17" s="52">
        <v>50.037830601948997</v>
      </c>
      <c r="D17" s="52">
        <v>39.60286</v>
      </c>
      <c r="E17" s="52">
        <v>123.42337000000001</v>
      </c>
      <c r="F17" s="52">
        <v>4.9406564584124654E-324</v>
      </c>
      <c r="G17" s="52">
        <v>4.9406564584124654E-324</v>
      </c>
      <c r="H17" s="52">
        <v>4.9406564584124654E-324</v>
      </c>
      <c r="I17" s="52">
        <v>4.9406564584124654E-324</v>
      </c>
      <c r="J17" s="52">
        <v>4.9406564584124654E-324</v>
      </c>
      <c r="K17" s="52">
        <v>4.9406564584124654E-324</v>
      </c>
      <c r="L17" s="52">
        <v>4.9406564584124654E-324</v>
      </c>
      <c r="M17" s="52">
        <v>4.9406564584124654E-324</v>
      </c>
      <c r="N17" s="52">
        <v>4.9406564584124654E-324</v>
      </c>
      <c r="O17" s="52">
        <v>4.9406564584124654E-324</v>
      </c>
      <c r="P17" s="53">
        <v>163.02623</v>
      </c>
      <c r="Q17" s="83">
        <v>1.6290297564739999</v>
      </c>
    </row>
    <row r="18" spans="1:17" ht="14.4" customHeight="1" x14ac:dyDescent="0.3">
      <c r="A18" s="15" t="s">
        <v>36</v>
      </c>
      <c r="B18" s="51">
        <v>0</v>
      </c>
      <c r="C18" s="52">
        <v>0</v>
      </c>
      <c r="D18" s="52">
        <v>4.9406564584124654E-324</v>
      </c>
      <c r="E18" s="52">
        <v>4.9406564584124654E-324</v>
      </c>
      <c r="F18" s="52">
        <v>4.9406564584124654E-324</v>
      </c>
      <c r="G18" s="52">
        <v>4.9406564584124654E-324</v>
      </c>
      <c r="H18" s="52">
        <v>4.9406564584124654E-324</v>
      </c>
      <c r="I18" s="52">
        <v>4.9406564584124654E-324</v>
      </c>
      <c r="J18" s="52">
        <v>4.9406564584124654E-324</v>
      </c>
      <c r="K18" s="52">
        <v>4.9406564584124654E-324</v>
      </c>
      <c r="L18" s="52">
        <v>4.9406564584124654E-324</v>
      </c>
      <c r="M18" s="52">
        <v>4.9406564584124654E-324</v>
      </c>
      <c r="N18" s="52">
        <v>4.9406564584124654E-324</v>
      </c>
      <c r="O18" s="52">
        <v>4.9406564584124654E-324</v>
      </c>
      <c r="P18" s="53">
        <v>9.8813129168249309E-324</v>
      </c>
      <c r="Q18" s="83" t="s">
        <v>224</v>
      </c>
    </row>
    <row r="19" spans="1:17" ht="14.4" customHeight="1" x14ac:dyDescent="0.3">
      <c r="A19" s="15" t="s">
        <v>37</v>
      </c>
      <c r="B19" s="51">
        <v>2825.55280114267</v>
      </c>
      <c r="C19" s="52">
        <v>235.462733428555</v>
      </c>
      <c r="D19" s="52">
        <v>150.403940000001</v>
      </c>
      <c r="E19" s="52">
        <v>160.62440000000001</v>
      </c>
      <c r="F19" s="52">
        <v>4.9406564584124654E-324</v>
      </c>
      <c r="G19" s="52">
        <v>4.9406564584124654E-324</v>
      </c>
      <c r="H19" s="52">
        <v>4.9406564584124654E-324</v>
      </c>
      <c r="I19" s="52">
        <v>4.9406564584124654E-324</v>
      </c>
      <c r="J19" s="52">
        <v>4.9406564584124654E-324</v>
      </c>
      <c r="K19" s="52">
        <v>4.9406564584124654E-324</v>
      </c>
      <c r="L19" s="52">
        <v>4.9406564584124654E-324</v>
      </c>
      <c r="M19" s="52">
        <v>4.9406564584124654E-324</v>
      </c>
      <c r="N19" s="52">
        <v>4.9406564584124654E-324</v>
      </c>
      <c r="O19" s="52">
        <v>4.9406564584124654E-324</v>
      </c>
      <c r="P19" s="53">
        <v>311.02834000000098</v>
      </c>
      <c r="Q19" s="83">
        <v>0.66046192421000005</v>
      </c>
    </row>
    <row r="20" spans="1:17" ht="14.4" customHeight="1" x14ac:dyDescent="0.3">
      <c r="A20" s="15" t="s">
        <v>38</v>
      </c>
      <c r="B20" s="51">
        <v>27891.137076979801</v>
      </c>
      <c r="C20" s="52">
        <v>2324.2614230816498</v>
      </c>
      <c r="D20" s="52">
        <v>2049.0186700000099</v>
      </c>
      <c r="E20" s="52">
        <v>2075.15101</v>
      </c>
      <c r="F20" s="52">
        <v>4.9406564584124654E-324</v>
      </c>
      <c r="G20" s="52">
        <v>4.9406564584124654E-324</v>
      </c>
      <c r="H20" s="52">
        <v>4.9406564584124654E-324</v>
      </c>
      <c r="I20" s="52">
        <v>4.9406564584124654E-324</v>
      </c>
      <c r="J20" s="52">
        <v>4.9406564584124654E-324</v>
      </c>
      <c r="K20" s="52">
        <v>4.9406564584124654E-324</v>
      </c>
      <c r="L20" s="52">
        <v>4.9406564584124654E-324</v>
      </c>
      <c r="M20" s="52">
        <v>4.9406564584124654E-324</v>
      </c>
      <c r="N20" s="52">
        <v>4.9406564584124654E-324</v>
      </c>
      <c r="O20" s="52">
        <v>4.9406564584124654E-324</v>
      </c>
      <c r="P20" s="53">
        <v>4124.16968000001</v>
      </c>
      <c r="Q20" s="83">
        <v>0.88720004536499997</v>
      </c>
    </row>
    <row r="21" spans="1:17" ht="14.4" customHeight="1" x14ac:dyDescent="0.3">
      <c r="A21" s="16" t="s">
        <v>39</v>
      </c>
      <c r="B21" s="51">
        <v>896.99812455183803</v>
      </c>
      <c r="C21" s="52">
        <v>74.749843712653004</v>
      </c>
      <c r="D21" s="52">
        <v>76.263000000000005</v>
      </c>
      <c r="E21" s="52">
        <v>79.722999999999999</v>
      </c>
      <c r="F21" s="52">
        <v>1.4821969375237396E-323</v>
      </c>
      <c r="G21" s="52">
        <v>1.4821969375237396E-323</v>
      </c>
      <c r="H21" s="52">
        <v>1.4821969375237396E-323</v>
      </c>
      <c r="I21" s="52">
        <v>1.4821969375237396E-323</v>
      </c>
      <c r="J21" s="52">
        <v>1.4821969375237396E-323</v>
      </c>
      <c r="K21" s="52">
        <v>1.4821969375237396E-323</v>
      </c>
      <c r="L21" s="52">
        <v>1.4821969375237396E-323</v>
      </c>
      <c r="M21" s="52">
        <v>1.4821969375237396E-323</v>
      </c>
      <c r="N21" s="52">
        <v>1.4821969375237396E-323</v>
      </c>
      <c r="O21" s="52">
        <v>1.4821969375237396E-323</v>
      </c>
      <c r="P21" s="53">
        <v>155.98599999999999</v>
      </c>
      <c r="Q21" s="83">
        <v>1.043386796898</v>
      </c>
    </row>
    <row r="22" spans="1:17" ht="14.4" customHeight="1" x14ac:dyDescent="0.3">
      <c r="A22" s="15" t="s">
        <v>40</v>
      </c>
      <c r="B22" s="51">
        <v>0</v>
      </c>
      <c r="C22" s="52">
        <v>0</v>
      </c>
      <c r="D22" s="52">
        <v>4.9406564584124654E-324</v>
      </c>
      <c r="E22" s="52">
        <v>4.9406564584124654E-324</v>
      </c>
      <c r="F22" s="52">
        <v>4.9406564584124654E-324</v>
      </c>
      <c r="G22" s="52">
        <v>4.9406564584124654E-324</v>
      </c>
      <c r="H22" s="52">
        <v>4.9406564584124654E-324</v>
      </c>
      <c r="I22" s="52">
        <v>4.9406564584124654E-324</v>
      </c>
      <c r="J22" s="52">
        <v>4.9406564584124654E-324</v>
      </c>
      <c r="K22" s="52">
        <v>4.9406564584124654E-324</v>
      </c>
      <c r="L22" s="52">
        <v>4.9406564584124654E-324</v>
      </c>
      <c r="M22" s="52">
        <v>4.9406564584124654E-324</v>
      </c>
      <c r="N22" s="52">
        <v>4.9406564584124654E-324</v>
      </c>
      <c r="O22" s="52">
        <v>4.9406564584124654E-324</v>
      </c>
      <c r="P22" s="53">
        <v>9.8813129168249309E-324</v>
      </c>
      <c r="Q22" s="83" t="s">
        <v>224</v>
      </c>
    </row>
    <row r="23" spans="1:17" ht="14.4" customHeight="1" x14ac:dyDescent="0.3">
      <c r="A23" s="16" t="s">
        <v>41</v>
      </c>
      <c r="B23" s="51">
        <v>1.9762625833649862E-323</v>
      </c>
      <c r="C23" s="52">
        <v>0</v>
      </c>
      <c r="D23" s="52">
        <v>1.9762625833649862E-323</v>
      </c>
      <c r="E23" s="52">
        <v>1.9762625833649862E-323</v>
      </c>
      <c r="F23" s="52">
        <v>1.9762625833649862E-323</v>
      </c>
      <c r="G23" s="52">
        <v>1.9762625833649862E-323</v>
      </c>
      <c r="H23" s="52">
        <v>1.9762625833649862E-323</v>
      </c>
      <c r="I23" s="52">
        <v>1.9762625833649862E-323</v>
      </c>
      <c r="J23" s="52">
        <v>1.9762625833649862E-323</v>
      </c>
      <c r="K23" s="52">
        <v>1.9762625833649862E-323</v>
      </c>
      <c r="L23" s="52">
        <v>1.9762625833649862E-323</v>
      </c>
      <c r="M23" s="52">
        <v>1.9762625833649862E-323</v>
      </c>
      <c r="N23" s="52">
        <v>1.9762625833649862E-323</v>
      </c>
      <c r="O23" s="52">
        <v>1.9762625833649862E-323</v>
      </c>
      <c r="P23" s="53">
        <v>3.9525251667299724E-323</v>
      </c>
      <c r="Q23" s="83" t="s">
        <v>224</v>
      </c>
    </row>
    <row r="24" spans="1:17" ht="14.4" customHeight="1" x14ac:dyDescent="0.3">
      <c r="A24" s="16" t="s">
        <v>42</v>
      </c>
      <c r="B24" s="51">
        <v>7.2759576141834308E-12</v>
      </c>
      <c r="C24" s="52">
        <v>-4.5474735088646402E-13</v>
      </c>
      <c r="D24" s="52">
        <v>1.1185</v>
      </c>
      <c r="E24" s="52">
        <v>-2.8400000000000001E-3</v>
      </c>
      <c r="F24" s="52">
        <v>-1.0869444208507424E-322</v>
      </c>
      <c r="G24" s="52">
        <v>-1.0869444208507424E-322</v>
      </c>
      <c r="H24" s="52">
        <v>-1.0869444208507424E-322</v>
      </c>
      <c r="I24" s="52">
        <v>-1.0869444208507424E-322</v>
      </c>
      <c r="J24" s="52">
        <v>-1.0869444208507424E-322</v>
      </c>
      <c r="K24" s="52">
        <v>-1.0869444208507424E-322</v>
      </c>
      <c r="L24" s="52">
        <v>-1.0869444208507424E-322</v>
      </c>
      <c r="M24" s="52">
        <v>-1.0869444208507424E-322</v>
      </c>
      <c r="N24" s="52">
        <v>-1.0869444208507424E-322</v>
      </c>
      <c r="O24" s="52">
        <v>-1.0869444208507424E-322</v>
      </c>
      <c r="P24" s="53">
        <v>1.115659999999</v>
      </c>
      <c r="Q24" s="83"/>
    </row>
    <row r="25" spans="1:17" ht="14.4" customHeight="1" x14ac:dyDescent="0.3">
      <c r="A25" s="17" t="s">
        <v>43</v>
      </c>
      <c r="B25" s="54">
        <v>39222.9782958137</v>
      </c>
      <c r="C25" s="55">
        <v>3268.5815246511402</v>
      </c>
      <c r="D25" s="55">
        <v>2827.1887700000102</v>
      </c>
      <c r="E25" s="55">
        <v>3006.1400899999999</v>
      </c>
      <c r="F25" s="55">
        <v>4.9406564584124654E-324</v>
      </c>
      <c r="G25" s="55">
        <v>4.9406564584124654E-324</v>
      </c>
      <c r="H25" s="55">
        <v>4.9406564584124654E-324</v>
      </c>
      <c r="I25" s="55">
        <v>4.9406564584124654E-324</v>
      </c>
      <c r="J25" s="55">
        <v>4.9406564584124654E-324</v>
      </c>
      <c r="K25" s="55">
        <v>4.9406564584124654E-324</v>
      </c>
      <c r="L25" s="55">
        <v>4.9406564584124654E-324</v>
      </c>
      <c r="M25" s="55">
        <v>4.9406564584124654E-324</v>
      </c>
      <c r="N25" s="55">
        <v>4.9406564584124654E-324</v>
      </c>
      <c r="O25" s="55">
        <v>4.9406564584124654E-324</v>
      </c>
      <c r="P25" s="56">
        <v>5833.3288600000096</v>
      </c>
      <c r="Q25" s="84">
        <v>0.89233338927000005</v>
      </c>
    </row>
    <row r="26" spans="1:17" ht="14.4" customHeight="1" x14ac:dyDescent="0.3">
      <c r="A26" s="15" t="s">
        <v>44</v>
      </c>
      <c r="B26" s="51">
        <v>4520.0082222852297</v>
      </c>
      <c r="C26" s="52">
        <v>376.66735185710201</v>
      </c>
      <c r="D26" s="52">
        <v>328.01951000000003</v>
      </c>
      <c r="E26" s="52">
        <v>312.78140000000002</v>
      </c>
      <c r="F26" s="52">
        <v>4.9406564584124654E-324</v>
      </c>
      <c r="G26" s="52">
        <v>4.9406564584124654E-324</v>
      </c>
      <c r="H26" s="52">
        <v>4.9406564584124654E-324</v>
      </c>
      <c r="I26" s="52">
        <v>4.9406564584124654E-324</v>
      </c>
      <c r="J26" s="52">
        <v>4.9406564584124654E-324</v>
      </c>
      <c r="K26" s="52">
        <v>4.9406564584124654E-324</v>
      </c>
      <c r="L26" s="52">
        <v>4.9406564584124654E-324</v>
      </c>
      <c r="M26" s="52">
        <v>4.9406564584124654E-324</v>
      </c>
      <c r="N26" s="52">
        <v>4.9406564584124654E-324</v>
      </c>
      <c r="O26" s="52">
        <v>4.9406564584124654E-324</v>
      </c>
      <c r="P26" s="53">
        <v>640.80091000000004</v>
      </c>
      <c r="Q26" s="83">
        <v>0.85061912963800002</v>
      </c>
    </row>
    <row r="27" spans="1:17" ht="14.4" customHeight="1" x14ac:dyDescent="0.3">
      <c r="A27" s="18" t="s">
        <v>45</v>
      </c>
      <c r="B27" s="54">
        <v>43742.9865180989</v>
      </c>
      <c r="C27" s="55">
        <v>3645.2488765082398</v>
      </c>
      <c r="D27" s="55">
        <v>3155.2082800000098</v>
      </c>
      <c r="E27" s="55">
        <v>3318.9214900000002</v>
      </c>
      <c r="F27" s="55">
        <v>9.8813129168249309E-324</v>
      </c>
      <c r="G27" s="55">
        <v>9.8813129168249309E-324</v>
      </c>
      <c r="H27" s="55">
        <v>9.8813129168249309E-324</v>
      </c>
      <c r="I27" s="55">
        <v>9.8813129168249309E-324</v>
      </c>
      <c r="J27" s="55">
        <v>9.8813129168249309E-324</v>
      </c>
      <c r="K27" s="55">
        <v>9.8813129168249309E-324</v>
      </c>
      <c r="L27" s="55">
        <v>9.8813129168249309E-324</v>
      </c>
      <c r="M27" s="55">
        <v>9.8813129168249309E-324</v>
      </c>
      <c r="N27" s="55">
        <v>9.8813129168249309E-324</v>
      </c>
      <c r="O27" s="55">
        <v>9.8813129168249309E-324</v>
      </c>
      <c r="P27" s="56">
        <v>6474.1297700000096</v>
      </c>
      <c r="Q27" s="84">
        <v>0.88802301150399998</v>
      </c>
    </row>
    <row r="28" spans="1:17" ht="14.4" customHeight="1" x14ac:dyDescent="0.3">
      <c r="A28" s="16" t="s">
        <v>46</v>
      </c>
      <c r="B28" s="51">
        <v>11734.3418363575</v>
      </c>
      <c r="C28" s="52">
        <v>977.86181969646202</v>
      </c>
      <c r="D28" s="52">
        <v>653.85356000000002</v>
      </c>
      <c r="E28" s="52">
        <v>936.70375999999999</v>
      </c>
      <c r="F28" s="52">
        <v>1.2351641146031164E-322</v>
      </c>
      <c r="G28" s="52">
        <v>1.2351641146031164E-322</v>
      </c>
      <c r="H28" s="52">
        <v>1.2351641146031164E-322</v>
      </c>
      <c r="I28" s="52">
        <v>1.2351641146031164E-322</v>
      </c>
      <c r="J28" s="52">
        <v>1.2351641146031164E-322</v>
      </c>
      <c r="K28" s="52">
        <v>1.2351641146031164E-322</v>
      </c>
      <c r="L28" s="52">
        <v>1.2351641146031164E-322</v>
      </c>
      <c r="M28" s="52">
        <v>1.2351641146031164E-322</v>
      </c>
      <c r="N28" s="52">
        <v>1.2351641146031164E-322</v>
      </c>
      <c r="O28" s="52">
        <v>1.2351641146031164E-322</v>
      </c>
      <c r="P28" s="53">
        <v>1590.5573199999999</v>
      </c>
      <c r="Q28" s="83">
        <v>0.81328327170600001</v>
      </c>
    </row>
    <row r="29" spans="1:17" ht="14.4" customHeight="1" x14ac:dyDescent="0.3">
      <c r="A29" s="16" t="s">
        <v>47</v>
      </c>
      <c r="B29" s="51">
        <v>9.8813129168249309E-324</v>
      </c>
      <c r="C29" s="52">
        <v>0</v>
      </c>
      <c r="D29" s="52">
        <v>9.8813129168249309E-324</v>
      </c>
      <c r="E29" s="52">
        <v>9.8813129168249309E-324</v>
      </c>
      <c r="F29" s="52">
        <v>9.8813129168249309E-324</v>
      </c>
      <c r="G29" s="52">
        <v>9.8813129168249309E-324</v>
      </c>
      <c r="H29" s="52">
        <v>9.8813129168249309E-324</v>
      </c>
      <c r="I29" s="52">
        <v>9.8813129168249309E-324</v>
      </c>
      <c r="J29" s="52">
        <v>9.8813129168249309E-324</v>
      </c>
      <c r="K29" s="52">
        <v>9.8813129168249309E-324</v>
      </c>
      <c r="L29" s="52">
        <v>9.8813129168249309E-324</v>
      </c>
      <c r="M29" s="52">
        <v>9.8813129168249309E-324</v>
      </c>
      <c r="N29" s="52">
        <v>9.8813129168249309E-324</v>
      </c>
      <c r="O29" s="52">
        <v>9.8813129168249309E-324</v>
      </c>
      <c r="P29" s="53">
        <v>1.9762625833649862E-323</v>
      </c>
      <c r="Q29" s="83" t="s">
        <v>224</v>
      </c>
    </row>
    <row r="30" spans="1:17" ht="14.4" customHeight="1" x14ac:dyDescent="0.3">
      <c r="A30" s="16" t="s">
        <v>48</v>
      </c>
      <c r="B30" s="51">
        <v>4.9406564584124654E-323</v>
      </c>
      <c r="C30" s="52">
        <v>0</v>
      </c>
      <c r="D30" s="52">
        <v>4.9406564584124654E-323</v>
      </c>
      <c r="E30" s="52">
        <v>4.9406564584124654E-323</v>
      </c>
      <c r="F30" s="52">
        <v>4.9406564584124654E-323</v>
      </c>
      <c r="G30" s="52">
        <v>4.9406564584124654E-323</v>
      </c>
      <c r="H30" s="52">
        <v>4.9406564584124654E-323</v>
      </c>
      <c r="I30" s="52">
        <v>4.9406564584124654E-323</v>
      </c>
      <c r="J30" s="52">
        <v>4.9406564584124654E-323</v>
      </c>
      <c r="K30" s="52">
        <v>4.9406564584124654E-323</v>
      </c>
      <c r="L30" s="52">
        <v>4.9406564584124654E-323</v>
      </c>
      <c r="M30" s="52">
        <v>4.9406564584124654E-323</v>
      </c>
      <c r="N30" s="52">
        <v>4.9406564584124654E-323</v>
      </c>
      <c r="O30" s="52">
        <v>4.9406564584124654E-323</v>
      </c>
      <c r="P30" s="53">
        <v>9.8813129168249309E-323</v>
      </c>
      <c r="Q30" s="83">
        <v>0</v>
      </c>
    </row>
    <row r="31" spans="1:17" ht="14.4" customHeight="1" thickBot="1" x14ac:dyDescent="0.35">
      <c r="A31" s="19" t="s">
        <v>49</v>
      </c>
      <c r="B31" s="57">
        <v>2.4703282292062327E-323</v>
      </c>
      <c r="C31" s="58">
        <v>0</v>
      </c>
      <c r="D31" s="58">
        <v>2.4703282292062327E-323</v>
      </c>
      <c r="E31" s="58">
        <v>2.4703282292062327E-323</v>
      </c>
      <c r="F31" s="58">
        <v>2.4703282292062327E-323</v>
      </c>
      <c r="G31" s="58">
        <v>2.4703282292062327E-323</v>
      </c>
      <c r="H31" s="58">
        <v>2.4703282292062327E-323</v>
      </c>
      <c r="I31" s="58">
        <v>2.4703282292062327E-323</v>
      </c>
      <c r="J31" s="58">
        <v>2.4703282292062327E-323</v>
      </c>
      <c r="K31" s="58">
        <v>2.4703282292062327E-323</v>
      </c>
      <c r="L31" s="58">
        <v>2.4703282292062327E-323</v>
      </c>
      <c r="M31" s="58">
        <v>2.4703282292062327E-323</v>
      </c>
      <c r="N31" s="58">
        <v>2.4703282292062327E-323</v>
      </c>
      <c r="O31" s="58">
        <v>2.4703282292062327E-323</v>
      </c>
      <c r="P31" s="59">
        <v>4.9406564584124654E-323</v>
      </c>
      <c r="Q31" s="85" t="s">
        <v>224</v>
      </c>
    </row>
    <row r="32" spans="1:17" ht="14.4" customHeight="1" x14ac:dyDescent="0.3">
      <c r="B32" s="121"/>
      <c r="C32" s="121"/>
      <c r="D32" s="121"/>
      <c r="E32" s="121"/>
      <c r="F32" s="121"/>
      <c r="G32" s="121"/>
      <c r="H32" s="121"/>
      <c r="I32" s="121"/>
      <c r="J32" s="121"/>
      <c r="K32" s="121"/>
      <c r="L32" s="121"/>
      <c r="M32" s="121"/>
      <c r="N32" s="121"/>
      <c r="O32" s="121"/>
      <c r="P32" s="121"/>
      <c r="Q32" s="121"/>
    </row>
    <row r="33" spans="1:17" ht="14.4" customHeight="1" x14ac:dyDescent="0.3">
      <c r="A33" s="103" t="s">
        <v>139</v>
      </c>
      <c r="B33" s="122"/>
      <c r="C33" s="122"/>
      <c r="D33" s="122"/>
      <c r="E33" s="122"/>
      <c r="F33" s="122"/>
      <c r="G33" s="122"/>
      <c r="H33" s="122"/>
      <c r="I33" s="122"/>
      <c r="J33" s="122"/>
      <c r="K33" s="122"/>
      <c r="L33" s="122"/>
      <c r="M33" s="122"/>
      <c r="N33" s="122"/>
      <c r="O33" s="122"/>
      <c r="P33" s="122"/>
      <c r="Q33" s="122"/>
    </row>
    <row r="34" spans="1:17" ht="14.4" customHeight="1" x14ac:dyDescent="0.3">
      <c r="A34" s="126" t="s">
        <v>168</v>
      </c>
      <c r="B34" s="122"/>
      <c r="C34" s="122"/>
      <c r="D34" s="122"/>
      <c r="E34" s="122"/>
      <c r="F34" s="122"/>
      <c r="G34" s="122"/>
      <c r="H34" s="122"/>
      <c r="I34" s="122"/>
      <c r="J34" s="122"/>
      <c r="K34" s="122"/>
      <c r="L34" s="122"/>
      <c r="M34" s="122"/>
      <c r="N34" s="122"/>
      <c r="O34" s="122"/>
      <c r="P34" s="122"/>
      <c r="Q34" s="122"/>
    </row>
    <row r="35" spans="1:17" ht="14.4" customHeight="1" x14ac:dyDescent="0.3">
      <c r="A35" s="127" t="s">
        <v>50</v>
      </c>
      <c r="B35" s="122"/>
      <c r="C35" s="122"/>
      <c r="D35" s="122"/>
      <c r="E35" s="122"/>
      <c r="F35" s="122"/>
      <c r="G35" s="122"/>
      <c r="H35" s="122"/>
      <c r="I35" s="122"/>
      <c r="J35" s="122"/>
      <c r="K35" s="122"/>
      <c r="L35" s="122"/>
      <c r="M35" s="122"/>
      <c r="N35" s="122"/>
      <c r="O35" s="122"/>
      <c r="P35" s="122"/>
      <c r="Q35" s="122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184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20" customWidth="1"/>
    <col min="2" max="11" width="10" style="120" customWidth="1"/>
    <col min="12" max="16384" width="8.88671875" style="120"/>
  </cols>
  <sheetData>
    <row r="1" spans="1:11" s="60" customFormat="1" ht="18.600000000000001" customHeight="1" thickBot="1" x14ac:dyDescent="0.4">
      <c r="A1" s="299" t="s">
        <v>51</v>
      </c>
      <c r="B1" s="299"/>
      <c r="C1" s="299"/>
      <c r="D1" s="299"/>
      <c r="E1" s="299"/>
      <c r="F1" s="299"/>
      <c r="G1" s="299"/>
      <c r="H1" s="304"/>
      <c r="I1" s="304"/>
      <c r="J1" s="304"/>
      <c r="K1" s="304"/>
    </row>
    <row r="2" spans="1:11" s="60" customFormat="1" ht="14.4" customHeight="1" thickBot="1" x14ac:dyDescent="0.35">
      <c r="A2" s="217" t="s">
        <v>223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1" ht="14.4" customHeight="1" x14ac:dyDescent="0.3">
      <c r="A3" s="68"/>
      <c r="B3" s="300" t="s">
        <v>52</v>
      </c>
      <c r="C3" s="301"/>
      <c r="D3" s="301"/>
      <c r="E3" s="301"/>
      <c r="F3" s="307" t="s">
        <v>53</v>
      </c>
      <c r="G3" s="301"/>
      <c r="H3" s="301"/>
      <c r="I3" s="301"/>
      <c r="J3" s="301"/>
      <c r="K3" s="308"/>
    </row>
    <row r="4" spans="1:11" ht="14.4" customHeight="1" x14ac:dyDescent="0.3">
      <c r="A4" s="69"/>
      <c r="B4" s="305"/>
      <c r="C4" s="306"/>
      <c r="D4" s="306"/>
      <c r="E4" s="306"/>
      <c r="F4" s="309" t="s">
        <v>163</v>
      </c>
      <c r="G4" s="311" t="s">
        <v>54</v>
      </c>
      <c r="H4" s="131" t="s">
        <v>125</v>
      </c>
      <c r="I4" s="309" t="s">
        <v>55</v>
      </c>
      <c r="J4" s="311" t="s">
        <v>165</v>
      </c>
      <c r="K4" s="312" t="s">
        <v>166</v>
      </c>
    </row>
    <row r="5" spans="1:11" ht="42" thickBot="1" x14ac:dyDescent="0.35">
      <c r="A5" s="70"/>
      <c r="B5" s="24" t="s">
        <v>159</v>
      </c>
      <c r="C5" s="25" t="s">
        <v>160</v>
      </c>
      <c r="D5" s="26" t="s">
        <v>161</v>
      </c>
      <c r="E5" s="26" t="s">
        <v>162</v>
      </c>
      <c r="F5" s="310"/>
      <c r="G5" s="310"/>
      <c r="H5" s="25" t="s">
        <v>164</v>
      </c>
      <c r="I5" s="310"/>
      <c r="J5" s="310"/>
      <c r="K5" s="313"/>
    </row>
    <row r="6" spans="1:11" ht="14.4" customHeight="1" thickBot="1" x14ac:dyDescent="0.35">
      <c r="A6" s="376" t="s">
        <v>226</v>
      </c>
      <c r="B6" s="358">
        <v>39090.738202072003</v>
      </c>
      <c r="C6" s="358">
        <v>38915.447769999999</v>
      </c>
      <c r="D6" s="359">
        <v>-175.29043207193899</v>
      </c>
      <c r="E6" s="360">
        <v>0.99551580655299998</v>
      </c>
      <c r="F6" s="358">
        <v>39222.9782958137</v>
      </c>
      <c r="G6" s="359">
        <v>6537.1630493022803</v>
      </c>
      <c r="H6" s="361">
        <v>3006.1400899999999</v>
      </c>
      <c r="I6" s="358">
        <v>5833.3288600000096</v>
      </c>
      <c r="J6" s="359">
        <v>-703.83418930226503</v>
      </c>
      <c r="K6" s="362">
        <v>0.148722231545</v>
      </c>
    </row>
    <row r="7" spans="1:11" ht="14.4" customHeight="1" thickBot="1" x14ac:dyDescent="0.35">
      <c r="A7" s="377" t="s">
        <v>227</v>
      </c>
      <c r="B7" s="358">
        <v>6723.3276695504201</v>
      </c>
      <c r="C7" s="358">
        <v>7000.6107499999998</v>
      </c>
      <c r="D7" s="359">
        <v>277.28308044957902</v>
      </c>
      <c r="E7" s="360">
        <v>1.04124194061</v>
      </c>
      <c r="F7" s="358">
        <v>7008.8363259160096</v>
      </c>
      <c r="G7" s="359">
        <v>1168.1393876526699</v>
      </c>
      <c r="H7" s="361">
        <v>567.21830999999997</v>
      </c>
      <c r="I7" s="358">
        <v>1077.99801</v>
      </c>
      <c r="J7" s="359">
        <v>-90.141377652665</v>
      </c>
      <c r="K7" s="362">
        <v>0.153805561989</v>
      </c>
    </row>
    <row r="8" spans="1:11" ht="14.4" customHeight="1" thickBot="1" x14ac:dyDescent="0.35">
      <c r="A8" s="378" t="s">
        <v>228</v>
      </c>
      <c r="B8" s="358">
        <v>5066.2160543988302</v>
      </c>
      <c r="C8" s="358">
        <v>4965.5214400000004</v>
      </c>
      <c r="D8" s="359">
        <v>-100.694614398832</v>
      </c>
      <c r="E8" s="360">
        <v>0.98012429526900002</v>
      </c>
      <c r="F8" s="358">
        <v>5008.3495997272703</v>
      </c>
      <c r="G8" s="359">
        <v>834.724933287878</v>
      </c>
      <c r="H8" s="361">
        <v>396.24731000000003</v>
      </c>
      <c r="I8" s="358">
        <v>731.33601000000203</v>
      </c>
      <c r="J8" s="359">
        <v>-103.388923287876</v>
      </c>
      <c r="K8" s="362">
        <v>0.14602335468700001</v>
      </c>
    </row>
    <row r="9" spans="1:11" ht="14.4" customHeight="1" thickBot="1" x14ac:dyDescent="0.35">
      <c r="A9" s="379" t="s">
        <v>229</v>
      </c>
      <c r="B9" s="363">
        <v>4.9406564584124654E-324</v>
      </c>
      <c r="C9" s="363">
        <v>-2.0039999999999999E-2</v>
      </c>
      <c r="D9" s="364">
        <v>-2.0039999999999999E-2</v>
      </c>
      <c r="E9" s="365" t="s">
        <v>230</v>
      </c>
      <c r="F9" s="363">
        <v>0</v>
      </c>
      <c r="G9" s="364">
        <v>0</v>
      </c>
      <c r="H9" s="366">
        <v>-2.8400000000000001E-3</v>
      </c>
      <c r="I9" s="363">
        <v>-4.9399999999999999E-3</v>
      </c>
      <c r="J9" s="364">
        <v>-4.9399999999999999E-3</v>
      </c>
      <c r="K9" s="367" t="s">
        <v>224</v>
      </c>
    </row>
    <row r="10" spans="1:11" ht="14.4" customHeight="1" thickBot="1" x14ac:dyDescent="0.35">
      <c r="A10" s="380" t="s">
        <v>231</v>
      </c>
      <c r="B10" s="358">
        <v>4.9406564584124654E-324</v>
      </c>
      <c r="C10" s="358">
        <v>-2.0039999999999999E-2</v>
      </c>
      <c r="D10" s="359">
        <v>-2.0039999999999999E-2</v>
      </c>
      <c r="E10" s="368" t="s">
        <v>230</v>
      </c>
      <c r="F10" s="358">
        <v>0</v>
      </c>
      <c r="G10" s="359">
        <v>0</v>
      </c>
      <c r="H10" s="361">
        <v>-2.8400000000000001E-3</v>
      </c>
      <c r="I10" s="358">
        <v>-4.9399999999999999E-3</v>
      </c>
      <c r="J10" s="359">
        <v>-4.9399999999999999E-3</v>
      </c>
      <c r="K10" s="369" t="s">
        <v>224</v>
      </c>
    </row>
    <row r="11" spans="1:11" ht="14.4" customHeight="1" thickBot="1" x14ac:dyDescent="0.35">
      <c r="A11" s="379" t="s">
        <v>232</v>
      </c>
      <c r="B11" s="363">
        <v>249.99974177060599</v>
      </c>
      <c r="C11" s="363">
        <v>276.32427000000001</v>
      </c>
      <c r="D11" s="364">
        <v>26.324528229394001</v>
      </c>
      <c r="E11" s="370">
        <v>1.1052982216809999</v>
      </c>
      <c r="F11" s="363">
        <v>275.76606941463501</v>
      </c>
      <c r="G11" s="364">
        <v>45.961011569104997</v>
      </c>
      <c r="H11" s="366">
        <v>24.451440000000002</v>
      </c>
      <c r="I11" s="363">
        <v>24.859739999999999</v>
      </c>
      <c r="J11" s="364">
        <v>-21.101271569104998</v>
      </c>
      <c r="K11" s="371">
        <v>9.0147928831999999E-2</v>
      </c>
    </row>
    <row r="12" spans="1:11" ht="14.4" customHeight="1" thickBot="1" x14ac:dyDescent="0.35">
      <c r="A12" s="380" t="s">
        <v>233</v>
      </c>
      <c r="B12" s="358">
        <v>244.33301712349299</v>
      </c>
      <c r="C12" s="358">
        <v>254.01763</v>
      </c>
      <c r="D12" s="359">
        <v>9.6846128765059998</v>
      </c>
      <c r="E12" s="360">
        <v>1.0396369389219999</v>
      </c>
      <c r="F12" s="358">
        <v>254.21004598163501</v>
      </c>
      <c r="G12" s="359">
        <v>42.368340996938997</v>
      </c>
      <c r="H12" s="361">
        <v>16.97899</v>
      </c>
      <c r="I12" s="358">
        <v>17.38729</v>
      </c>
      <c r="J12" s="359">
        <v>-24.981050996939</v>
      </c>
      <c r="K12" s="362">
        <v>6.8397336276999995E-2</v>
      </c>
    </row>
    <row r="13" spans="1:11" ht="14.4" customHeight="1" thickBot="1" x14ac:dyDescent="0.35">
      <c r="A13" s="380" t="s">
        <v>234</v>
      </c>
      <c r="B13" s="358">
        <v>5.6667246471119999</v>
      </c>
      <c r="C13" s="358">
        <v>3.8744399999999999</v>
      </c>
      <c r="D13" s="359">
        <v>-1.792284647112</v>
      </c>
      <c r="E13" s="360">
        <v>0.68371771018899996</v>
      </c>
      <c r="F13" s="358">
        <v>3.9215472014869999</v>
      </c>
      <c r="G13" s="359">
        <v>0.65359120024700001</v>
      </c>
      <c r="H13" s="361">
        <v>0.16994999999999999</v>
      </c>
      <c r="I13" s="358">
        <v>0.16994999999999999</v>
      </c>
      <c r="J13" s="359">
        <v>-0.48364120024700002</v>
      </c>
      <c r="K13" s="362">
        <v>4.3337486778999998E-2</v>
      </c>
    </row>
    <row r="14" spans="1:11" ht="14.4" customHeight="1" thickBot="1" x14ac:dyDescent="0.35">
      <c r="A14" s="380" t="s">
        <v>235</v>
      </c>
      <c r="B14" s="358">
        <v>0</v>
      </c>
      <c r="C14" s="358">
        <v>18.432200000000002</v>
      </c>
      <c r="D14" s="359">
        <v>18.432200000000002</v>
      </c>
      <c r="E14" s="368" t="s">
        <v>224</v>
      </c>
      <c r="F14" s="358">
        <v>17.634476231511002</v>
      </c>
      <c r="G14" s="359">
        <v>2.9390793719179999</v>
      </c>
      <c r="H14" s="361">
        <v>7.3025000000000002</v>
      </c>
      <c r="I14" s="358">
        <v>7.3025000000000002</v>
      </c>
      <c r="J14" s="359">
        <v>4.3634206280810002</v>
      </c>
      <c r="K14" s="362">
        <v>0.41410359480600001</v>
      </c>
    </row>
    <row r="15" spans="1:11" ht="14.4" customHeight="1" thickBot="1" x14ac:dyDescent="0.35">
      <c r="A15" s="379" t="s">
        <v>236</v>
      </c>
      <c r="B15" s="363">
        <v>4074.9768432628498</v>
      </c>
      <c r="C15" s="363">
        <v>3834.3476900000001</v>
      </c>
      <c r="D15" s="364">
        <v>-240.62915326284701</v>
      </c>
      <c r="E15" s="370">
        <v>0.94094956547700004</v>
      </c>
      <c r="F15" s="363">
        <v>3908.1858196879398</v>
      </c>
      <c r="G15" s="364">
        <v>651.36430328132303</v>
      </c>
      <c r="H15" s="366">
        <v>319.39254</v>
      </c>
      <c r="I15" s="363">
        <v>624.47056000000202</v>
      </c>
      <c r="J15" s="364">
        <v>-26.893743281321001</v>
      </c>
      <c r="K15" s="371">
        <v>0.159785278595</v>
      </c>
    </row>
    <row r="16" spans="1:11" ht="14.4" customHeight="1" thickBot="1" x14ac:dyDescent="0.35">
      <c r="A16" s="380" t="s">
        <v>237</v>
      </c>
      <c r="B16" s="358">
        <v>38.760671652893002</v>
      </c>
      <c r="C16" s="358">
        <v>2.4112100000000001</v>
      </c>
      <c r="D16" s="359">
        <v>-36.349461652892998</v>
      </c>
      <c r="E16" s="360">
        <v>6.2207642363999997E-2</v>
      </c>
      <c r="F16" s="358">
        <v>1.9999989231199999</v>
      </c>
      <c r="G16" s="359">
        <v>0.333333153853</v>
      </c>
      <c r="H16" s="361">
        <v>4.9406564584124654E-324</v>
      </c>
      <c r="I16" s="358">
        <v>9.8813129168249309E-324</v>
      </c>
      <c r="J16" s="359">
        <v>-0.333333153853</v>
      </c>
      <c r="K16" s="362">
        <v>4.9406564584124654E-324</v>
      </c>
    </row>
    <row r="17" spans="1:11" ht="14.4" customHeight="1" thickBot="1" x14ac:dyDescent="0.35">
      <c r="A17" s="380" t="s">
        <v>238</v>
      </c>
      <c r="B17" s="358">
        <v>0.91849790972099998</v>
      </c>
      <c r="C17" s="358">
        <v>0.22645999999999999</v>
      </c>
      <c r="D17" s="359">
        <v>-0.69203790972099999</v>
      </c>
      <c r="E17" s="360">
        <v>0.24655472549599999</v>
      </c>
      <c r="F17" s="358">
        <v>0.22645976014399999</v>
      </c>
      <c r="G17" s="359">
        <v>3.7743293357000003E-2</v>
      </c>
      <c r="H17" s="361">
        <v>4.9406564584124654E-324</v>
      </c>
      <c r="I17" s="358">
        <v>9.8813129168249309E-324</v>
      </c>
      <c r="J17" s="359">
        <v>-3.7743293357000003E-2</v>
      </c>
      <c r="K17" s="362">
        <v>4.4465908125712189E-323</v>
      </c>
    </row>
    <row r="18" spans="1:11" ht="14.4" customHeight="1" thickBot="1" x14ac:dyDescent="0.35">
      <c r="A18" s="380" t="s">
        <v>239</v>
      </c>
      <c r="B18" s="358">
        <v>3.3538915592479999</v>
      </c>
      <c r="C18" s="358">
        <v>0.38769999999999999</v>
      </c>
      <c r="D18" s="359">
        <v>-2.9661915592480002</v>
      </c>
      <c r="E18" s="360">
        <v>0.115597058864</v>
      </c>
      <c r="F18" s="358">
        <v>0.38772450970400002</v>
      </c>
      <c r="G18" s="359">
        <v>6.4620751616999997E-2</v>
      </c>
      <c r="H18" s="361">
        <v>4.9406564584124654E-324</v>
      </c>
      <c r="I18" s="358">
        <v>9.8813129168249309E-324</v>
      </c>
      <c r="J18" s="359">
        <v>-6.4620751616999997E-2</v>
      </c>
      <c r="K18" s="362">
        <v>2.4703282292062327E-323</v>
      </c>
    </row>
    <row r="19" spans="1:11" ht="14.4" customHeight="1" thickBot="1" x14ac:dyDescent="0.35">
      <c r="A19" s="380" t="s">
        <v>240</v>
      </c>
      <c r="B19" s="358">
        <v>51.353321477169999</v>
      </c>
      <c r="C19" s="358">
        <v>53.079819999999998</v>
      </c>
      <c r="D19" s="359">
        <v>1.726498522829</v>
      </c>
      <c r="E19" s="360">
        <v>1.0336199971710001</v>
      </c>
      <c r="F19" s="358">
        <v>54.200525703906003</v>
      </c>
      <c r="G19" s="359">
        <v>9.0334209506509993</v>
      </c>
      <c r="H19" s="361">
        <v>6.9264599999999996</v>
      </c>
      <c r="I19" s="358">
        <v>8.8115199999999998</v>
      </c>
      <c r="J19" s="359">
        <v>-0.22190095065099999</v>
      </c>
      <c r="K19" s="362">
        <v>0.16257259289500001</v>
      </c>
    </row>
    <row r="20" spans="1:11" ht="14.4" customHeight="1" thickBot="1" x14ac:dyDescent="0.35">
      <c r="A20" s="380" t="s">
        <v>241</v>
      </c>
      <c r="B20" s="358">
        <v>83.924903477293995</v>
      </c>
      <c r="C20" s="358">
        <v>72.822599999999994</v>
      </c>
      <c r="D20" s="359">
        <v>-11.102303477294001</v>
      </c>
      <c r="E20" s="360">
        <v>0.86771145372400005</v>
      </c>
      <c r="F20" s="358">
        <v>72.822051402580001</v>
      </c>
      <c r="G20" s="359">
        <v>12.137008567096</v>
      </c>
      <c r="H20" s="361">
        <v>10.76009</v>
      </c>
      <c r="I20" s="358">
        <v>13.81147</v>
      </c>
      <c r="J20" s="359">
        <v>1.6744614329030001</v>
      </c>
      <c r="K20" s="362">
        <v>0.18966054559000001</v>
      </c>
    </row>
    <row r="21" spans="1:11" ht="14.4" customHeight="1" thickBot="1" x14ac:dyDescent="0.35">
      <c r="A21" s="380" t="s">
        <v>242</v>
      </c>
      <c r="B21" s="358">
        <v>92.408015352977998</v>
      </c>
      <c r="C21" s="358">
        <v>75.055440000000004</v>
      </c>
      <c r="D21" s="359">
        <v>-17.352575352978</v>
      </c>
      <c r="E21" s="360">
        <v>0.812217854839</v>
      </c>
      <c r="F21" s="358">
        <v>73.585837606579005</v>
      </c>
      <c r="G21" s="359">
        <v>12.264306267763001</v>
      </c>
      <c r="H21" s="361">
        <v>3.2475999999999998</v>
      </c>
      <c r="I21" s="358">
        <v>7.8479599999999996</v>
      </c>
      <c r="J21" s="359">
        <v>-4.4163462677630001</v>
      </c>
      <c r="K21" s="362">
        <v>0.106650413384</v>
      </c>
    </row>
    <row r="22" spans="1:11" ht="14.4" customHeight="1" thickBot="1" x14ac:dyDescent="0.35">
      <c r="A22" s="380" t="s">
        <v>243</v>
      </c>
      <c r="B22" s="358">
        <v>9.0263001500409992</v>
      </c>
      <c r="C22" s="358">
        <v>5.843</v>
      </c>
      <c r="D22" s="359">
        <v>-3.1833001500410001</v>
      </c>
      <c r="E22" s="360">
        <v>0.64733056765999997</v>
      </c>
      <c r="F22" s="358">
        <v>5.9938415171989998</v>
      </c>
      <c r="G22" s="359">
        <v>0.99897358619900001</v>
      </c>
      <c r="H22" s="361">
        <v>0.42</v>
      </c>
      <c r="I22" s="358">
        <v>0.42</v>
      </c>
      <c r="J22" s="359">
        <v>-0.57897358619899997</v>
      </c>
      <c r="K22" s="362">
        <v>7.0071922787999993E-2</v>
      </c>
    </row>
    <row r="23" spans="1:11" ht="14.4" customHeight="1" thickBot="1" x14ac:dyDescent="0.35">
      <c r="A23" s="380" t="s">
        <v>244</v>
      </c>
      <c r="B23" s="358">
        <v>160.72707461269599</v>
      </c>
      <c r="C23" s="358">
        <v>158.78915000000001</v>
      </c>
      <c r="D23" s="359">
        <v>-1.937924612695</v>
      </c>
      <c r="E23" s="360">
        <v>0.98794276186899999</v>
      </c>
      <c r="F23" s="358">
        <v>161.03609291202301</v>
      </c>
      <c r="G23" s="359">
        <v>26.83934881867</v>
      </c>
      <c r="H23" s="361">
        <v>17.050719999999998</v>
      </c>
      <c r="I23" s="358">
        <v>27.19896</v>
      </c>
      <c r="J23" s="359">
        <v>0.359611181329</v>
      </c>
      <c r="K23" s="362">
        <v>0.168899775871</v>
      </c>
    </row>
    <row r="24" spans="1:11" ht="14.4" customHeight="1" thickBot="1" x14ac:dyDescent="0.35">
      <c r="A24" s="380" t="s">
        <v>245</v>
      </c>
      <c r="B24" s="358">
        <v>3633.1961207530098</v>
      </c>
      <c r="C24" s="358">
        <v>3465.7323099999999</v>
      </c>
      <c r="D24" s="359">
        <v>-167.463810753014</v>
      </c>
      <c r="E24" s="360">
        <v>0.953907302224</v>
      </c>
      <c r="F24" s="358">
        <v>3537.9332873526801</v>
      </c>
      <c r="G24" s="359">
        <v>589.65554789211399</v>
      </c>
      <c r="H24" s="361">
        <v>280.98766999999998</v>
      </c>
      <c r="I24" s="358">
        <v>566.38065000000097</v>
      </c>
      <c r="J24" s="359">
        <v>-23.274897892112001</v>
      </c>
      <c r="K24" s="362">
        <v>0.160087996013</v>
      </c>
    </row>
    <row r="25" spans="1:11" ht="14.4" customHeight="1" thickBot="1" x14ac:dyDescent="0.35">
      <c r="A25" s="379" t="s">
        <v>246</v>
      </c>
      <c r="B25" s="363">
        <v>4.9406564584124654E-324</v>
      </c>
      <c r="C25" s="363">
        <v>2.4206500000000002</v>
      </c>
      <c r="D25" s="364">
        <v>2.4206500000000002</v>
      </c>
      <c r="E25" s="365" t="s">
        <v>230</v>
      </c>
      <c r="F25" s="363">
        <v>0</v>
      </c>
      <c r="G25" s="364">
        <v>0</v>
      </c>
      <c r="H25" s="366">
        <v>4.9406564584124654E-324</v>
      </c>
      <c r="I25" s="363">
        <v>9.8813129168249309E-324</v>
      </c>
      <c r="J25" s="364">
        <v>9.8813129168249309E-324</v>
      </c>
      <c r="K25" s="367" t="s">
        <v>224</v>
      </c>
    </row>
    <row r="26" spans="1:11" ht="14.4" customHeight="1" thickBot="1" x14ac:dyDescent="0.35">
      <c r="A26" s="380" t="s">
        <v>247</v>
      </c>
      <c r="B26" s="358">
        <v>4.9406564584124654E-324</v>
      </c>
      <c r="C26" s="358">
        <v>2.4206500000000002</v>
      </c>
      <c r="D26" s="359">
        <v>2.4206500000000002</v>
      </c>
      <c r="E26" s="368" t="s">
        <v>230</v>
      </c>
      <c r="F26" s="358">
        <v>0</v>
      </c>
      <c r="G26" s="359">
        <v>0</v>
      </c>
      <c r="H26" s="361">
        <v>4.9406564584124654E-324</v>
      </c>
      <c r="I26" s="358">
        <v>9.8813129168249309E-324</v>
      </c>
      <c r="J26" s="359">
        <v>9.8813129168249309E-324</v>
      </c>
      <c r="K26" s="369" t="s">
        <v>224</v>
      </c>
    </row>
    <row r="27" spans="1:11" ht="14.4" customHeight="1" thickBot="1" x14ac:dyDescent="0.35">
      <c r="A27" s="379" t="s">
        <v>248</v>
      </c>
      <c r="B27" s="363">
        <v>573.62238643790897</v>
      </c>
      <c r="C27" s="363">
        <v>642.92172000000005</v>
      </c>
      <c r="D27" s="364">
        <v>69.299333562090993</v>
      </c>
      <c r="E27" s="370">
        <v>1.1208100227610001</v>
      </c>
      <c r="F27" s="363">
        <v>633.99054647966898</v>
      </c>
      <c r="G27" s="364">
        <v>105.665091079945</v>
      </c>
      <c r="H27" s="366">
        <v>42.17774</v>
      </c>
      <c r="I27" s="363">
        <v>63.315480000000001</v>
      </c>
      <c r="J27" s="364">
        <v>-42.349611079943998</v>
      </c>
      <c r="K27" s="371">
        <v>9.9868176823000004E-2</v>
      </c>
    </row>
    <row r="28" spans="1:11" ht="14.4" customHeight="1" thickBot="1" x14ac:dyDescent="0.35">
      <c r="A28" s="380" t="s">
        <v>249</v>
      </c>
      <c r="B28" s="358">
        <v>116.005251117529</v>
      </c>
      <c r="C28" s="358">
        <v>7.5369999999989998</v>
      </c>
      <c r="D28" s="359">
        <v>-108.46825111752899</v>
      </c>
      <c r="E28" s="360">
        <v>6.4971196797999994E-2</v>
      </c>
      <c r="F28" s="358">
        <v>8.6984907783719994</v>
      </c>
      <c r="G28" s="359">
        <v>1.4497484630619999</v>
      </c>
      <c r="H28" s="361">
        <v>4.9406564584124654E-324</v>
      </c>
      <c r="I28" s="358">
        <v>9.8813129168249309E-324</v>
      </c>
      <c r="J28" s="359">
        <v>-1.4497484630619999</v>
      </c>
      <c r="K28" s="362">
        <v>0</v>
      </c>
    </row>
    <row r="29" spans="1:11" ht="14.4" customHeight="1" thickBot="1" x14ac:dyDescent="0.35">
      <c r="A29" s="380" t="s">
        <v>250</v>
      </c>
      <c r="B29" s="358">
        <v>5.8731726593799998</v>
      </c>
      <c r="C29" s="358">
        <v>7.6839199999999996</v>
      </c>
      <c r="D29" s="359">
        <v>1.810747340619</v>
      </c>
      <c r="E29" s="360">
        <v>1.308308208465</v>
      </c>
      <c r="F29" s="358">
        <v>7.7343111015010004</v>
      </c>
      <c r="G29" s="359">
        <v>1.2890518502499999</v>
      </c>
      <c r="H29" s="361">
        <v>0.40464</v>
      </c>
      <c r="I29" s="358">
        <v>0.44903999999999999</v>
      </c>
      <c r="J29" s="359">
        <v>-0.84001185025000003</v>
      </c>
      <c r="K29" s="362">
        <v>5.8058176624000001E-2</v>
      </c>
    </row>
    <row r="30" spans="1:11" ht="14.4" customHeight="1" thickBot="1" x14ac:dyDescent="0.35">
      <c r="A30" s="380" t="s">
        <v>251</v>
      </c>
      <c r="B30" s="358">
        <v>181.84562063344799</v>
      </c>
      <c r="C30" s="358">
        <v>243.5283</v>
      </c>
      <c r="D30" s="359">
        <v>61.682679366552001</v>
      </c>
      <c r="E30" s="360">
        <v>1.339203546127</v>
      </c>
      <c r="F30" s="358">
        <v>250.50493545676201</v>
      </c>
      <c r="G30" s="359">
        <v>41.750822576127</v>
      </c>
      <c r="H30" s="361">
        <v>16.7836</v>
      </c>
      <c r="I30" s="358">
        <v>18.62856</v>
      </c>
      <c r="J30" s="359">
        <v>-23.122262576127</v>
      </c>
      <c r="K30" s="362">
        <v>7.4364043830000004E-2</v>
      </c>
    </row>
    <row r="31" spans="1:11" ht="14.4" customHeight="1" thickBot="1" x14ac:dyDescent="0.35">
      <c r="A31" s="380" t="s">
        <v>252</v>
      </c>
      <c r="B31" s="358">
        <v>77.115042027629002</v>
      </c>
      <c r="C31" s="358">
        <v>59.59178</v>
      </c>
      <c r="D31" s="359">
        <v>-17.523262027628</v>
      </c>
      <c r="E31" s="360">
        <v>0.77276466994100002</v>
      </c>
      <c r="F31" s="358">
        <v>62.995975792518998</v>
      </c>
      <c r="G31" s="359">
        <v>10.499329298753</v>
      </c>
      <c r="H31" s="361">
        <v>3.2718400000000001</v>
      </c>
      <c r="I31" s="358">
        <v>3.62338</v>
      </c>
      <c r="J31" s="359">
        <v>-6.8759492987530004</v>
      </c>
      <c r="K31" s="362">
        <v>5.7517642267999998E-2</v>
      </c>
    </row>
    <row r="32" spans="1:11" ht="14.4" customHeight="1" thickBot="1" x14ac:dyDescent="0.35">
      <c r="A32" s="380" t="s">
        <v>253</v>
      </c>
      <c r="B32" s="358">
        <v>32.522876639334001</v>
      </c>
      <c r="C32" s="358">
        <v>19.541429999999998</v>
      </c>
      <c r="D32" s="359">
        <v>-12.981446639333999</v>
      </c>
      <c r="E32" s="360">
        <v>0.60085183167199996</v>
      </c>
      <c r="F32" s="358">
        <v>18.998460503922999</v>
      </c>
      <c r="G32" s="359">
        <v>3.166410083987</v>
      </c>
      <c r="H32" s="361">
        <v>4.8809399999999998</v>
      </c>
      <c r="I32" s="358">
        <v>5.5669000000000004</v>
      </c>
      <c r="J32" s="359">
        <v>2.4004899160119999</v>
      </c>
      <c r="K32" s="362">
        <v>0.29301847898900002</v>
      </c>
    </row>
    <row r="33" spans="1:11" ht="14.4" customHeight="1" thickBot="1" x14ac:dyDescent="0.35">
      <c r="A33" s="380" t="s">
        <v>254</v>
      </c>
      <c r="B33" s="358">
        <v>0.10668807177799999</v>
      </c>
      <c r="C33" s="358">
        <v>0.23499999999999999</v>
      </c>
      <c r="D33" s="359">
        <v>0.12831192822099999</v>
      </c>
      <c r="E33" s="360">
        <v>2.2026829811590001</v>
      </c>
      <c r="F33" s="358">
        <v>0.40808617724200003</v>
      </c>
      <c r="G33" s="359">
        <v>6.8014362873E-2</v>
      </c>
      <c r="H33" s="361">
        <v>4.9406564584124654E-324</v>
      </c>
      <c r="I33" s="358">
        <v>9.8813129168249309E-324</v>
      </c>
      <c r="J33" s="359">
        <v>-6.8014362873E-2</v>
      </c>
      <c r="K33" s="362">
        <v>2.4703282292062327E-323</v>
      </c>
    </row>
    <row r="34" spans="1:11" ht="14.4" customHeight="1" thickBot="1" x14ac:dyDescent="0.35">
      <c r="A34" s="380" t="s">
        <v>255</v>
      </c>
      <c r="B34" s="358">
        <v>0.46143273974499999</v>
      </c>
      <c r="C34" s="358">
        <v>0.66664000000000001</v>
      </c>
      <c r="D34" s="359">
        <v>0.20520726025399999</v>
      </c>
      <c r="E34" s="360">
        <v>1.444717599291</v>
      </c>
      <c r="F34" s="358">
        <v>0.37213232892499998</v>
      </c>
      <c r="G34" s="359">
        <v>6.2022054819999999E-2</v>
      </c>
      <c r="H34" s="361">
        <v>0.82584000000000002</v>
      </c>
      <c r="I34" s="358">
        <v>0.82584000000000002</v>
      </c>
      <c r="J34" s="359">
        <v>0.76381794517900004</v>
      </c>
      <c r="K34" s="362">
        <v>2.219210575939</v>
      </c>
    </row>
    <row r="35" spans="1:11" ht="14.4" customHeight="1" thickBot="1" x14ac:dyDescent="0.35">
      <c r="A35" s="380" t="s">
        <v>256</v>
      </c>
      <c r="B35" s="358">
        <v>141.71180118626501</v>
      </c>
      <c r="C35" s="358">
        <v>156.56426999999999</v>
      </c>
      <c r="D35" s="359">
        <v>14.852468813733999</v>
      </c>
      <c r="E35" s="360">
        <v>1.1048075649969999</v>
      </c>
      <c r="F35" s="358">
        <v>156.983850996256</v>
      </c>
      <c r="G35" s="359">
        <v>26.163975166042</v>
      </c>
      <c r="H35" s="361">
        <v>8.6793300000000002</v>
      </c>
      <c r="I35" s="358">
        <v>19.536660000000001</v>
      </c>
      <c r="J35" s="359">
        <v>-6.627315166042</v>
      </c>
      <c r="K35" s="362">
        <v>0.124450125767</v>
      </c>
    </row>
    <row r="36" spans="1:11" ht="14.4" customHeight="1" thickBot="1" x14ac:dyDescent="0.35">
      <c r="A36" s="380" t="s">
        <v>257</v>
      </c>
      <c r="B36" s="358">
        <v>17.980501362798002</v>
      </c>
      <c r="C36" s="358">
        <v>61.979959999999998</v>
      </c>
      <c r="D36" s="359">
        <v>43.999458637201002</v>
      </c>
      <c r="E36" s="360">
        <v>3.4470651707309998</v>
      </c>
      <c r="F36" s="358">
        <v>69.299227268392002</v>
      </c>
      <c r="G36" s="359">
        <v>11.549871211398001</v>
      </c>
      <c r="H36" s="361">
        <v>1.6935100000000001</v>
      </c>
      <c r="I36" s="358">
        <v>7.8578900000000003</v>
      </c>
      <c r="J36" s="359">
        <v>-3.6919812113980002</v>
      </c>
      <c r="K36" s="362">
        <v>0.113390730456</v>
      </c>
    </row>
    <row r="37" spans="1:11" ht="14.4" customHeight="1" thickBot="1" x14ac:dyDescent="0.35">
      <c r="A37" s="380" t="s">
        <v>258</v>
      </c>
      <c r="B37" s="358">
        <v>4.9406564584124654E-324</v>
      </c>
      <c r="C37" s="358">
        <v>0.49899999999900002</v>
      </c>
      <c r="D37" s="359">
        <v>0.49899999999900002</v>
      </c>
      <c r="E37" s="368" t="s">
        <v>230</v>
      </c>
      <c r="F37" s="358">
        <v>0</v>
      </c>
      <c r="G37" s="359">
        <v>0</v>
      </c>
      <c r="H37" s="361">
        <v>4.9406564584124654E-324</v>
      </c>
      <c r="I37" s="358">
        <v>9.8813129168249309E-324</v>
      </c>
      <c r="J37" s="359">
        <v>9.8813129168249309E-324</v>
      </c>
      <c r="K37" s="369" t="s">
        <v>224</v>
      </c>
    </row>
    <row r="38" spans="1:11" ht="14.4" customHeight="1" thickBot="1" x14ac:dyDescent="0.35">
      <c r="A38" s="380" t="s">
        <v>259</v>
      </c>
      <c r="B38" s="358">
        <v>4.9406564584124654E-324</v>
      </c>
      <c r="C38" s="358">
        <v>6.9539299999999997</v>
      </c>
      <c r="D38" s="359">
        <v>6.9539299999999997</v>
      </c>
      <c r="E38" s="368" t="s">
        <v>230</v>
      </c>
      <c r="F38" s="358">
        <v>0</v>
      </c>
      <c r="G38" s="359">
        <v>0</v>
      </c>
      <c r="H38" s="361">
        <v>4.9406564584124654E-324</v>
      </c>
      <c r="I38" s="358">
        <v>9.8813129168249309E-324</v>
      </c>
      <c r="J38" s="359">
        <v>9.8813129168249309E-324</v>
      </c>
      <c r="K38" s="369" t="s">
        <v>224</v>
      </c>
    </row>
    <row r="39" spans="1:11" ht="14.4" customHeight="1" thickBot="1" x14ac:dyDescent="0.35">
      <c r="A39" s="380" t="s">
        <v>260</v>
      </c>
      <c r="B39" s="358">
        <v>4.9406564584124654E-324</v>
      </c>
      <c r="C39" s="358">
        <v>1.3809800000000001</v>
      </c>
      <c r="D39" s="359">
        <v>1.3809800000000001</v>
      </c>
      <c r="E39" s="368" t="s">
        <v>230</v>
      </c>
      <c r="F39" s="358">
        <v>0</v>
      </c>
      <c r="G39" s="359">
        <v>0</v>
      </c>
      <c r="H39" s="361">
        <v>4.9406564584124654E-324</v>
      </c>
      <c r="I39" s="358">
        <v>9.8813129168249309E-324</v>
      </c>
      <c r="J39" s="359">
        <v>9.8813129168249309E-324</v>
      </c>
      <c r="K39" s="369" t="s">
        <v>224</v>
      </c>
    </row>
    <row r="40" spans="1:11" ht="14.4" customHeight="1" thickBot="1" x14ac:dyDescent="0.35">
      <c r="A40" s="380" t="s">
        <v>261</v>
      </c>
      <c r="B40" s="358">
        <v>4.9406564584124654E-324</v>
      </c>
      <c r="C40" s="358">
        <v>76.759510000000006</v>
      </c>
      <c r="D40" s="359">
        <v>76.759510000000006</v>
      </c>
      <c r="E40" s="368" t="s">
        <v>230</v>
      </c>
      <c r="F40" s="358">
        <v>57.995076075775003</v>
      </c>
      <c r="G40" s="359">
        <v>9.6658460126290002</v>
      </c>
      <c r="H40" s="361">
        <v>5.6380400000000002</v>
      </c>
      <c r="I40" s="358">
        <v>6.82721</v>
      </c>
      <c r="J40" s="359">
        <v>-2.8386360126289998</v>
      </c>
      <c r="K40" s="362">
        <v>0.117720511153</v>
      </c>
    </row>
    <row r="41" spans="1:11" ht="14.4" customHeight="1" thickBot="1" x14ac:dyDescent="0.35">
      <c r="A41" s="379" t="s">
        <v>262</v>
      </c>
      <c r="B41" s="363">
        <v>82.865257715395998</v>
      </c>
      <c r="C41" s="363">
        <v>123.89581</v>
      </c>
      <c r="D41" s="364">
        <v>41.030552284602997</v>
      </c>
      <c r="E41" s="370">
        <v>1.495147826915</v>
      </c>
      <c r="F41" s="363">
        <v>59.435216117666002</v>
      </c>
      <c r="G41" s="364">
        <v>9.9058693529440003</v>
      </c>
      <c r="H41" s="366">
        <v>1.90093</v>
      </c>
      <c r="I41" s="363">
        <v>4.7599299999999998</v>
      </c>
      <c r="J41" s="364">
        <v>-5.1459393529439996</v>
      </c>
      <c r="K41" s="371">
        <v>8.0086021568999993E-2</v>
      </c>
    </row>
    <row r="42" spans="1:11" ht="14.4" customHeight="1" thickBot="1" x14ac:dyDescent="0.35">
      <c r="A42" s="380" t="s">
        <v>263</v>
      </c>
      <c r="B42" s="358">
        <v>53.233988640634003</v>
      </c>
      <c r="C42" s="358">
        <v>51.114879999999999</v>
      </c>
      <c r="D42" s="359">
        <v>-2.1191086406339998</v>
      </c>
      <c r="E42" s="360">
        <v>0.96019256315799995</v>
      </c>
      <c r="F42" s="358">
        <v>0</v>
      </c>
      <c r="G42" s="359">
        <v>0</v>
      </c>
      <c r="H42" s="361">
        <v>1.68</v>
      </c>
      <c r="I42" s="358">
        <v>4.5389999999999997</v>
      </c>
      <c r="J42" s="359">
        <v>4.5389999999999997</v>
      </c>
      <c r="K42" s="369" t="s">
        <v>224</v>
      </c>
    </row>
    <row r="43" spans="1:11" ht="14.4" customHeight="1" thickBot="1" x14ac:dyDescent="0.35">
      <c r="A43" s="380" t="s">
        <v>264</v>
      </c>
      <c r="B43" s="358">
        <v>24.546617489565001</v>
      </c>
      <c r="C43" s="358">
        <v>59.451979999999999</v>
      </c>
      <c r="D43" s="359">
        <v>34.905362510434003</v>
      </c>
      <c r="E43" s="360">
        <v>2.4220029511300001</v>
      </c>
      <c r="F43" s="358">
        <v>48.159195307303001</v>
      </c>
      <c r="G43" s="359">
        <v>8.0265325512170005</v>
      </c>
      <c r="H43" s="361">
        <v>4.9406564584124654E-324</v>
      </c>
      <c r="I43" s="358">
        <v>9.8813129168249309E-324</v>
      </c>
      <c r="J43" s="359">
        <v>-8.0265325512170005</v>
      </c>
      <c r="K43" s="362">
        <v>0</v>
      </c>
    </row>
    <row r="44" spans="1:11" ht="14.4" customHeight="1" thickBot="1" x14ac:dyDescent="0.35">
      <c r="A44" s="380" t="s">
        <v>265</v>
      </c>
      <c r="B44" s="358">
        <v>0</v>
      </c>
      <c r="C44" s="358">
        <v>0.41099999999999998</v>
      </c>
      <c r="D44" s="359">
        <v>0.41099999999999998</v>
      </c>
      <c r="E44" s="368" t="s">
        <v>224</v>
      </c>
      <c r="F44" s="358">
        <v>0.27396933219800002</v>
      </c>
      <c r="G44" s="359">
        <v>4.5661555366000001E-2</v>
      </c>
      <c r="H44" s="361">
        <v>4.9406564584124654E-324</v>
      </c>
      <c r="I44" s="358">
        <v>9.8813129168249309E-324</v>
      </c>
      <c r="J44" s="359">
        <v>-4.5661555366000001E-2</v>
      </c>
      <c r="K44" s="362">
        <v>3.4584595208887258E-323</v>
      </c>
    </row>
    <row r="45" spans="1:11" ht="14.4" customHeight="1" thickBot="1" x14ac:dyDescent="0.35">
      <c r="A45" s="380" t="s">
        <v>266</v>
      </c>
      <c r="B45" s="358">
        <v>5.0381340311829996</v>
      </c>
      <c r="C45" s="358">
        <v>12.917949999999999</v>
      </c>
      <c r="D45" s="359">
        <v>7.8798159688159997</v>
      </c>
      <c r="E45" s="360">
        <v>2.5640346048840001</v>
      </c>
      <c r="F45" s="358">
        <v>11.002051478165001</v>
      </c>
      <c r="G45" s="359">
        <v>1.8336752463599999</v>
      </c>
      <c r="H45" s="361">
        <v>0.22092999999999999</v>
      </c>
      <c r="I45" s="358">
        <v>0.22092999999999999</v>
      </c>
      <c r="J45" s="359">
        <v>-1.6127452463600001</v>
      </c>
      <c r="K45" s="362">
        <v>2.0080800425E-2</v>
      </c>
    </row>
    <row r="46" spans="1:11" ht="14.4" customHeight="1" thickBot="1" x14ac:dyDescent="0.35">
      <c r="A46" s="379" t="s">
        <v>267</v>
      </c>
      <c r="B46" s="363">
        <v>84.751825212073001</v>
      </c>
      <c r="C46" s="363">
        <v>85.631339999999994</v>
      </c>
      <c r="D46" s="364">
        <v>0.87951478792600002</v>
      </c>
      <c r="E46" s="370">
        <v>1.0103775321140001</v>
      </c>
      <c r="F46" s="363">
        <v>130.97194802735399</v>
      </c>
      <c r="G46" s="364">
        <v>21.828658004558999</v>
      </c>
      <c r="H46" s="366">
        <v>8.3275000000000006</v>
      </c>
      <c r="I46" s="363">
        <v>13.93524</v>
      </c>
      <c r="J46" s="364">
        <v>-7.8934180045579998</v>
      </c>
      <c r="K46" s="371">
        <v>0.106398661773</v>
      </c>
    </row>
    <row r="47" spans="1:11" ht="14.4" customHeight="1" thickBot="1" x14ac:dyDescent="0.35">
      <c r="A47" s="380" t="s">
        <v>268</v>
      </c>
      <c r="B47" s="358">
        <v>22.860225165807002</v>
      </c>
      <c r="C47" s="358">
        <v>32.395069999999997</v>
      </c>
      <c r="D47" s="359">
        <v>9.5348448341920005</v>
      </c>
      <c r="E47" s="360">
        <v>1.4170932160559999</v>
      </c>
      <c r="F47" s="358">
        <v>28.978374727725999</v>
      </c>
      <c r="G47" s="359">
        <v>4.8297291212870004</v>
      </c>
      <c r="H47" s="361">
        <v>1.3486400000000001</v>
      </c>
      <c r="I47" s="358">
        <v>2.3748499999999999</v>
      </c>
      <c r="J47" s="359">
        <v>-2.454879121287</v>
      </c>
      <c r="K47" s="362">
        <v>8.1952491204E-2</v>
      </c>
    </row>
    <row r="48" spans="1:11" ht="14.4" customHeight="1" thickBot="1" x14ac:dyDescent="0.35">
      <c r="A48" s="380" t="s">
        <v>269</v>
      </c>
      <c r="B48" s="358">
        <v>55.937571359617003</v>
      </c>
      <c r="C48" s="358">
        <v>53.236269999999998</v>
      </c>
      <c r="D48" s="359">
        <v>-2.7013013596170001</v>
      </c>
      <c r="E48" s="360">
        <v>0.95170864065100003</v>
      </c>
      <c r="F48" s="358">
        <v>0</v>
      </c>
      <c r="G48" s="359">
        <v>0</v>
      </c>
      <c r="H48" s="361">
        <v>4.9406564584124654E-324</v>
      </c>
      <c r="I48" s="358">
        <v>9.8813129168249309E-324</v>
      </c>
      <c r="J48" s="359">
        <v>9.8813129168249309E-324</v>
      </c>
      <c r="K48" s="369" t="s">
        <v>224</v>
      </c>
    </row>
    <row r="49" spans="1:11" ht="14.4" customHeight="1" thickBot="1" x14ac:dyDescent="0.35">
      <c r="A49" s="380" t="s">
        <v>270</v>
      </c>
      <c r="B49" s="358">
        <v>4.9406564584124654E-324</v>
      </c>
      <c r="C49" s="358">
        <v>4.9406564584124654E-324</v>
      </c>
      <c r="D49" s="359">
        <v>0</v>
      </c>
      <c r="E49" s="360">
        <v>1</v>
      </c>
      <c r="F49" s="358">
        <v>22.002116269260998</v>
      </c>
      <c r="G49" s="359">
        <v>3.66701937821</v>
      </c>
      <c r="H49" s="361">
        <v>1.1219600000000001</v>
      </c>
      <c r="I49" s="358">
        <v>2.0299800000000001</v>
      </c>
      <c r="J49" s="359">
        <v>-1.6370393782099999</v>
      </c>
      <c r="K49" s="362">
        <v>9.2262943033999997E-2</v>
      </c>
    </row>
    <row r="50" spans="1:11" ht="14.4" customHeight="1" thickBot="1" x14ac:dyDescent="0.35">
      <c r="A50" s="380" t="s">
        <v>271</v>
      </c>
      <c r="B50" s="358">
        <v>4.9406564584124654E-324</v>
      </c>
      <c r="C50" s="358">
        <v>4.9406564584124654E-324</v>
      </c>
      <c r="D50" s="359">
        <v>0</v>
      </c>
      <c r="E50" s="360">
        <v>1</v>
      </c>
      <c r="F50" s="358">
        <v>19.999611650733002</v>
      </c>
      <c r="G50" s="359">
        <v>3.3332686084550001</v>
      </c>
      <c r="H50" s="361">
        <v>1.3209</v>
      </c>
      <c r="I50" s="358">
        <v>4.5310100000000002</v>
      </c>
      <c r="J50" s="359">
        <v>1.1977413915440001</v>
      </c>
      <c r="K50" s="362">
        <v>0.22655489912099999</v>
      </c>
    </row>
    <row r="51" spans="1:11" ht="14.4" customHeight="1" thickBot="1" x14ac:dyDescent="0.35">
      <c r="A51" s="380" t="s">
        <v>272</v>
      </c>
      <c r="B51" s="358">
        <v>4.9406564584124654E-324</v>
      </c>
      <c r="C51" s="358">
        <v>4.9406564584124654E-324</v>
      </c>
      <c r="D51" s="359">
        <v>0</v>
      </c>
      <c r="E51" s="360">
        <v>1</v>
      </c>
      <c r="F51" s="358">
        <v>59.991845379632998</v>
      </c>
      <c r="G51" s="359">
        <v>9.998640896605</v>
      </c>
      <c r="H51" s="361">
        <v>4.5359999999999996</v>
      </c>
      <c r="I51" s="358">
        <v>4.9993999999999996</v>
      </c>
      <c r="J51" s="359">
        <v>-4.9992408966050004</v>
      </c>
      <c r="K51" s="362">
        <v>8.3334659374999995E-2</v>
      </c>
    </row>
    <row r="52" spans="1:11" ht="14.4" customHeight="1" thickBot="1" x14ac:dyDescent="0.35">
      <c r="A52" s="378" t="s">
        <v>32</v>
      </c>
      <c r="B52" s="358">
        <v>1657.1116151515901</v>
      </c>
      <c r="C52" s="358">
        <v>2035.0893100000001</v>
      </c>
      <c r="D52" s="359">
        <v>377.97769484841001</v>
      </c>
      <c r="E52" s="360">
        <v>1.2280942885149999</v>
      </c>
      <c r="F52" s="358">
        <v>2000.48672618874</v>
      </c>
      <c r="G52" s="359">
        <v>333.41445436479</v>
      </c>
      <c r="H52" s="361">
        <v>170.971</v>
      </c>
      <c r="I52" s="358">
        <v>346.662000000001</v>
      </c>
      <c r="J52" s="359">
        <v>13.247545635210001</v>
      </c>
      <c r="K52" s="362">
        <v>0.17328882789399999</v>
      </c>
    </row>
    <row r="53" spans="1:11" ht="14.4" customHeight="1" thickBot="1" x14ac:dyDescent="0.35">
      <c r="A53" s="379" t="s">
        <v>273</v>
      </c>
      <c r="B53" s="363">
        <v>1657.1116151515901</v>
      </c>
      <c r="C53" s="363">
        <v>2035.0893100000001</v>
      </c>
      <c r="D53" s="364">
        <v>377.97769484841001</v>
      </c>
      <c r="E53" s="370">
        <v>1.2280942885149999</v>
      </c>
      <c r="F53" s="363">
        <v>2000.48672618874</v>
      </c>
      <c r="G53" s="364">
        <v>333.41445436479</v>
      </c>
      <c r="H53" s="366">
        <v>170.971</v>
      </c>
      <c r="I53" s="363">
        <v>346.662000000001</v>
      </c>
      <c r="J53" s="364">
        <v>13.247545635210001</v>
      </c>
      <c r="K53" s="371">
        <v>0.17328882789399999</v>
      </c>
    </row>
    <row r="54" spans="1:11" ht="14.4" customHeight="1" thickBot="1" x14ac:dyDescent="0.35">
      <c r="A54" s="380" t="s">
        <v>274</v>
      </c>
      <c r="B54" s="358">
        <v>772.37344892406804</v>
      </c>
      <c r="C54" s="358">
        <v>746.846</v>
      </c>
      <c r="D54" s="359">
        <v>-25.527448924066999</v>
      </c>
      <c r="E54" s="360">
        <v>0.96694934431000001</v>
      </c>
      <c r="F54" s="358">
        <v>689.69753160715197</v>
      </c>
      <c r="G54" s="359">
        <v>114.949588601192</v>
      </c>
      <c r="H54" s="361">
        <v>48.856000000000002</v>
      </c>
      <c r="I54" s="358">
        <v>48.856000000000002</v>
      </c>
      <c r="J54" s="359">
        <v>-66.093588601191001</v>
      </c>
      <c r="K54" s="362">
        <v>7.0836849140999997E-2</v>
      </c>
    </row>
    <row r="55" spans="1:11" ht="14.4" customHeight="1" thickBot="1" x14ac:dyDescent="0.35">
      <c r="A55" s="380" t="s">
        <v>275</v>
      </c>
      <c r="B55" s="358">
        <v>220.00945558789701</v>
      </c>
      <c r="C55" s="358">
        <v>215.39699999999999</v>
      </c>
      <c r="D55" s="359">
        <v>-4.6124555878960001</v>
      </c>
      <c r="E55" s="360">
        <v>0.97903519384799997</v>
      </c>
      <c r="F55" s="358">
        <v>220.00149025923901</v>
      </c>
      <c r="G55" s="359">
        <v>36.666915043205996</v>
      </c>
      <c r="H55" s="361">
        <v>16.187000000000001</v>
      </c>
      <c r="I55" s="358">
        <v>37.780999999999999</v>
      </c>
      <c r="J55" s="359">
        <v>1.114084956793</v>
      </c>
      <c r="K55" s="362">
        <v>0.171730654894</v>
      </c>
    </row>
    <row r="56" spans="1:11" ht="14.4" customHeight="1" thickBot="1" x14ac:dyDescent="0.35">
      <c r="A56" s="380" t="s">
        <v>276</v>
      </c>
      <c r="B56" s="358">
        <v>640.04896931035796</v>
      </c>
      <c r="C56" s="358">
        <v>1056.5029999999999</v>
      </c>
      <c r="D56" s="359">
        <v>416.45403068964202</v>
      </c>
      <c r="E56" s="360">
        <v>1.650659638024</v>
      </c>
      <c r="F56" s="358">
        <v>1071.2745011321499</v>
      </c>
      <c r="G56" s="359">
        <v>178.54575018869099</v>
      </c>
      <c r="H56" s="361">
        <v>104.72799999999999</v>
      </c>
      <c r="I56" s="358">
        <v>257.62500000000102</v>
      </c>
      <c r="J56" s="359">
        <v>79.079249811308998</v>
      </c>
      <c r="K56" s="362">
        <v>0.240484581428</v>
      </c>
    </row>
    <row r="57" spans="1:11" ht="14.4" customHeight="1" thickBot="1" x14ac:dyDescent="0.35">
      <c r="A57" s="380" t="s">
        <v>277</v>
      </c>
      <c r="B57" s="358">
        <v>24.679741329266999</v>
      </c>
      <c r="C57" s="358">
        <v>16.343309999999999</v>
      </c>
      <c r="D57" s="359">
        <v>-8.3364313292670005</v>
      </c>
      <c r="E57" s="360">
        <v>0.66221561166099996</v>
      </c>
      <c r="F57" s="358">
        <v>19.513203190203999</v>
      </c>
      <c r="G57" s="359">
        <v>3.2522005316999998</v>
      </c>
      <c r="H57" s="361">
        <v>1.2</v>
      </c>
      <c r="I57" s="358">
        <v>2.4</v>
      </c>
      <c r="J57" s="359">
        <v>-0.85220053169999999</v>
      </c>
      <c r="K57" s="362">
        <v>0.12299364571800001</v>
      </c>
    </row>
    <row r="58" spans="1:11" ht="14.4" customHeight="1" thickBot="1" x14ac:dyDescent="0.35">
      <c r="A58" s="381" t="s">
        <v>278</v>
      </c>
      <c r="B58" s="363">
        <v>3391.4180702896301</v>
      </c>
      <c r="C58" s="363">
        <v>3605.3945800000001</v>
      </c>
      <c r="D58" s="364">
        <v>213.97650971037601</v>
      </c>
      <c r="E58" s="370">
        <v>1.0630935217290001</v>
      </c>
      <c r="F58" s="363">
        <v>3426.00676836605</v>
      </c>
      <c r="G58" s="364">
        <v>571.00112806100901</v>
      </c>
      <c r="H58" s="366">
        <v>284.04777000000001</v>
      </c>
      <c r="I58" s="363">
        <v>474.05457000000098</v>
      </c>
      <c r="J58" s="364">
        <v>-96.946558061006996</v>
      </c>
      <c r="K58" s="371">
        <v>0.138369420159</v>
      </c>
    </row>
    <row r="59" spans="1:11" ht="14.4" customHeight="1" thickBot="1" x14ac:dyDescent="0.35">
      <c r="A59" s="378" t="s">
        <v>35</v>
      </c>
      <c r="B59" s="358">
        <v>1351.6175723026299</v>
      </c>
      <c r="C59" s="358">
        <v>569.96571000000097</v>
      </c>
      <c r="D59" s="359">
        <v>-781.65186230262498</v>
      </c>
      <c r="E59" s="360">
        <v>0.42169155068600001</v>
      </c>
      <c r="F59" s="358">
        <v>600.45396722338796</v>
      </c>
      <c r="G59" s="359">
        <v>100.07566120389799</v>
      </c>
      <c r="H59" s="361">
        <v>123.42337000000001</v>
      </c>
      <c r="I59" s="358">
        <v>163.02623</v>
      </c>
      <c r="J59" s="359">
        <v>62.950568796101997</v>
      </c>
      <c r="K59" s="362">
        <v>0.27150495941199998</v>
      </c>
    </row>
    <row r="60" spans="1:11" ht="14.4" customHeight="1" thickBot="1" x14ac:dyDescent="0.35">
      <c r="A60" s="382" t="s">
        <v>279</v>
      </c>
      <c r="B60" s="358">
        <v>601.61757230266596</v>
      </c>
      <c r="C60" s="358">
        <v>569.96571000000097</v>
      </c>
      <c r="D60" s="359">
        <v>-31.651862302664998</v>
      </c>
      <c r="E60" s="360">
        <v>0.94738873370700005</v>
      </c>
      <c r="F60" s="358">
        <v>600.45396722338796</v>
      </c>
      <c r="G60" s="359">
        <v>100.07566120389799</v>
      </c>
      <c r="H60" s="361">
        <v>123.42337000000001</v>
      </c>
      <c r="I60" s="358">
        <v>163.02623</v>
      </c>
      <c r="J60" s="359">
        <v>62.950568796101997</v>
      </c>
      <c r="K60" s="362">
        <v>0.27150495941199998</v>
      </c>
    </row>
    <row r="61" spans="1:11" ht="14.4" customHeight="1" thickBot="1" x14ac:dyDescent="0.35">
      <c r="A61" s="380" t="s">
        <v>280</v>
      </c>
      <c r="B61" s="358">
        <v>288.84164721812903</v>
      </c>
      <c r="C61" s="358">
        <v>252.02987999999999</v>
      </c>
      <c r="D61" s="359">
        <v>-36.811767218127997</v>
      </c>
      <c r="E61" s="360">
        <v>0.87255381080700001</v>
      </c>
      <c r="F61" s="358">
        <v>232.40679870340699</v>
      </c>
      <c r="G61" s="359">
        <v>38.734466450566998</v>
      </c>
      <c r="H61" s="361">
        <v>22.311</v>
      </c>
      <c r="I61" s="358">
        <v>24.725000000000001</v>
      </c>
      <c r="J61" s="359">
        <v>-14.009466450567</v>
      </c>
      <c r="K61" s="362">
        <v>0.106386732823</v>
      </c>
    </row>
    <row r="62" spans="1:11" ht="14.4" customHeight="1" thickBot="1" x14ac:dyDescent="0.35">
      <c r="A62" s="380" t="s">
        <v>281</v>
      </c>
      <c r="B62" s="358">
        <v>35.381630334044999</v>
      </c>
      <c r="C62" s="358">
        <v>46.863</v>
      </c>
      <c r="D62" s="359">
        <v>11.481369665954</v>
      </c>
      <c r="E62" s="360">
        <v>1.3245008654929999</v>
      </c>
      <c r="F62" s="358">
        <v>60.935718011589003</v>
      </c>
      <c r="G62" s="359">
        <v>10.155953001931</v>
      </c>
      <c r="H62" s="361">
        <v>0.121</v>
      </c>
      <c r="I62" s="358">
        <v>0.121</v>
      </c>
      <c r="J62" s="359">
        <v>-10.034953001930999</v>
      </c>
      <c r="K62" s="362">
        <v>1.9856990930000001E-3</v>
      </c>
    </row>
    <row r="63" spans="1:11" ht="14.4" customHeight="1" thickBot="1" x14ac:dyDescent="0.35">
      <c r="A63" s="380" t="s">
        <v>282</v>
      </c>
      <c r="B63" s="358">
        <v>185.40108063240001</v>
      </c>
      <c r="C63" s="358">
        <v>129.20186000000001</v>
      </c>
      <c r="D63" s="359">
        <v>-56.199220632399999</v>
      </c>
      <c r="E63" s="360">
        <v>0.69687759941399996</v>
      </c>
      <c r="F63" s="358">
        <v>159.99972987145199</v>
      </c>
      <c r="G63" s="359">
        <v>26.666621645241001</v>
      </c>
      <c r="H63" s="361">
        <v>63.008940000000003</v>
      </c>
      <c r="I63" s="358">
        <v>100.1978</v>
      </c>
      <c r="J63" s="359">
        <v>73.531178354757998</v>
      </c>
      <c r="K63" s="362">
        <v>0.62623730727799998</v>
      </c>
    </row>
    <row r="64" spans="1:11" ht="14.4" customHeight="1" thickBot="1" x14ac:dyDescent="0.35">
      <c r="A64" s="380" t="s">
        <v>283</v>
      </c>
      <c r="B64" s="358">
        <v>91.993214118091004</v>
      </c>
      <c r="C64" s="358">
        <v>141.87097</v>
      </c>
      <c r="D64" s="359">
        <v>49.877755881908001</v>
      </c>
      <c r="E64" s="360">
        <v>1.5421895121289999</v>
      </c>
      <c r="F64" s="358">
        <v>147.111720636939</v>
      </c>
      <c r="G64" s="359">
        <v>24.518620106156</v>
      </c>
      <c r="H64" s="361">
        <v>37.982430000000001</v>
      </c>
      <c r="I64" s="358">
        <v>37.982430000000001</v>
      </c>
      <c r="J64" s="359">
        <v>13.463809893843001</v>
      </c>
      <c r="K64" s="362">
        <v>0.25818765381499997</v>
      </c>
    </row>
    <row r="65" spans="1:11" ht="14.4" customHeight="1" thickBot="1" x14ac:dyDescent="0.35">
      <c r="A65" s="383" t="s">
        <v>36</v>
      </c>
      <c r="B65" s="363">
        <v>0</v>
      </c>
      <c r="C65" s="363">
        <v>12.202999999999999</v>
      </c>
      <c r="D65" s="364">
        <v>12.202999999999999</v>
      </c>
      <c r="E65" s="365" t="s">
        <v>224</v>
      </c>
      <c r="F65" s="363">
        <v>0</v>
      </c>
      <c r="G65" s="364">
        <v>0</v>
      </c>
      <c r="H65" s="366">
        <v>4.9406564584124654E-324</v>
      </c>
      <c r="I65" s="363">
        <v>9.8813129168249309E-324</v>
      </c>
      <c r="J65" s="364">
        <v>9.8813129168249309E-324</v>
      </c>
      <c r="K65" s="367" t="s">
        <v>224</v>
      </c>
    </row>
    <row r="66" spans="1:11" ht="14.4" customHeight="1" thickBot="1" x14ac:dyDescent="0.35">
      <c r="A66" s="379" t="s">
        <v>284</v>
      </c>
      <c r="B66" s="363">
        <v>0</v>
      </c>
      <c r="C66" s="363">
        <v>12.202999999999999</v>
      </c>
      <c r="D66" s="364">
        <v>12.202999999999999</v>
      </c>
      <c r="E66" s="365" t="s">
        <v>224</v>
      </c>
      <c r="F66" s="363">
        <v>0</v>
      </c>
      <c r="G66" s="364">
        <v>0</v>
      </c>
      <c r="H66" s="366">
        <v>4.9406564584124654E-324</v>
      </c>
      <c r="I66" s="363">
        <v>9.8813129168249309E-324</v>
      </c>
      <c r="J66" s="364">
        <v>9.8813129168249309E-324</v>
      </c>
      <c r="K66" s="367" t="s">
        <v>224</v>
      </c>
    </row>
    <row r="67" spans="1:11" ht="14.4" customHeight="1" thickBot="1" x14ac:dyDescent="0.35">
      <c r="A67" s="380" t="s">
        <v>285</v>
      </c>
      <c r="B67" s="358">
        <v>0</v>
      </c>
      <c r="C67" s="358">
        <v>12.202999999999999</v>
      </c>
      <c r="D67" s="359">
        <v>12.202999999999999</v>
      </c>
      <c r="E67" s="368" t="s">
        <v>224</v>
      </c>
      <c r="F67" s="358">
        <v>0</v>
      </c>
      <c r="G67" s="359">
        <v>0</v>
      </c>
      <c r="H67" s="361">
        <v>4.9406564584124654E-324</v>
      </c>
      <c r="I67" s="358">
        <v>9.8813129168249309E-324</v>
      </c>
      <c r="J67" s="359">
        <v>9.8813129168249309E-324</v>
      </c>
      <c r="K67" s="369" t="s">
        <v>224</v>
      </c>
    </row>
    <row r="68" spans="1:11" ht="14.4" customHeight="1" thickBot="1" x14ac:dyDescent="0.35">
      <c r="A68" s="378" t="s">
        <v>37</v>
      </c>
      <c r="B68" s="358">
        <v>2039.800497987</v>
      </c>
      <c r="C68" s="358">
        <v>3023.2258700000002</v>
      </c>
      <c r="D68" s="359">
        <v>983.42537201300001</v>
      </c>
      <c r="E68" s="360">
        <v>1.48211840961</v>
      </c>
      <c r="F68" s="358">
        <v>2825.55280114267</v>
      </c>
      <c r="G68" s="359">
        <v>470.92546685711102</v>
      </c>
      <c r="H68" s="361">
        <v>160.62440000000001</v>
      </c>
      <c r="I68" s="358">
        <v>311.02834000000098</v>
      </c>
      <c r="J68" s="359">
        <v>-159.89712685711001</v>
      </c>
      <c r="K68" s="362">
        <v>0.11007698736800001</v>
      </c>
    </row>
    <row r="69" spans="1:11" ht="14.4" customHeight="1" thickBot="1" x14ac:dyDescent="0.35">
      <c r="A69" s="379" t="s">
        <v>286</v>
      </c>
      <c r="B69" s="363">
        <v>0.50763695524200003</v>
      </c>
      <c r="C69" s="363">
        <v>0.51600000000000001</v>
      </c>
      <c r="D69" s="364">
        <v>8.3630447569999992E-3</v>
      </c>
      <c r="E69" s="370">
        <v>1.0164744600860001</v>
      </c>
      <c r="F69" s="363">
        <v>0.206244573264</v>
      </c>
      <c r="G69" s="364">
        <v>3.4374095543999998E-2</v>
      </c>
      <c r="H69" s="366">
        <v>0.10299999999999999</v>
      </c>
      <c r="I69" s="363">
        <v>0.71099999999999997</v>
      </c>
      <c r="J69" s="364">
        <v>0.67662590445500004</v>
      </c>
      <c r="K69" s="371">
        <v>3.4473634323829998</v>
      </c>
    </row>
    <row r="70" spans="1:11" ht="14.4" customHeight="1" thickBot="1" x14ac:dyDescent="0.35">
      <c r="A70" s="380" t="s">
        <v>287</v>
      </c>
      <c r="B70" s="358">
        <v>0.50763695524200003</v>
      </c>
      <c r="C70" s="358">
        <v>0.51600000000000001</v>
      </c>
      <c r="D70" s="359">
        <v>8.3630447569999992E-3</v>
      </c>
      <c r="E70" s="360">
        <v>1.0164744600860001</v>
      </c>
      <c r="F70" s="358">
        <v>0.206244573264</v>
      </c>
      <c r="G70" s="359">
        <v>3.4374095543999998E-2</v>
      </c>
      <c r="H70" s="361">
        <v>0.10299999999999999</v>
      </c>
      <c r="I70" s="358">
        <v>0.71099999999999997</v>
      </c>
      <c r="J70" s="359">
        <v>0.67662590445500004</v>
      </c>
      <c r="K70" s="362">
        <v>3.4473634323829998</v>
      </c>
    </row>
    <row r="71" spans="1:11" ht="14.4" customHeight="1" thickBot="1" x14ac:dyDescent="0.35">
      <c r="A71" s="379" t="s">
        <v>288</v>
      </c>
      <c r="B71" s="363">
        <v>81.441017707613</v>
      </c>
      <c r="C71" s="363">
        <v>91.387190000000004</v>
      </c>
      <c r="D71" s="364">
        <v>9.9461722923860005</v>
      </c>
      <c r="E71" s="370">
        <v>1.1221273084779999</v>
      </c>
      <c r="F71" s="363">
        <v>86.143393206305007</v>
      </c>
      <c r="G71" s="364">
        <v>14.35723220105</v>
      </c>
      <c r="H71" s="366">
        <v>6.5701000000000001</v>
      </c>
      <c r="I71" s="363">
        <v>12.67428</v>
      </c>
      <c r="J71" s="364">
        <v>-1.68295220105</v>
      </c>
      <c r="K71" s="371">
        <v>0.14713002968899999</v>
      </c>
    </row>
    <row r="72" spans="1:11" ht="14.4" customHeight="1" thickBot="1" x14ac:dyDescent="0.35">
      <c r="A72" s="380" t="s">
        <v>289</v>
      </c>
      <c r="B72" s="358">
        <v>3.9238597854820001</v>
      </c>
      <c r="C72" s="358">
        <v>3.7389000000000001</v>
      </c>
      <c r="D72" s="359">
        <v>-0.18495978548200001</v>
      </c>
      <c r="E72" s="360">
        <v>0.95286279439199995</v>
      </c>
      <c r="F72" s="358">
        <v>3.8248432068999998</v>
      </c>
      <c r="G72" s="359">
        <v>0.63747386781600002</v>
      </c>
      <c r="H72" s="361">
        <v>0.32969999999999999</v>
      </c>
      <c r="I72" s="358">
        <v>0.57099999999999995</v>
      </c>
      <c r="J72" s="359">
        <v>-6.6473867815999996E-2</v>
      </c>
      <c r="K72" s="362">
        <v>0.14928716527999999</v>
      </c>
    </row>
    <row r="73" spans="1:11" ht="14.4" customHeight="1" thickBot="1" x14ac:dyDescent="0.35">
      <c r="A73" s="380" t="s">
        <v>290</v>
      </c>
      <c r="B73" s="358">
        <v>77.517157922131005</v>
      </c>
      <c r="C73" s="358">
        <v>87.648290000000003</v>
      </c>
      <c r="D73" s="359">
        <v>10.131132077868999</v>
      </c>
      <c r="E73" s="360">
        <v>1.130695349899</v>
      </c>
      <c r="F73" s="358">
        <v>82.318549999403999</v>
      </c>
      <c r="G73" s="359">
        <v>13.719758333233999</v>
      </c>
      <c r="H73" s="361">
        <v>6.2404000000000002</v>
      </c>
      <c r="I73" s="358">
        <v>12.10328</v>
      </c>
      <c r="J73" s="359">
        <v>-1.616478333234</v>
      </c>
      <c r="K73" s="362">
        <v>0.147029800696</v>
      </c>
    </row>
    <row r="74" spans="1:11" ht="14.4" customHeight="1" thickBot="1" x14ac:dyDescent="0.35">
      <c r="A74" s="379" t="s">
        <v>291</v>
      </c>
      <c r="B74" s="363">
        <v>16.900520490247001</v>
      </c>
      <c r="C74" s="363">
        <v>24.482240000000001</v>
      </c>
      <c r="D74" s="364">
        <v>7.5817195097520003</v>
      </c>
      <c r="E74" s="370">
        <v>1.4486086398419999</v>
      </c>
      <c r="F74" s="363">
        <v>22.801184140690999</v>
      </c>
      <c r="G74" s="364">
        <v>3.8001973567810001</v>
      </c>
      <c r="H74" s="366">
        <v>2.1779999999999999</v>
      </c>
      <c r="I74" s="363">
        <v>5.3886399999999997</v>
      </c>
      <c r="J74" s="364">
        <v>1.5884426432180001</v>
      </c>
      <c r="K74" s="371">
        <v>0.23633158553299999</v>
      </c>
    </row>
    <row r="75" spans="1:11" ht="14.4" customHeight="1" thickBot="1" x14ac:dyDescent="0.35">
      <c r="A75" s="380" t="s">
        <v>292</v>
      </c>
      <c r="B75" s="358">
        <v>3.247067873042</v>
      </c>
      <c r="C75" s="358">
        <v>3.24</v>
      </c>
      <c r="D75" s="359">
        <v>-7.0678730420000004E-3</v>
      </c>
      <c r="E75" s="360">
        <v>0.99782330603500002</v>
      </c>
      <c r="F75" s="358">
        <v>3.3560261532609998</v>
      </c>
      <c r="G75" s="359">
        <v>0.55933769220999996</v>
      </c>
      <c r="H75" s="361">
        <v>4.9406564584124654E-324</v>
      </c>
      <c r="I75" s="358">
        <v>0.81</v>
      </c>
      <c r="J75" s="359">
        <v>0.25066230778900001</v>
      </c>
      <c r="K75" s="362">
        <v>0.241356879538</v>
      </c>
    </row>
    <row r="76" spans="1:11" ht="14.4" customHeight="1" thickBot="1" x14ac:dyDescent="0.35">
      <c r="A76" s="380" t="s">
        <v>293</v>
      </c>
      <c r="B76" s="358">
        <v>13.653452617205</v>
      </c>
      <c r="C76" s="358">
        <v>21.242239999999999</v>
      </c>
      <c r="D76" s="359">
        <v>7.588787382794</v>
      </c>
      <c r="E76" s="360">
        <v>1.5558145324520001</v>
      </c>
      <c r="F76" s="358">
        <v>19.445157987428999</v>
      </c>
      <c r="G76" s="359">
        <v>3.2408596645709999</v>
      </c>
      <c r="H76" s="361">
        <v>2.1779999999999999</v>
      </c>
      <c r="I76" s="358">
        <v>4.57864</v>
      </c>
      <c r="J76" s="359">
        <v>1.337780335428</v>
      </c>
      <c r="K76" s="362">
        <v>0.235464273571</v>
      </c>
    </row>
    <row r="77" spans="1:11" ht="14.4" customHeight="1" thickBot="1" x14ac:dyDescent="0.35">
      <c r="A77" s="379" t="s">
        <v>294</v>
      </c>
      <c r="B77" s="363">
        <v>750.41414315447696</v>
      </c>
      <c r="C77" s="363">
        <v>814.43309999999997</v>
      </c>
      <c r="D77" s="364">
        <v>64.018956845522993</v>
      </c>
      <c r="E77" s="370">
        <v>1.0853115008950001</v>
      </c>
      <c r="F77" s="363">
        <v>811.72734945402703</v>
      </c>
      <c r="G77" s="364">
        <v>135.28789157567101</v>
      </c>
      <c r="H77" s="366">
        <v>3.4073000000000002</v>
      </c>
      <c r="I77" s="363">
        <v>68.571420000000003</v>
      </c>
      <c r="J77" s="364">
        <v>-66.716471575669999</v>
      </c>
      <c r="K77" s="371">
        <v>8.4475926610000002E-2</v>
      </c>
    </row>
    <row r="78" spans="1:11" ht="14.4" customHeight="1" thickBot="1" x14ac:dyDescent="0.35">
      <c r="A78" s="380" t="s">
        <v>295</v>
      </c>
      <c r="B78" s="358">
        <v>709.00071993263396</v>
      </c>
      <c r="C78" s="358">
        <v>762.40508</v>
      </c>
      <c r="D78" s="359">
        <v>53.404360067365999</v>
      </c>
      <c r="E78" s="360">
        <v>1.075323421494</v>
      </c>
      <c r="F78" s="358">
        <v>762.31896980064903</v>
      </c>
      <c r="G78" s="359">
        <v>127.05316163344099</v>
      </c>
      <c r="H78" s="361">
        <v>4.9406564584124654E-324</v>
      </c>
      <c r="I78" s="358">
        <v>61.435940000000002</v>
      </c>
      <c r="J78" s="359">
        <v>-65.617221633441005</v>
      </c>
      <c r="K78" s="362">
        <v>8.0590858202000001E-2</v>
      </c>
    </row>
    <row r="79" spans="1:11" ht="14.4" customHeight="1" thickBot="1" x14ac:dyDescent="0.35">
      <c r="A79" s="380" t="s">
        <v>296</v>
      </c>
      <c r="B79" s="358">
        <v>0.47618026886199999</v>
      </c>
      <c r="C79" s="358">
        <v>14.135</v>
      </c>
      <c r="D79" s="359">
        <v>13.658819731136999</v>
      </c>
      <c r="E79" s="360">
        <v>29.684136290969999</v>
      </c>
      <c r="F79" s="358">
        <v>12.106639149008</v>
      </c>
      <c r="G79" s="359">
        <v>2.017773191501</v>
      </c>
      <c r="H79" s="361">
        <v>0.36399999999999999</v>
      </c>
      <c r="I79" s="358">
        <v>0.36399999999999999</v>
      </c>
      <c r="J79" s="359">
        <v>-1.6537731915010001</v>
      </c>
      <c r="K79" s="362">
        <v>3.0066147633000001E-2</v>
      </c>
    </row>
    <row r="80" spans="1:11" ht="14.4" customHeight="1" thickBot="1" x14ac:dyDescent="0.35">
      <c r="A80" s="380" t="s">
        <v>297</v>
      </c>
      <c r="B80" s="358">
        <v>40.93724295298</v>
      </c>
      <c r="C80" s="358">
        <v>37.89302</v>
      </c>
      <c r="D80" s="359">
        <v>-3.0442229529799998</v>
      </c>
      <c r="E80" s="360">
        <v>0.92563683498399996</v>
      </c>
      <c r="F80" s="358">
        <v>37.301740504370002</v>
      </c>
      <c r="G80" s="359">
        <v>6.2169567507280004</v>
      </c>
      <c r="H80" s="361">
        <v>3.0432999999999999</v>
      </c>
      <c r="I80" s="358">
        <v>6.7714800000000004</v>
      </c>
      <c r="J80" s="359">
        <v>0.55452324927100005</v>
      </c>
      <c r="K80" s="362">
        <v>0.181532548037</v>
      </c>
    </row>
    <row r="81" spans="1:11" ht="14.4" customHeight="1" thickBot="1" x14ac:dyDescent="0.35">
      <c r="A81" s="379" t="s">
        <v>298</v>
      </c>
      <c r="B81" s="363">
        <v>575.40141552236503</v>
      </c>
      <c r="C81" s="363">
        <v>446.84934000000101</v>
      </c>
      <c r="D81" s="364">
        <v>-128.55207552236499</v>
      </c>
      <c r="E81" s="370">
        <v>0.77658714063800005</v>
      </c>
      <c r="F81" s="363">
        <v>441.27162516312598</v>
      </c>
      <c r="G81" s="364">
        <v>73.545270860521001</v>
      </c>
      <c r="H81" s="366">
        <v>7.8470000000000004</v>
      </c>
      <c r="I81" s="363">
        <v>7.8470000000000004</v>
      </c>
      <c r="J81" s="364">
        <v>-65.698270860521006</v>
      </c>
      <c r="K81" s="371">
        <v>1.7782697895000001E-2</v>
      </c>
    </row>
    <row r="82" spans="1:11" ht="14.4" customHeight="1" thickBot="1" x14ac:dyDescent="0.35">
      <c r="A82" s="380" t="s">
        <v>299</v>
      </c>
      <c r="B82" s="358">
        <v>53.069259307888998</v>
      </c>
      <c r="C82" s="358">
        <v>0.51</v>
      </c>
      <c r="D82" s="359">
        <v>-52.559259307889</v>
      </c>
      <c r="E82" s="360">
        <v>9.61008325E-3</v>
      </c>
      <c r="F82" s="358">
        <v>4.9406564584124654E-324</v>
      </c>
      <c r="G82" s="359">
        <v>0</v>
      </c>
      <c r="H82" s="361">
        <v>4.9406564584124654E-324</v>
      </c>
      <c r="I82" s="358">
        <v>9.8813129168249309E-324</v>
      </c>
      <c r="J82" s="359">
        <v>9.8813129168249309E-324</v>
      </c>
      <c r="K82" s="362">
        <v>2</v>
      </c>
    </row>
    <row r="83" spans="1:11" ht="14.4" customHeight="1" thickBot="1" x14ac:dyDescent="0.35">
      <c r="A83" s="380" t="s">
        <v>300</v>
      </c>
      <c r="B83" s="358">
        <v>511.27433075321699</v>
      </c>
      <c r="C83" s="358">
        <v>436.65239000000099</v>
      </c>
      <c r="D83" s="359">
        <v>-74.621940753215995</v>
      </c>
      <c r="E83" s="360">
        <v>0.854047159685</v>
      </c>
      <c r="F83" s="358">
        <v>431.70230463298799</v>
      </c>
      <c r="G83" s="359">
        <v>71.950384105498003</v>
      </c>
      <c r="H83" s="361">
        <v>7.8470000000000004</v>
      </c>
      <c r="I83" s="358">
        <v>7.8470000000000004</v>
      </c>
      <c r="J83" s="359">
        <v>-64.103384105497994</v>
      </c>
      <c r="K83" s="362">
        <v>1.8176877713E-2</v>
      </c>
    </row>
    <row r="84" spans="1:11" ht="14.4" customHeight="1" thickBot="1" x14ac:dyDescent="0.35">
      <c r="A84" s="380" t="s">
        <v>301</v>
      </c>
      <c r="B84" s="358">
        <v>2.9984533709769998</v>
      </c>
      <c r="C84" s="358">
        <v>3.81</v>
      </c>
      <c r="D84" s="359">
        <v>0.81154662902200003</v>
      </c>
      <c r="E84" s="360">
        <v>1.27065507734</v>
      </c>
      <c r="F84" s="358">
        <v>3.0010932502209999</v>
      </c>
      <c r="G84" s="359">
        <v>0.50018220837000005</v>
      </c>
      <c r="H84" s="361">
        <v>4.9406564584124654E-324</v>
      </c>
      <c r="I84" s="358">
        <v>9.8813129168249309E-324</v>
      </c>
      <c r="J84" s="359">
        <v>-0.50018220837000005</v>
      </c>
      <c r="K84" s="362">
        <v>4.9406564584124654E-324</v>
      </c>
    </row>
    <row r="85" spans="1:11" ht="14.4" customHeight="1" thickBot="1" x14ac:dyDescent="0.35">
      <c r="A85" s="380" t="s">
        <v>302</v>
      </c>
      <c r="B85" s="358">
        <v>8.0593720902800001</v>
      </c>
      <c r="C85" s="358">
        <v>1.54878</v>
      </c>
      <c r="D85" s="359">
        <v>-6.5105920902800003</v>
      </c>
      <c r="E85" s="360">
        <v>0.192171298539</v>
      </c>
      <c r="F85" s="358">
        <v>1.4632420148550001</v>
      </c>
      <c r="G85" s="359">
        <v>0.24387366914200001</v>
      </c>
      <c r="H85" s="361">
        <v>4.9406564584124654E-324</v>
      </c>
      <c r="I85" s="358">
        <v>9.8813129168249309E-324</v>
      </c>
      <c r="J85" s="359">
        <v>-0.24387366914200001</v>
      </c>
      <c r="K85" s="362">
        <v>4.9406564584124654E-324</v>
      </c>
    </row>
    <row r="86" spans="1:11" ht="14.4" customHeight="1" thickBot="1" x14ac:dyDescent="0.35">
      <c r="A86" s="380" t="s">
        <v>303</v>
      </c>
      <c r="B86" s="358">
        <v>4.9406564584124654E-324</v>
      </c>
      <c r="C86" s="358">
        <v>4.3281700000000001</v>
      </c>
      <c r="D86" s="359">
        <v>4.3281700000000001</v>
      </c>
      <c r="E86" s="368" t="s">
        <v>230</v>
      </c>
      <c r="F86" s="358">
        <v>5.1049852650609999</v>
      </c>
      <c r="G86" s="359">
        <v>0.85083087750999997</v>
      </c>
      <c r="H86" s="361">
        <v>4.9406564584124654E-324</v>
      </c>
      <c r="I86" s="358">
        <v>9.8813129168249309E-324</v>
      </c>
      <c r="J86" s="359">
        <v>-0.85083087750999997</v>
      </c>
      <c r="K86" s="362">
        <v>0</v>
      </c>
    </row>
    <row r="87" spans="1:11" ht="14.4" customHeight="1" thickBot="1" x14ac:dyDescent="0.35">
      <c r="A87" s="379" t="s">
        <v>304</v>
      </c>
      <c r="B87" s="363">
        <v>615.13576415705597</v>
      </c>
      <c r="C87" s="363">
        <v>1645.558</v>
      </c>
      <c r="D87" s="364">
        <v>1030.4222358429399</v>
      </c>
      <c r="E87" s="370">
        <v>2.6751135210850001</v>
      </c>
      <c r="F87" s="363">
        <v>1463.4030046052501</v>
      </c>
      <c r="G87" s="364">
        <v>243.90050076754201</v>
      </c>
      <c r="H87" s="366">
        <v>140.51900000000001</v>
      </c>
      <c r="I87" s="363">
        <v>215.83600000000001</v>
      </c>
      <c r="J87" s="364">
        <v>-28.064500767540999</v>
      </c>
      <c r="K87" s="371">
        <v>0.147489105407</v>
      </c>
    </row>
    <row r="88" spans="1:11" ht="14.4" customHeight="1" thickBot="1" x14ac:dyDescent="0.35">
      <c r="A88" s="380" t="s">
        <v>305</v>
      </c>
      <c r="B88" s="358">
        <v>4.9406564584124654E-324</v>
      </c>
      <c r="C88" s="358">
        <v>5.0499999999989997</v>
      </c>
      <c r="D88" s="359">
        <v>5.0499999999989997</v>
      </c>
      <c r="E88" s="368" t="s">
        <v>230</v>
      </c>
      <c r="F88" s="358">
        <v>0</v>
      </c>
      <c r="G88" s="359">
        <v>0</v>
      </c>
      <c r="H88" s="361">
        <v>4.9406564584124654E-324</v>
      </c>
      <c r="I88" s="358">
        <v>9.8813129168249309E-324</v>
      </c>
      <c r="J88" s="359">
        <v>9.8813129168249309E-324</v>
      </c>
      <c r="K88" s="369" t="s">
        <v>224</v>
      </c>
    </row>
    <row r="89" spans="1:11" ht="14.4" customHeight="1" thickBot="1" x14ac:dyDescent="0.35">
      <c r="A89" s="380" t="s">
        <v>306</v>
      </c>
      <c r="B89" s="358">
        <v>17.717919499394998</v>
      </c>
      <c r="C89" s="358">
        <v>23.716000000000001</v>
      </c>
      <c r="D89" s="359">
        <v>5.9980805006039999</v>
      </c>
      <c r="E89" s="360">
        <v>1.3385318745129999</v>
      </c>
      <c r="F89" s="358">
        <v>24.037846805084001</v>
      </c>
      <c r="G89" s="359">
        <v>4.0063078008469999</v>
      </c>
      <c r="H89" s="361">
        <v>4.9406564584124654E-324</v>
      </c>
      <c r="I89" s="358">
        <v>9.8813129168249309E-324</v>
      </c>
      <c r="J89" s="359">
        <v>-4.0063078008469999</v>
      </c>
      <c r="K89" s="362">
        <v>0</v>
      </c>
    </row>
    <row r="90" spans="1:11" ht="14.4" customHeight="1" thickBot="1" x14ac:dyDescent="0.35">
      <c r="A90" s="380" t="s">
        <v>307</v>
      </c>
      <c r="B90" s="358">
        <v>597.41784465766</v>
      </c>
      <c r="C90" s="358">
        <v>1616.7919999999999</v>
      </c>
      <c r="D90" s="359">
        <v>1019.37415534234</v>
      </c>
      <c r="E90" s="360">
        <v>2.7063001456309999</v>
      </c>
      <c r="F90" s="358">
        <v>1389.36515780017</v>
      </c>
      <c r="G90" s="359">
        <v>231.56085963336099</v>
      </c>
      <c r="H90" s="361">
        <v>140.51900000000001</v>
      </c>
      <c r="I90" s="358">
        <v>215.83600000000001</v>
      </c>
      <c r="J90" s="359">
        <v>-15.724859633359999</v>
      </c>
      <c r="K90" s="362">
        <v>0.15534864883300001</v>
      </c>
    </row>
    <row r="91" spans="1:11" ht="14.4" customHeight="1" thickBot="1" x14ac:dyDescent="0.35">
      <c r="A91" s="380" t="s">
        <v>308</v>
      </c>
      <c r="B91" s="358">
        <v>4.9406564584124654E-324</v>
      </c>
      <c r="C91" s="358">
        <v>4.9406564584124654E-324</v>
      </c>
      <c r="D91" s="359">
        <v>0</v>
      </c>
      <c r="E91" s="360">
        <v>1</v>
      </c>
      <c r="F91" s="358">
        <v>49.999999999998998</v>
      </c>
      <c r="G91" s="359">
        <v>8.333333333333</v>
      </c>
      <c r="H91" s="361">
        <v>4.9406564584124654E-324</v>
      </c>
      <c r="I91" s="358">
        <v>9.8813129168249309E-324</v>
      </c>
      <c r="J91" s="359">
        <v>-8.333333333333</v>
      </c>
      <c r="K91" s="362">
        <v>0</v>
      </c>
    </row>
    <row r="92" spans="1:11" ht="14.4" customHeight="1" thickBot="1" x14ac:dyDescent="0.35">
      <c r="A92" s="377" t="s">
        <v>38</v>
      </c>
      <c r="B92" s="358">
        <v>28084.992462231901</v>
      </c>
      <c r="C92" s="358">
        <v>27051.47752</v>
      </c>
      <c r="D92" s="359">
        <v>-1033.51494223193</v>
      </c>
      <c r="E92" s="360">
        <v>0.96320045505999996</v>
      </c>
      <c r="F92" s="358">
        <v>27891.137076979801</v>
      </c>
      <c r="G92" s="359">
        <v>4648.5228461632996</v>
      </c>
      <c r="H92" s="361">
        <v>2075.15101</v>
      </c>
      <c r="I92" s="358">
        <v>4124.16968000001</v>
      </c>
      <c r="J92" s="359">
        <v>-524.35316616328703</v>
      </c>
      <c r="K92" s="362">
        <v>0.14786667422700001</v>
      </c>
    </row>
    <row r="93" spans="1:11" ht="14.4" customHeight="1" thickBot="1" x14ac:dyDescent="0.35">
      <c r="A93" s="383" t="s">
        <v>309</v>
      </c>
      <c r="B93" s="363">
        <v>20855.999999998901</v>
      </c>
      <c r="C93" s="363">
        <v>20145.077000000001</v>
      </c>
      <c r="D93" s="364">
        <v>-710.92299999883801</v>
      </c>
      <c r="E93" s="370">
        <v>0.965912782892</v>
      </c>
      <c r="F93" s="363">
        <v>20725.9999999996</v>
      </c>
      <c r="G93" s="364">
        <v>3454.3333333332698</v>
      </c>
      <c r="H93" s="366">
        <v>1547.9680000000001</v>
      </c>
      <c r="I93" s="363">
        <v>3077.3540000000098</v>
      </c>
      <c r="J93" s="364">
        <v>-376.97933333326301</v>
      </c>
      <c r="K93" s="371">
        <v>0.1484779504</v>
      </c>
    </row>
    <row r="94" spans="1:11" ht="14.4" customHeight="1" thickBot="1" x14ac:dyDescent="0.35">
      <c r="A94" s="379" t="s">
        <v>310</v>
      </c>
      <c r="B94" s="363">
        <v>20655.999999998901</v>
      </c>
      <c r="C94" s="363">
        <v>19914.373</v>
      </c>
      <c r="D94" s="364">
        <v>-741.62699999885103</v>
      </c>
      <c r="E94" s="370">
        <v>0.96409629163400001</v>
      </c>
      <c r="F94" s="363">
        <v>20471.9999999996</v>
      </c>
      <c r="G94" s="364">
        <v>3411.99999999994</v>
      </c>
      <c r="H94" s="366">
        <v>1522.12</v>
      </c>
      <c r="I94" s="363">
        <v>3021.9490000000101</v>
      </c>
      <c r="J94" s="364">
        <v>-390.05099999993098</v>
      </c>
      <c r="K94" s="371">
        <v>0.147613765142</v>
      </c>
    </row>
    <row r="95" spans="1:11" ht="14.4" customHeight="1" thickBot="1" x14ac:dyDescent="0.35">
      <c r="A95" s="380" t="s">
        <v>311</v>
      </c>
      <c r="B95" s="358">
        <v>20655.999999998901</v>
      </c>
      <c r="C95" s="358">
        <v>19914.373</v>
      </c>
      <c r="D95" s="359">
        <v>-741.62699999885103</v>
      </c>
      <c r="E95" s="360">
        <v>0.96409629163400001</v>
      </c>
      <c r="F95" s="358">
        <v>20471.9999999996</v>
      </c>
      <c r="G95" s="359">
        <v>3411.99999999994</v>
      </c>
      <c r="H95" s="361">
        <v>1522.12</v>
      </c>
      <c r="I95" s="358">
        <v>3021.9490000000101</v>
      </c>
      <c r="J95" s="359">
        <v>-390.05099999993098</v>
      </c>
      <c r="K95" s="362">
        <v>0.147613765142</v>
      </c>
    </row>
    <row r="96" spans="1:11" ht="14.4" customHeight="1" thickBot="1" x14ac:dyDescent="0.35">
      <c r="A96" s="379" t="s">
        <v>312</v>
      </c>
      <c r="B96" s="363">
        <v>199.999999999989</v>
      </c>
      <c r="C96" s="363">
        <v>178.91</v>
      </c>
      <c r="D96" s="364">
        <v>-21.089999999987999</v>
      </c>
      <c r="E96" s="370">
        <v>0.89454999999999996</v>
      </c>
      <c r="F96" s="363">
        <v>191.99999999999599</v>
      </c>
      <c r="G96" s="364">
        <v>31.999999999999002</v>
      </c>
      <c r="H96" s="366">
        <v>16.61</v>
      </c>
      <c r="I96" s="363">
        <v>32.619999999999997</v>
      </c>
      <c r="J96" s="364">
        <v>0.62</v>
      </c>
      <c r="K96" s="371">
        <v>0.16989583333300001</v>
      </c>
    </row>
    <row r="97" spans="1:11" ht="14.4" customHeight="1" thickBot="1" x14ac:dyDescent="0.35">
      <c r="A97" s="380" t="s">
        <v>313</v>
      </c>
      <c r="B97" s="358">
        <v>199.999999999989</v>
      </c>
      <c r="C97" s="358">
        <v>178.91</v>
      </c>
      <c r="D97" s="359">
        <v>-21.089999999987999</v>
      </c>
      <c r="E97" s="360">
        <v>0.89454999999999996</v>
      </c>
      <c r="F97" s="358">
        <v>191.99999999999599</v>
      </c>
      <c r="G97" s="359">
        <v>31.999999999999002</v>
      </c>
      <c r="H97" s="361">
        <v>16.61</v>
      </c>
      <c r="I97" s="358">
        <v>32.619999999999997</v>
      </c>
      <c r="J97" s="359">
        <v>0.62</v>
      </c>
      <c r="K97" s="362">
        <v>0.16989583333300001</v>
      </c>
    </row>
    <row r="98" spans="1:11" ht="14.4" customHeight="1" thickBot="1" x14ac:dyDescent="0.35">
      <c r="A98" s="379" t="s">
        <v>314</v>
      </c>
      <c r="B98" s="363">
        <v>0</v>
      </c>
      <c r="C98" s="363">
        <v>51.793999999999997</v>
      </c>
      <c r="D98" s="364">
        <v>51.793999999999997</v>
      </c>
      <c r="E98" s="365" t="s">
        <v>224</v>
      </c>
      <c r="F98" s="363">
        <v>61.999999999998003</v>
      </c>
      <c r="G98" s="364">
        <v>10.333333333333</v>
      </c>
      <c r="H98" s="366">
        <v>9.2379999999999995</v>
      </c>
      <c r="I98" s="363">
        <v>22.785</v>
      </c>
      <c r="J98" s="364">
        <v>12.451666666666</v>
      </c>
      <c r="K98" s="371">
        <v>0.36749999999999999</v>
      </c>
    </row>
    <row r="99" spans="1:11" ht="14.4" customHeight="1" thickBot="1" x14ac:dyDescent="0.35">
      <c r="A99" s="380" t="s">
        <v>315</v>
      </c>
      <c r="B99" s="358">
        <v>0</v>
      </c>
      <c r="C99" s="358">
        <v>51.793999999999997</v>
      </c>
      <c r="D99" s="359">
        <v>51.793999999999997</v>
      </c>
      <c r="E99" s="368" t="s">
        <v>224</v>
      </c>
      <c r="F99" s="358">
        <v>61.999999999998003</v>
      </c>
      <c r="G99" s="359">
        <v>10.333333333333</v>
      </c>
      <c r="H99" s="361">
        <v>9.2379999999999995</v>
      </c>
      <c r="I99" s="358">
        <v>22.785</v>
      </c>
      <c r="J99" s="359">
        <v>12.451666666666</v>
      </c>
      <c r="K99" s="362">
        <v>0.36749999999999999</v>
      </c>
    </row>
    <row r="100" spans="1:11" ht="14.4" customHeight="1" thickBot="1" x14ac:dyDescent="0.35">
      <c r="A100" s="378" t="s">
        <v>316</v>
      </c>
      <c r="B100" s="358">
        <v>7022.99246223311</v>
      </c>
      <c r="C100" s="358">
        <v>6706.7363299999997</v>
      </c>
      <c r="D100" s="359">
        <v>-316.25613223310597</v>
      </c>
      <c r="E100" s="360">
        <v>0.95496846480499997</v>
      </c>
      <c r="F100" s="358">
        <v>6961.1370769801597</v>
      </c>
      <c r="G100" s="359">
        <v>1160.18951283003</v>
      </c>
      <c r="H100" s="361">
        <v>511.86894999999998</v>
      </c>
      <c r="I100" s="358">
        <v>1016.3678</v>
      </c>
      <c r="J100" s="359">
        <v>-143.82171283002299</v>
      </c>
      <c r="K100" s="362">
        <v>0.14600600286400001</v>
      </c>
    </row>
    <row r="101" spans="1:11" ht="14.4" customHeight="1" thickBot="1" x14ac:dyDescent="0.35">
      <c r="A101" s="379" t="s">
        <v>317</v>
      </c>
      <c r="B101" s="363">
        <v>1858.9999856914301</v>
      </c>
      <c r="C101" s="363">
        <v>1804.01414</v>
      </c>
      <c r="D101" s="364">
        <v>-54.985845691430001</v>
      </c>
      <c r="E101" s="370">
        <v>0.97042181489199997</v>
      </c>
      <c r="F101" s="363">
        <v>1843.13707698026</v>
      </c>
      <c r="G101" s="364">
        <v>307.18951283004299</v>
      </c>
      <c r="H101" s="366">
        <v>137.81620000000001</v>
      </c>
      <c r="I101" s="363">
        <v>273.59330000000102</v>
      </c>
      <c r="J101" s="364">
        <v>-33.596212830041999</v>
      </c>
      <c r="K101" s="371">
        <v>0.148438932414</v>
      </c>
    </row>
    <row r="102" spans="1:11" ht="14.4" customHeight="1" thickBot="1" x14ac:dyDescent="0.35">
      <c r="A102" s="380" t="s">
        <v>318</v>
      </c>
      <c r="B102" s="358">
        <v>1858.9999856914301</v>
      </c>
      <c r="C102" s="358">
        <v>1804.01414</v>
      </c>
      <c r="D102" s="359">
        <v>-54.985845691430001</v>
      </c>
      <c r="E102" s="360">
        <v>0.97042181489199997</v>
      </c>
      <c r="F102" s="358">
        <v>1843.13707698026</v>
      </c>
      <c r="G102" s="359">
        <v>307.18951283004299</v>
      </c>
      <c r="H102" s="361">
        <v>137.81620000000001</v>
      </c>
      <c r="I102" s="358">
        <v>273.59330000000102</v>
      </c>
      <c r="J102" s="359">
        <v>-33.596212830041999</v>
      </c>
      <c r="K102" s="362">
        <v>0.148438932414</v>
      </c>
    </row>
    <row r="103" spans="1:11" ht="14.4" customHeight="1" thickBot="1" x14ac:dyDescent="0.35">
      <c r="A103" s="379" t="s">
        <v>319</v>
      </c>
      <c r="B103" s="363">
        <v>5163.9924765416799</v>
      </c>
      <c r="C103" s="363">
        <v>4902.7221900000004</v>
      </c>
      <c r="D103" s="364">
        <v>-261.27028654167401</v>
      </c>
      <c r="E103" s="370">
        <v>0.94940537041200002</v>
      </c>
      <c r="F103" s="363">
        <v>5117.9999999999</v>
      </c>
      <c r="G103" s="364">
        <v>852.99999999998295</v>
      </c>
      <c r="H103" s="366">
        <v>374.05275</v>
      </c>
      <c r="I103" s="363">
        <v>742.77450000000204</v>
      </c>
      <c r="J103" s="364">
        <v>-110.225499999981</v>
      </c>
      <c r="K103" s="371">
        <v>0.14512983587299999</v>
      </c>
    </row>
    <row r="104" spans="1:11" ht="14.4" customHeight="1" thickBot="1" x14ac:dyDescent="0.35">
      <c r="A104" s="380" t="s">
        <v>320</v>
      </c>
      <c r="B104" s="358">
        <v>5163.9924765416799</v>
      </c>
      <c r="C104" s="358">
        <v>4902.7221900000004</v>
      </c>
      <c r="D104" s="359">
        <v>-261.27028654167401</v>
      </c>
      <c r="E104" s="360">
        <v>0.94940537041200002</v>
      </c>
      <c r="F104" s="358">
        <v>5117.9999999999</v>
      </c>
      <c r="G104" s="359">
        <v>852.99999999998295</v>
      </c>
      <c r="H104" s="361">
        <v>374.05275</v>
      </c>
      <c r="I104" s="358">
        <v>742.77450000000204</v>
      </c>
      <c r="J104" s="359">
        <v>-110.225499999981</v>
      </c>
      <c r="K104" s="362">
        <v>0.14512983587299999</v>
      </c>
    </row>
    <row r="105" spans="1:11" ht="14.4" customHeight="1" thickBot="1" x14ac:dyDescent="0.35">
      <c r="A105" s="378" t="s">
        <v>321</v>
      </c>
      <c r="B105" s="358">
        <v>205.999999999989</v>
      </c>
      <c r="C105" s="358">
        <v>199.66418999999999</v>
      </c>
      <c r="D105" s="359">
        <v>-6.3358099999880002</v>
      </c>
      <c r="E105" s="360">
        <v>0.969243640776</v>
      </c>
      <c r="F105" s="358">
        <v>203.99999999999599</v>
      </c>
      <c r="G105" s="359">
        <v>33.999999999998998</v>
      </c>
      <c r="H105" s="361">
        <v>15.31406</v>
      </c>
      <c r="I105" s="358">
        <v>30.447880000000001</v>
      </c>
      <c r="J105" s="359">
        <v>-3.5521199999989999</v>
      </c>
      <c r="K105" s="362">
        <v>0.149254313725</v>
      </c>
    </row>
    <row r="106" spans="1:11" ht="14.4" customHeight="1" thickBot="1" x14ac:dyDescent="0.35">
      <c r="A106" s="379" t="s">
        <v>322</v>
      </c>
      <c r="B106" s="363">
        <v>205.999999999989</v>
      </c>
      <c r="C106" s="363">
        <v>199.66418999999999</v>
      </c>
      <c r="D106" s="364">
        <v>-6.3358099999880002</v>
      </c>
      <c r="E106" s="370">
        <v>0.969243640776</v>
      </c>
      <c r="F106" s="363">
        <v>203.99999999999599</v>
      </c>
      <c r="G106" s="364">
        <v>33.999999999998998</v>
      </c>
      <c r="H106" s="366">
        <v>15.31406</v>
      </c>
      <c r="I106" s="363">
        <v>30.447880000000001</v>
      </c>
      <c r="J106" s="364">
        <v>-3.5521199999989999</v>
      </c>
      <c r="K106" s="371">
        <v>0.149254313725</v>
      </c>
    </row>
    <row r="107" spans="1:11" ht="14.4" customHeight="1" thickBot="1" x14ac:dyDescent="0.35">
      <c r="A107" s="380" t="s">
        <v>323</v>
      </c>
      <c r="B107" s="358">
        <v>205.999999999989</v>
      </c>
      <c r="C107" s="358">
        <v>199.66418999999999</v>
      </c>
      <c r="D107" s="359">
        <v>-6.3358099999880002</v>
      </c>
      <c r="E107" s="360">
        <v>0.969243640776</v>
      </c>
      <c r="F107" s="358">
        <v>203.99999999999599</v>
      </c>
      <c r="G107" s="359">
        <v>33.999999999998998</v>
      </c>
      <c r="H107" s="361">
        <v>15.31406</v>
      </c>
      <c r="I107" s="358">
        <v>30.447880000000001</v>
      </c>
      <c r="J107" s="359">
        <v>-3.5521199999989999</v>
      </c>
      <c r="K107" s="362">
        <v>0.149254313725</v>
      </c>
    </row>
    <row r="108" spans="1:11" ht="14.4" customHeight="1" thickBot="1" x14ac:dyDescent="0.35">
      <c r="A108" s="377" t="s">
        <v>324</v>
      </c>
      <c r="B108" s="358">
        <v>0</v>
      </c>
      <c r="C108" s="358">
        <v>46.542810000000003</v>
      </c>
      <c r="D108" s="359">
        <v>46.542810000000003</v>
      </c>
      <c r="E108" s="368" t="s">
        <v>224</v>
      </c>
      <c r="F108" s="358">
        <v>0</v>
      </c>
      <c r="G108" s="359">
        <v>0</v>
      </c>
      <c r="H108" s="361">
        <v>4.9406564584124654E-324</v>
      </c>
      <c r="I108" s="358">
        <v>1.1206</v>
      </c>
      <c r="J108" s="359">
        <v>1.1206</v>
      </c>
      <c r="K108" s="369" t="s">
        <v>224</v>
      </c>
    </row>
    <row r="109" spans="1:11" ht="14.4" customHeight="1" thickBot="1" x14ac:dyDescent="0.35">
      <c r="A109" s="378" t="s">
        <v>325</v>
      </c>
      <c r="B109" s="358">
        <v>0</v>
      </c>
      <c r="C109" s="358">
        <v>46.542810000000003</v>
      </c>
      <c r="D109" s="359">
        <v>46.542810000000003</v>
      </c>
      <c r="E109" s="368" t="s">
        <v>224</v>
      </c>
      <c r="F109" s="358">
        <v>0</v>
      </c>
      <c r="G109" s="359">
        <v>0</v>
      </c>
      <c r="H109" s="361">
        <v>4.9406564584124654E-324</v>
      </c>
      <c r="I109" s="358">
        <v>1.1206</v>
      </c>
      <c r="J109" s="359">
        <v>1.1206</v>
      </c>
      <c r="K109" s="369" t="s">
        <v>224</v>
      </c>
    </row>
    <row r="110" spans="1:11" ht="14.4" customHeight="1" thickBot="1" x14ac:dyDescent="0.35">
      <c r="A110" s="379" t="s">
        <v>326</v>
      </c>
      <c r="B110" s="363">
        <v>0</v>
      </c>
      <c r="C110" s="363">
        <v>12.19881</v>
      </c>
      <c r="D110" s="364">
        <v>12.19881</v>
      </c>
      <c r="E110" s="365" t="s">
        <v>224</v>
      </c>
      <c r="F110" s="363">
        <v>0</v>
      </c>
      <c r="G110" s="364">
        <v>0</v>
      </c>
      <c r="H110" s="366">
        <v>4.9406564584124654E-324</v>
      </c>
      <c r="I110" s="363">
        <v>1.1206</v>
      </c>
      <c r="J110" s="364">
        <v>1.1206</v>
      </c>
      <c r="K110" s="367" t="s">
        <v>224</v>
      </c>
    </row>
    <row r="111" spans="1:11" ht="14.4" customHeight="1" thickBot="1" x14ac:dyDescent="0.35">
      <c r="A111" s="380" t="s">
        <v>327</v>
      </c>
      <c r="B111" s="358">
        <v>0</v>
      </c>
      <c r="C111" s="358">
        <v>11.04881</v>
      </c>
      <c r="D111" s="359">
        <v>11.04881</v>
      </c>
      <c r="E111" s="368" t="s">
        <v>224</v>
      </c>
      <c r="F111" s="358">
        <v>0</v>
      </c>
      <c r="G111" s="359">
        <v>0</v>
      </c>
      <c r="H111" s="361">
        <v>4.9406564584124654E-324</v>
      </c>
      <c r="I111" s="358">
        <v>1.1206</v>
      </c>
      <c r="J111" s="359">
        <v>1.1206</v>
      </c>
      <c r="K111" s="369" t="s">
        <v>224</v>
      </c>
    </row>
    <row r="112" spans="1:11" ht="14.4" customHeight="1" thickBot="1" x14ac:dyDescent="0.35">
      <c r="A112" s="380" t="s">
        <v>328</v>
      </c>
      <c r="B112" s="358">
        <v>0</v>
      </c>
      <c r="C112" s="358">
        <v>1.05</v>
      </c>
      <c r="D112" s="359">
        <v>1.05</v>
      </c>
      <c r="E112" s="368" t="s">
        <v>224</v>
      </c>
      <c r="F112" s="358">
        <v>0</v>
      </c>
      <c r="G112" s="359">
        <v>0</v>
      </c>
      <c r="H112" s="361">
        <v>4.9406564584124654E-324</v>
      </c>
      <c r="I112" s="358">
        <v>9.8813129168249309E-324</v>
      </c>
      <c r="J112" s="359">
        <v>9.8813129168249309E-324</v>
      </c>
      <c r="K112" s="369" t="s">
        <v>224</v>
      </c>
    </row>
    <row r="113" spans="1:11" ht="14.4" customHeight="1" thickBot="1" x14ac:dyDescent="0.35">
      <c r="A113" s="380" t="s">
        <v>329</v>
      </c>
      <c r="B113" s="358">
        <v>0</v>
      </c>
      <c r="C113" s="358">
        <v>9.9999999999E-2</v>
      </c>
      <c r="D113" s="359">
        <v>9.9999999999E-2</v>
      </c>
      <c r="E113" s="368" t="s">
        <v>224</v>
      </c>
      <c r="F113" s="358">
        <v>0</v>
      </c>
      <c r="G113" s="359">
        <v>0</v>
      </c>
      <c r="H113" s="361">
        <v>4.9406564584124654E-324</v>
      </c>
      <c r="I113" s="358">
        <v>9.8813129168249309E-324</v>
      </c>
      <c r="J113" s="359">
        <v>9.8813129168249309E-324</v>
      </c>
      <c r="K113" s="369" t="s">
        <v>224</v>
      </c>
    </row>
    <row r="114" spans="1:11" ht="14.4" customHeight="1" thickBot="1" x14ac:dyDescent="0.35">
      <c r="A114" s="379" t="s">
        <v>330</v>
      </c>
      <c r="B114" s="363">
        <v>4.9406564584124654E-324</v>
      </c>
      <c r="C114" s="363">
        <v>1.35</v>
      </c>
      <c r="D114" s="364">
        <v>1.35</v>
      </c>
      <c r="E114" s="365" t="s">
        <v>230</v>
      </c>
      <c r="F114" s="363">
        <v>0</v>
      </c>
      <c r="G114" s="364">
        <v>0</v>
      </c>
      <c r="H114" s="366">
        <v>4.9406564584124654E-324</v>
      </c>
      <c r="I114" s="363">
        <v>9.8813129168249309E-324</v>
      </c>
      <c r="J114" s="364">
        <v>9.8813129168249309E-324</v>
      </c>
      <c r="K114" s="367" t="s">
        <v>224</v>
      </c>
    </row>
    <row r="115" spans="1:11" ht="14.4" customHeight="1" thickBot="1" x14ac:dyDescent="0.35">
      <c r="A115" s="380" t="s">
        <v>331</v>
      </c>
      <c r="B115" s="358">
        <v>4.9406564584124654E-324</v>
      </c>
      <c r="C115" s="358">
        <v>1.35</v>
      </c>
      <c r="D115" s="359">
        <v>1.35</v>
      </c>
      <c r="E115" s="368" t="s">
        <v>230</v>
      </c>
      <c r="F115" s="358">
        <v>0</v>
      </c>
      <c r="G115" s="359">
        <v>0</v>
      </c>
      <c r="H115" s="361">
        <v>4.9406564584124654E-324</v>
      </c>
      <c r="I115" s="358">
        <v>9.8813129168249309E-324</v>
      </c>
      <c r="J115" s="359">
        <v>9.8813129168249309E-324</v>
      </c>
      <c r="K115" s="369" t="s">
        <v>224</v>
      </c>
    </row>
    <row r="116" spans="1:11" ht="14.4" customHeight="1" thickBot="1" x14ac:dyDescent="0.35">
      <c r="A116" s="382" t="s">
        <v>332</v>
      </c>
      <c r="B116" s="358">
        <v>4.9406564584124654E-324</v>
      </c>
      <c r="C116" s="358">
        <v>15.294</v>
      </c>
      <c r="D116" s="359">
        <v>15.294</v>
      </c>
      <c r="E116" s="368" t="s">
        <v>230</v>
      </c>
      <c r="F116" s="358">
        <v>0</v>
      </c>
      <c r="G116" s="359">
        <v>0</v>
      </c>
      <c r="H116" s="361">
        <v>4.9406564584124654E-324</v>
      </c>
      <c r="I116" s="358">
        <v>9.8813129168249309E-324</v>
      </c>
      <c r="J116" s="359">
        <v>9.8813129168249309E-324</v>
      </c>
      <c r="K116" s="369" t="s">
        <v>224</v>
      </c>
    </row>
    <row r="117" spans="1:11" ht="14.4" customHeight="1" thickBot="1" x14ac:dyDescent="0.35">
      <c r="A117" s="380" t="s">
        <v>333</v>
      </c>
      <c r="B117" s="358">
        <v>4.9406564584124654E-324</v>
      </c>
      <c r="C117" s="358">
        <v>15.294</v>
      </c>
      <c r="D117" s="359">
        <v>15.294</v>
      </c>
      <c r="E117" s="368" t="s">
        <v>230</v>
      </c>
      <c r="F117" s="358">
        <v>0</v>
      </c>
      <c r="G117" s="359">
        <v>0</v>
      </c>
      <c r="H117" s="361">
        <v>4.9406564584124654E-324</v>
      </c>
      <c r="I117" s="358">
        <v>9.8813129168249309E-324</v>
      </c>
      <c r="J117" s="359">
        <v>9.8813129168249309E-324</v>
      </c>
      <c r="K117" s="369" t="s">
        <v>224</v>
      </c>
    </row>
    <row r="118" spans="1:11" ht="14.4" customHeight="1" thickBot="1" x14ac:dyDescent="0.35">
      <c r="A118" s="382" t="s">
        <v>334</v>
      </c>
      <c r="B118" s="358">
        <v>0</v>
      </c>
      <c r="C118" s="358">
        <v>17.7</v>
      </c>
      <c r="D118" s="359">
        <v>17.7</v>
      </c>
      <c r="E118" s="368" t="s">
        <v>224</v>
      </c>
      <c r="F118" s="358">
        <v>0</v>
      </c>
      <c r="G118" s="359">
        <v>0</v>
      </c>
      <c r="H118" s="361">
        <v>4.9406564584124654E-324</v>
      </c>
      <c r="I118" s="358">
        <v>9.8813129168249309E-324</v>
      </c>
      <c r="J118" s="359">
        <v>9.8813129168249309E-324</v>
      </c>
      <c r="K118" s="369" t="s">
        <v>224</v>
      </c>
    </row>
    <row r="119" spans="1:11" ht="14.4" customHeight="1" thickBot="1" x14ac:dyDescent="0.35">
      <c r="A119" s="380" t="s">
        <v>335</v>
      </c>
      <c r="B119" s="358">
        <v>0</v>
      </c>
      <c r="C119" s="358">
        <v>17.7</v>
      </c>
      <c r="D119" s="359">
        <v>17.7</v>
      </c>
      <c r="E119" s="368" t="s">
        <v>224</v>
      </c>
      <c r="F119" s="358">
        <v>0</v>
      </c>
      <c r="G119" s="359">
        <v>0</v>
      </c>
      <c r="H119" s="361">
        <v>4.9406564584124654E-324</v>
      </c>
      <c r="I119" s="358">
        <v>9.8813129168249309E-324</v>
      </c>
      <c r="J119" s="359">
        <v>9.8813129168249309E-324</v>
      </c>
      <c r="K119" s="369" t="s">
        <v>224</v>
      </c>
    </row>
    <row r="120" spans="1:11" ht="14.4" customHeight="1" thickBot="1" x14ac:dyDescent="0.35">
      <c r="A120" s="377" t="s">
        <v>336</v>
      </c>
      <c r="B120" s="358">
        <v>890.999999999951</v>
      </c>
      <c r="C120" s="358">
        <v>1211.42211</v>
      </c>
      <c r="D120" s="359">
        <v>320.42211000005</v>
      </c>
      <c r="E120" s="360">
        <v>1.35962077441</v>
      </c>
      <c r="F120" s="358">
        <v>896.99812455183803</v>
      </c>
      <c r="G120" s="359">
        <v>149.49968742530601</v>
      </c>
      <c r="H120" s="361">
        <v>79.722999999999999</v>
      </c>
      <c r="I120" s="358">
        <v>155.98599999999999</v>
      </c>
      <c r="J120" s="359">
        <v>6.4863125746939998</v>
      </c>
      <c r="K120" s="362">
        <v>0.17389779948299999</v>
      </c>
    </row>
    <row r="121" spans="1:11" ht="14.4" customHeight="1" thickBot="1" x14ac:dyDescent="0.35">
      <c r="A121" s="378" t="s">
        <v>337</v>
      </c>
      <c r="B121" s="358">
        <v>890.999999999951</v>
      </c>
      <c r="C121" s="358">
        <v>966.322</v>
      </c>
      <c r="D121" s="359">
        <v>75.322000000049002</v>
      </c>
      <c r="E121" s="360">
        <v>1.0845364758689999</v>
      </c>
      <c r="F121" s="358">
        <v>896.99812455183803</v>
      </c>
      <c r="G121" s="359">
        <v>149.49968742530601</v>
      </c>
      <c r="H121" s="361">
        <v>79.722999999999999</v>
      </c>
      <c r="I121" s="358">
        <v>155.98599999999999</v>
      </c>
      <c r="J121" s="359">
        <v>6.4863125746939998</v>
      </c>
      <c r="K121" s="362">
        <v>0.17389779948299999</v>
      </c>
    </row>
    <row r="122" spans="1:11" ht="14.4" customHeight="1" thickBot="1" x14ac:dyDescent="0.35">
      <c r="A122" s="379" t="s">
        <v>338</v>
      </c>
      <c r="B122" s="363">
        <v>890.999999999951</v>
      </c>
      <c r="C122" s="363">
        <v>880.75099999999998</v>
      </c>
      <c r="D122" s="364">
        <v>-10.24899999995</v>
      </c>
      <c r="E122" s="370">
        <v>0.98849719416299997</v>
      </c>
      <c r="F122" s="363">
        <v>896.99812455183803</v>
      </c>
      <c r="G122" s="364">
        <v>149.49968742530601</v>
      </c>
      <c r="H122" s="366">
        <v>76.147000000000006</v>
      </c>
      <c r="I122" s="363">
        <v>152.41</v>
      </c>
      <c r="J122" s="364">
        <v>2.9103125746940002</v>
      </c>
      <c r="K122" s="371">
        <v>0.169911169074</v>
      </c>
    </row>
    <row r="123" spans="1:11" ht="14.4" customHeight="1" thickBot="1" x14ac:dyDescent="0.35">
      <c r="A123" s="380" t="s">
        <v>339</v>
      </c>
      <c r="B123" s="358">
        <v>47.999999999997002</v>
      </c>
      <c r="C123" s="358">
        <v>51.869</v>
      </c>
      <c r="D123" s="359">
        <v>3.869000000002</v>
      </c>
      <c r="E123" s="360">
        <v>1.080604166666</v>
      </c>
      <c r="F123" s="358">
        <v>66.997338104844999</v>
      </c>
      <c r="G123" s="359">
        <v>11.166223017474</v>
      </c>
      <c r="H123" s="361">
        <v>5.617</v>
      </c>
      <c r="I123" s="358">
        <v>11.234</v>
      </c>
      <c r="J123" s="359">
        <v>6.7776982525000001E-2</v>
      </c>
      <c r="K123" s="362">
        <v>0.16767830361200001</v>
      </c>
    </row>
    <row r="124" spans="1:11" ht="14.4" customHeight="1" thickBot="1" x14ac:dyDescent="0.35">
      <c r="A124" s="380" t="s">
        <v>340</v>
      </c>
      <c r="B124" s="358">
        <v>651.99999999996396</v>
      </c>
      <c r="C124" s="358">
        <v>635.80999999999995</v>
      </c>
      <c r="D124" s="359">
        <v>-16.189999999963</v>
      </c>
      <c r="E124" s="360">
        <v>0.97516871165600005</v>
      </c>
      <c r="F124" s="358">
        <v>607.99999999998897</v>
      </c>
      <c r="G124" s="359">
        <v>101.333333333331</v>
      </c>
      <c r="H124" s="361">
        <v>52.069000000000003</v>
      </c>
      <c r="I124" s="358">
        <v>104.254</v>
      </c>
      <c r="J124" s="359">
        <v>2.9206666666680001</v>
      </c>
      <c r="K124" s="362">
        <v>0.17147039473600001</v>
      </c>
    </row>
    <row r="125" spans="1:11" ht="14.4" customHeight="1" thickBot="1" x14ac:dyDescent="0.35">
      <c r="A125" s="380" t="s">
        <v>341</v>
      </c>
      <c r="B125" s="358">
        <v>62.999999999996</v>
      </c>
      <c r="C125" s="358">
        <v>65.278000000000006</v>
      </c>
      <c r="D125" s="359">
        <v>2.2780000000029998</v>
      </c>
      <c r="E125" s="360">
        <v>1.036158730158</v>
      </c>
      <c r="F125" s="358">
        <v>94.000786447006007</v>
      </c>
      <c r="G125" s="359">
        <v>15.666797741167001</v>
      </c>
      <c r="H125" s="361">
        <v>7.8129999999999997</v>
      </c>
      <c r="I125" s="358">
        <v>15.625999999999999</v>
      </c>
      <c r="J125" s="359">
        <v>-4.0797741167000003E-2</v>
      </c>
      <c r="K125" s="362">
        <v>0.16623265177400001</v>
      </c>
    </row>
    <row r="126" spans="1:11" ht="14.4" customHeight="1" thickBot="1" x14ac:dyDescent="0.35">
      <c r="A126" s="380" t="s">
        <v>342</v>
      </c>
      <c r="B126" s="358">
        <v>127.99999999999299</v>
      </c>
      <c r="C126" s="358">
        <v>127.794</v>
      </c>
      <c r="D126" s="359">
        <v>-0.205999999992</v>
      </c>
      <c r="E126" s="360">
        <v>0.99839062499999998</v>
      </c>
      <c r="F126" s="358">
        <v>127.999999999998</v>
      </c>
      <c r="G126" s="359">
        <v>21.333333333332</v>
      </c>
      <c r="H126" s="361">
        <v>10.648</v>
      </c>
      <c r="I126" s="358">
        <v>21.295999999999999</v>
      </c>
      <c r="J126" s="359">
        <v>-3.7333333332E-2</v>
      </c>
      <c r="K126" s="362">
        <v>0.166375</v>
      </c>
    </row>
    <row r="127" spans="1:11" ht="14.4" customHeight="1" thickBot="1" x14ac:dyDescent="0.35">
      <c r="A127" s="379" t="s">
        <v>343</v>
      </c>
      <c r="B127" s="363">
        <v>0</v>
      </c>
      <c r="C127" s="363">
        <v>85.570999999999998</v>
      </c>
      <c r="D127" s="364">
        <v>85.570999999999998</v>
      </c>
      <c r="E127" s="365" t="s">
        <v>224</v>
      </c>
      <c r="F127" s="363">
        <v>0</v>
      </c>
      <c r="G127" s="364">
        <v>0</v>
      </c>
      <c r="H127" s="366">
        <v>3.5760000000000001</v>
      </c>
      <c r="I127" s="363">
        <v>3.5760000000000001</v>
      </c>
      <c r="J127" s="364">
        <v>3.5760000000000001</v>
      </c>
      <c r="K127" s="367" t="s">
        <v>224</v>
      </c>
    </row>
    <row r="128" spans="1:11" ht="14.4" customHeight="1" thickBot="1" x14ac:dyDescent="0.35">
      <c r="A128" s="380" t="s">
        <v>344</v>
      </c>
      <c r="B128" s="358">
        <v>0</v>
      </c>
      <c r="C128" s="358">
        <v>85.570999999999998</v>
      </c>
      <c r="D128" s="359">
        <v>85.570999999999998</v>
      </c>
      <c r="E128" s="368" t="s">
        <v>224</v>
      </c>
      <c r="F128" s="358">
        <v>0</v>
      </c>
      <c r="G128" s="359">
        <v>0</v>
      </c>
      <c r="H128" s="361">
        <v>3.5760000000000001</v>
      </c>
      <c r="I128" s="358">
        <v>3.5760000000000001</v>
      </c>
      <c r="J128" s="359">
        <v>3.5760000000000001</v>
      </c>
      <c r="K128" s="369" t="s">
        <v>224</v>
      </c>
    </row>
    <row r="129" spans="1:11" ht="14.4" customHeight="1" thickBot="1" x14ac:dyDescent="0.35">
      <c r="A129" s="378" t="s">
        <v>345</v>
      </c>
      <c r="B129" s="358">
        <v>0</v>
      </c>
      <c r="C129" s="358">
        <v>245.10011</v>
      </c>
      <c r="D129" s="359">
        <v>245.10011</v>
      </c>
      <c r="E129" s="368" t="s">
        <v>224</v>
      </c>
      <c r="F129" s="358">
        <v>0</v>
      </c>
      <c r="G129" s="359">
        <v>0</v>
      </c>
      <c r="H129" s="361">
        <v>4.9406564584124654E-324</v>
      </c>
      <c r="I129" s="358">
        <v>9.8813129168249309E-324</v>
      </c>
      <c r="J129" s="359">
        <v>9.8813129168249309E-324</v>
      </c>
      <c r="K129" s="369" t="s">
        <v>224</v>
      </c>
    </row>
    <row r="130" spans="1:11" ht="14.4" customHeight="1" thickBot="1" x14ac:dyDescent="0.35">
      <c r="A130" s="379" t="s">
        <v>346</v>
      </c>
      <c r="B130" s="363">
        <v>0</v>
      </c>
      <c r="C130" s="363">
        <v>165.56210999999999</v>
      </c>
      <c r="D130" s="364">
        <v>165.56210999999999</v>
      </c>
      <c r="E130" s="365" t="s">
        <v>224</v>
      </c>
      <c r="F130" s="363">
        <v>0</v>
      </c>
      <c r="G130" s="364">
        <v>0</v>
      </c>
      <c r="H130" s="366">
        <v>4.9406564584124654E-324</v>
      </c>
      <c r="I130" s="363">
        <v>9.8813129168249309E-324</v>
      </c>
      <c r="J130" s="364">
        <v>9.8813129168249309E-324</v>
      </c>
      <c r="K130" s="367" t="s">
        <v>224</v>
      </c>
    </row>
    <row r="131" spans="1:11" ht="14.4" customHeight="1" thickBot="1" x14ac:dyDescent="0.35">
      <c r="A131" s="380" t="s">
        <v>347</v>
      </c>
      <c r="B131" s="358">
        <v>0</v>
      </c>
      <c r="C131" s="358">
        <v>160.66161</v>
      </c>
      <c r="D131" s="359">
        <v>160.66161</v>
      </c>
      <c r="E131" s="368" t="s">
        <v>224</v>
      </c>
      <c r="F131" s="358">
        <v>0</v>
      </c>
      <c r="G131" s="359">
        <v>0</v>
      </c>
      <c r="H131" s="361">
        <v>4.9406564584124654E-324</v>
      </c>
      <c r="I131" s="358">
        <v>9.8813129168249309E-324</v>
      </c>
      <c r="J131" s="359">
        <v>9.8813129168249309E-324</v>
      </c>
      <c r="K131" s="369" t="s">
        <v>224</v>
      </c>
    </row>
    <row r="132" spans="1:11" ht="14.4" customHeight="1" thickBot="1" x14ac:dyDescent="0.35">
      <c r="A132" s="380" t="s">
        <v>348</v>
      </c>
      <c r="B132" s="358">
        <v>0</v>
      </c>
      <c r="C132" s="358">
        <v>4.9005000000000001</v>
      </c>
      <c r="D132" s="359">
        <v>4.9005000000000001</v>
      </c>
      <c r="E132" s="368" t="s">
        <v>224</v>
      </c>
      <c r="F132" s="358">
        <v>0</v>
      </c>
      <c r="G132" s="359">
        <v>0</v>
      </c>
      <c r="H132" s="361">
        <v>4.9406564584124654E-324</v>
      </c>
      <c r="I132" s="358">
        <v>9.8813129168249309E-324</v>
      </c>
      <c r="J132" s="359">
        <v>9.8813129168249309E-324</v>
      </c>
      <c r="K132" s="369" t="s">
        <v>224</v>
      </c>
    </row>
    <row r="133" spans="1:11" ht="14.4" customHeight="1" thickBot="1" x14ac:dyDescent="0.35">
      <c r="A133" s="379" t="s">
        <v>349</v>
      </c>
      <c r="B133" s="363">
        <v>0</v>
      </c>
      <c r="C133" s="363">
        <v>13.47</v>
      </c>
      <c r="D133" s="364">
        <v>13.47</v>
      </c>
      <c r="E133" s="365" t="s">
        <v>224</v>
      </c>
      <c r="F133" s="363">
        <v>0</v>
      </c>
      <c r="G133" s="364">
        <v>0</v>
      </c>
      <c r="H133" s="366">
        <v>4.9406564584124654E-324</v>
      </c>
      <c r="I133" s="363">
        <v>9.8813129168249309E-324</v>
      </c>
      <c r="J133" s="364">
        <v>9.8813129168249309E-324</v>
      </c>
      <c r="K133" s="367" t="s">
        <v>224</v>
      </c>
    </row>
    <row r="134" spans="1:11" ht="14.4" customHeight="1" thickBot="1" x14ac:dyDescent="0.35">
      <c r="A134" s="380" t="s">
        <v>350</v>
      </c>
      <c r="B134" s="358">
        <v>0</v>
      </c>
      <c r="C134" s="358">
        <v>13.47</v>
      </c>
      <c r="D134" s="359">
        <v>13.47</v>
      </c>
      <c r="E134" s="368" t="s">
        <v>224</v>
      </c>
      <c r="F134" s="358">
        <v>0</v>
      </c>
      <c r="G134" s="359">
        <v>0</v>
      </c>
      <c r="H134" s="361">
        <v>4.9406564584124654E-324</v>
      </c>
      <c r="I134" s="358">
        <v>9.8813129168249309E-324</v>
      </c>
      <c r="J134" s="359">
        <v>9.8813129168249309E-324</v>
      </c>
      <c r="K134" s="369" t="s">
        <v>224</v>
      </c>
    </row>
    <row r="135" spans="1:11" ht="14.4" customHeight="1" thickBot="1" x14ac:dyDescent="0.35">
      <c r="A135" s="379" t="s">
        <v>351</v>
      </c>
      <c r="B135" s="363">
        <v>0</v>
      </c>
      <c r="C135" s="363">
        <v>51.572000000000003</v>
      </c>
      <c r="D135" s="364">
        <v>51.572000000000003</v>
      </c>
      <c r="E135" s="365" t="s">
        <v>224</v>
      </c>
      <c r="F135" s="363">
        <v>0</v>
      </c>
      <c r="G135" s="364">
        <v>0</v>
      </c>
      <c r="H135" s="366">
        <v>4.9406564584124654E-324</v>
      </c>
      <c r="I135" s="363">
        <v>9.8813129168249309E-324</v>
      </c>
      <c r="J135" s="364">
        <v>9.8813129168249309E-324</v>
      </c>
      <c r="K135" s="367" t="s">
        <v>224</v>
      </c>
    </row>
    <row r="136" spans="1:11" ht="14.4" customHeight="1" thickBot="1" x14ac:dyDescent="0.35">
      <c r="A136" s="380" t="s">
        <v>352</v>
      </c>
      <c r="B136" s="358">
        <v>0</v>
      </c>
      <c r="C136" s="358">
        <v>51.572000000000003</v>
      </c>
      <c r="D136" s="359">
        <v>51.572000000000003</v>
      </c>
      <c r="E136" s="368" t="s">
        <v>224</v>
      </c>
      <c r="F136" s="358">
        <v>0</v>
      </c>
      <c r="G136" s="359">
        <v>0</v>
      </c>
      <c r="H136" s="361">
        <v>4.9406564584124654E-324</v>
      </c>
      <c r="I136" s="358">
        <v>9.8813129168249309E-324</v>
      </c>
      <c r="J136" s="359">
        <v>9.8813129168249309E-324</v>
      </c>
      <c r="K136" s="369" t="s">
        <v>224</v>
      </c>
    </row>
    <row r="137" spans="1:11" ht="14.4" customHeight="1" thickBot="1" x14ac:dyDescent="0.35">
      <c r="A137" s="379" t="s">
        <v>353</v>
      </c>
      <c r="B137" s="363">
        <v>0</v>
      </c>
      <c r="C137" s="363">
        <v>14.496</v>
      </c>
      <c r="D137" s="364">
        <v>14.496</v>
      </c>
      <c r="E137" s="365" t="s">
        <v>224</v>
      </c>
      <c r="F137" s="363">
        <v>0</v>
      </c>
      <c r="G137" s="364">
        <v>0</v>
      </c>
      <c r="H137" s="366">
        <v>4.9406564584124654E-324</v>
      </c>
      <c r="I137" s="363">
        <v>9.8813129168249309E-324</v>
      </c>
      <c r="J137" s="364">
        <v>9.8813129168249309E-324</v>
      </c>
      <c r="K137" s="367" t="s">
        <v>224</v>
      </c>
    </row>
    <row r="138" spans="1:11" ht="14.4" customHeight="1" thickBot="1" x14ac:dyDescent="0.35">
      <c r="A138" s="380" t="s">
        <v>354</v>
      </c>
      <c r="B138" s="358">
        <v>0</v>
      </c>
      <c r="C138" s="358">
        <v>14.496</v>
      </c>
      <c r="D138" s="359">
        <v>14.496</v>
      </c>
      <c r="E138" s="368" t="s">
        <v>224</v>
      </c>
      <c r="F138" s="358">
        <v>0</v>
      </c>
      <c r="G138" s="359">
        <v>0</v>
      </c>
      <c r="H138" s="361">
        <v>4.9406564584124654E-324</v>
      </c>
      <c r="I138" s="358">
        <v>9.8813129168249309E-324</v>
      </c>
      <c r="J138" s="359">
        <v>9.8813129168249309E-324</v>
      </c>
      <c r="K138" s="369" t="s">
        <v>224</v>
      </c>
    </row>
    <row r="139" spans="1:11" ht="14.4" customHeight="1" thickBot="1" x14ac:dyDescent="0.35">
      <c r="A139" s="376" t="s">
        <v>355</v>
      </c>
      <c r="B139" s="358">
        <v>36693.565321631897</v>
      </c>
      <c r="C139" s="358">
        <v>33755.546799999996</v>
      </c>
      <c r="D139" s="359">
        <v>-2938.0185216319201</v>
      </c>
      <c r="E139" s="360">
        <v>0.91993096075799996</v>
      </c>
      <c r="F139" s="358">
        <v>33782.800523264799</v>
      </c>
      <c r="G139" s="359">
        <v>5630.4667538774702</v>
      </c>
      <c r="H139" s="361">
        <v>3139.45865</v>
      </c>
      <c r="I139" s="358">
        <v>5480.1109999999999</v>
      </c>
      <c r="J139" s="359">
        <v>-150.355753877474</v>
      </c>
      <c r="K139" s="362">
        <v>0.16221600681699999</v>
      </c>
    </row>
    <row r="140" spans="1:11" ht="14.4" customHeight="1" thickBot="1" x14ac:dyDescent="0.35">
      <c r="A140" s="377" t="s">
        <v>356</v>
      </c>
      <c r="B140" s="358">
        <v>35040.751115609899</v>
      </c>
      <c r="C140" s="358">
        <v>33077.203379999999</v>
      </c>
      <c r="D140" s="359">
        <v>-1963.5477356099</v>
      </c>
      <c r="E140" s="360">
        <v>0.94396387996499997</v>
      </c>
      <c r="F140" s="358">
        <v>33527.243349538498</v>
      </c>
      <c r="G140" s="359">
        <v>5587.8738915897502</v>
      </c>
      <c r="H140" s="361">
        <v>3137.6587599999998</v>
      </c>
      <c r="I140" s="358">
        <v>5456.6601199999996</v>
      </c>
      <c r="J140" s="359">
        <v>-131.21377158975201</v>
      </c>
      <c r="K140" s="362">
        <v>0.162753020375</v>
      </c>
    </row>
    <row r="141" spans="1:11" ht="14.4" customHeight="1" thickBot="1" x14ac:dyDescent="0.35">
      <c r="A141" s="378" t="s">
        <v>357</v>
      </c>
      <c r="B141" s="358">
        <v>35040.751115609899</v>
      </c>
      <c r="C141" s="358">
        <v>33077.203379999999</v>
      </c>
      <c r="D141" s="359">
        <v>-1963.5477356099</v>
      </c>
      <c r="E141" s="360">
        <v>0.94396387996499997</v>
      </c>
      <c r="F141" s="358">
        <v>33527.243349538498</v>
      </c>
      <c r="G141" s="359">
        <v>5587.8738915897502</v>
      </c>
      <c r="H141" s="361">
        <v>3137.6587599999998</v>
      </c>
      <c r="I141" s="358">
        <v>5456.6601199999996</v>
      </c>
      <c r="J141" s="359">
        <v>-131.21377158975201</v>
      </c>
      <c r="K141" s="362">
        <v>0.162753020375</v>
      </c>
    </row>
    <row r="142" spans="1:11" ht="14.4" customHeight="1" thickBot="1" x14ac:dyDescent="0.35">
      <c r="A142" s="379" t="s">
        <v>358</v>
      </c>
      <c r="B142" s="363">
        <v>12411.7504951757</v>
      </c>
      <c r="C142" s="363">
        <v>11919.96473</v>
      </c>
      <c r="D142" s="364">
        <v>-491.78576517568001</v>
      </c>
      <c r="E142" s="370">
        <v>0.96037740483300005</v>
      </c>
      <c r="F142" s="363">
        <v>11734.3418363575</v>
      </c>
      <c r="G142" s="364">
        <v>1955.7236393929199</v>
      </c>
      <c r="H142" s="366">
        <v>936.70375999999999</v>
      </c>
      <c r="I142" s="363">
        <v>1590.5573199999999</v>
      </c>
      <c r="J142" s="364">
        <v>-365.16631939292398</v>
      </c>
      <c r="K142" s="371">
        <v>0.135547211951</v>
      </c>
    </row>
    <row r="143" spans="1:11" ht="14.4" customHeight="1" thickBot="1" x14ac:dyDescent="0.35">
      <c r="A143" s="380" t="s">
        <v>359</v>
      </c>
      <c r="B143" s="358">
        <v>7.0918362607200001</v>
      </c>
      <c r="C143" s="358">
        <v>2.7767200000000001</v>
      </c>
      <c r="D143" s="359">
        <v>-4.31511626072</v>
      </c>
      <c r="E143" s="360">
        <v>0.39153752257000002</v>
      </c>
      <c r="F143" s="358">
        <v>3.1923837013030001</v>
      </c>
      <c r="G143" s="359">
        <v>0.53206395021700004</v>
      </c>
      <c r="H143" s="361">
        <v>3.88442</v>
      </c>
      <c r="I143" s="358">
        <v>3.88442</v>
      </c>
      <c r="J143" s="359">
        <v>3.3523560497820002</v>
      </c>
      <c r="K143" s="362">
        <v>1.2167772935350001</v>
      </c>
    </row>
    <row r="144" spans="1:11" ht="14.4" customHeight="1" thickBot="1" x14ac:dyDescent="0.35">
      <c r="A144" s="380" t="s">
        <v>360</v>
      </c>
      <c r="B144" s="358">
        <v>4.9406564584124654E-324</v>
      </c>
      <c r="C144" s="358">
        <v>0.69299999999999995</v>
      </c>
      <c r="D144" s="359">
        <v>0.69299999999999995</v>
      </c>
      <c r="E144" s="368" t="s">
        <v>230</v>
      </c>
      <c r="F144" s="358">
        <v>0.73648338506800004</v>
      </c>
      <c r="G144" s="359">
        <v>0.12274723084399999</v>
      </c>
      <c r="H144" s="361">
        <v>4.9406564584124654E-324</v>
      </c>
      <c r="I144" s="358">
        <v>9.8813129168249309E-324</v>
      </c>
      <c r="J144" s="359">
        <v>-0.12274723084399999</v>
      </c>
      <c r="K144" s="362">
        <v>1.4821969375237396E-323</v>
      </c>
    </row>
    <row r="145" spans="1:11" ht="14.4" customHeight="1" thickBot="1" x14ac:dyDescent="0.35">
      <c r="A145" s="380" t="s">
        <v>361</v>
      </c>
      <c r="B145" s="358">
        <v>41.131650337536001</v>
      </c>
      <c r="C145" s="358">
        <v>58.4818</v>
      </c>
      <c r="D145" s="359">
        <v>17.350149662463</v>
      </c>
      <c r="E145" s="360">
        <v>1.4218199250470001</v>
      </c>
      <c r="F145" s="358">
        <v>66.763750633843998</v>
      </c>
      <c r="G145" s="359">
        <v>11.127291772307</v>
      </c>
      <c r="H145" s="361">
        <v>5.3639999999999999</v>
      </c>
      <c r="I145" s="358">
        <v>7.6970000000000001</v>
      </c>
      <c r="J145" s="359">
        <v>-3.4302917723070001</v>
      </c>
      <c r="K145" s="362">
        <v>0.11528711204600001</v>
      </c>
    </row>
    <row r="146" spans="1:11" ht="14.4" customHeight="1" thickBot="1" x14ac:dyDescent="0.35">
      <c r="A146" s="380" t="s">
        <v>362</v>
      </c>
      <c r="B146" s="358">
        <v>12363.527008577399</v>
      </c>
      <c r="C146" s="358">
        <v>11858.013209999999</v>
      </c>
      <c r="D146" s="359">
        <v>-505.51379857742398</v>
      </c>
      <c r="E146" s="360">
        <v>0.95911249288099998</v>
      </c>
      <c r="F146" s="358">
        <v>11663.6492186373</v>
      </c>
      <c r="G146" s="359">
        <v>1943.94153643955</v>
      </c>
      <c r="H146" s="361">
        <v>927.45533999999998</v>
      </c>
      <c r="I146" s="358">
        <v>1578.9758999999999</v>
      </c>
      <c r="J146" s="359">
        <v>-364.965636439555</v>
      </c>
      <c r="K146" s="362">
        <v>0.13537580481</v>
      </c>
    </row>
    <row r="147" spans="1:11" ht="14.4" customHeight="1" thickBot="1" x14ac:dyDescent="0.35">
      <c r="A147" s="379" t="s">
        <v>363</v>
      </c>
      <c r="B147" s="363">
        <v>7523.0003929576797</v>
      </c>
      <c r="C147" s="363">
        <v>6780.32125</v>
      </c>
      <c r="D147" s="364">
        <v>-742.67914295767605</v>
      </c>
      <c r="E147" s="370">
        <v>0.90127886426100001</v>
      </c>
      <c r="F147" s="363">
        <v>7046</v>
      </c>
      <c r="G147" s="364">
        <v>1174.3333333333301</v>
      </c>
      <c r="H147" s="366">
        <v>691.5</v>
      </c>
      <c r="I147" s="363">
        <v>1204.462</v>
      </c>
      <c r="J147" s="364">
        <v>30.128666666667002</v>
      </c>
      <c r="K147" s="371">
        <v>0.170942662503</v>
      </c>
    </row>
    <row r="148" spans="1:11" ht="14.4" customHeight="1" thickBot="1" x14ac:dyDescent="0.35">
      <c r="A148" s="380" t="s">
        <v>364</v>
      </c>
      <c r="B148" s="358">
        <v>7505.0002130790499</v>
      </c>
      <c r="C148" s="358">
        <v>6777.1572500000002</v>
      </c>
      <c r="D148" s="359">
        <v>-727.84296307905197</v>
      </c>
      <c r="E148" s="360">
        <v>0.90301892839200004</v>
      </c>
      <c r="F148" s="358">
        <v>7046</v>
      </c>
      <c r="G148" s="359">
        <v>1174.3333333333301</v>
      </c>
      <c r="H148" s="361">
        <v>690.58500000000004</v>
      </c>
      <c r="I148" s="358">
        <v>1202.3679999999999</v>
      </c>
      <c r="J148" s="359">
        <v>28.034666666665998</v>
      </c>
      <c r="K148" s="362">
        <v>0.170645472608</v>
      </c>
    </row>
    <row r="149" spans="1:11" ht="14.4" customHeight="1" thickBot="1" x14ac:dyDescent="0.35">
      <c r="A149" s="380" t="s">
        <v>365</v>
      </c>
      <c r="B149" s="358">
        <v>4.9999985534949998</v>
      </c>
      <c r="C149" s="358">
        <v>3.1640000000000001</v>
      </c>
      <c r="D149" s="359">
        <v>-1.8359985534950001</v>
      </c>
      <c r="E149" s="360">
        <v>0.63280018306899999</v>
      </c>
      <c r="F149" s="358">
        <v>0</v>
      </c>
      <c r="G149" s="359">
        <v>0</v>
      </c>
      <c r="H149" s="361">
        <v>0.91500000000000004</v>
      </c>
      <c r="I149" s="358">
        <v>2.0939999999999999</v>
      </c>
      <c r="J149" s="359">
        <v>2.0939999999999999</v>
      </c>
      <c r="K149" s="369" t="s">
        <v>224</v>
      </c>
    </row>
    <row r="150" spans="1:11" ht="14.4" customHeight="1" thickBot="1" x14ac:dyDescent="0.35">
      <c r="A150" s="379" t="s">
        <v>366</v>
      </c>
      <c r="B150" s="363">
        <v>15106.000227476599</v>
      </c>
      <c r="C150" s="363">
        <v>14376.9174</v>
      </c>
      <c r="D150" s="364">
        <v>-729.082827476548</v>
      </c>
      <c r="E150" s="370">
        <v>0.95173554769599999</v>
      </c>
      <c r="F150" s="363">
        <v>14746.901513180999</v>
      </c>
      <c r="G150" s="364">
        <v>2457.8169188635002</v>
      </c>
      <c r="H150" s="366">
        <v>1509.4549999999999</v>
      </c>
      <c r="I150" s="363">
        <v>2661.6408000000001</v>
      </c>
      <c r="J150" s="364">
        <v>203.82388113650299</v>
      </c>
      <c r="K150" s="371">
        <v>0.18048813831300001</v>
      </c>
    </row>
    <row r="151" spans="1:11" ht="14.4" customHeight="1" thickBot="1" x14ac:dyDescent="0.35">
      <c r="A151" s="380" t="s">
        <v>367</v>
      </c>
      <c r="B151" s="358">
        <v>4.9406564584124654E-324</v>
      </c>
      <c r="C151" s="358">
        <v>-0.41</v>
      </c>
      <c r="D151" s="359">
        <v>-0.41</v>
      </c>
      <c r="E151" s="368" t="s">
        <v>230</v>
      </c>
      <c r="F151" s="358">
        <v>0</v>
      </c>
      <c r="G151" s="359">
        <v>0</v>
      </c>
      <c r="H151" s="361">
        <v>4.9406564584124654E-324</v>
      </c>
      <c r="I151" s="358">
        <v>9.8813129168249309E-324</v>
      </c>
      <c r="J151" s="359">
        <v>9.8813129168249309E-324</v>
      </c>
      <c r="K151" s="369" t="s">
        <v>224</v>
      </c>
    </row>
    <row r="152" spans="1:11" ht="14.4" customHeight="1" thickBot="1" x14ac:dyDescent="0.35">
      <c r="A152" s="380" t="s">
        <v>368</v>
      </c>
      <c r="B152" s="358">
        <v>15106.000227476599</v>
      </c>
      <c r="C152" s="358">
        <v>14377.3274</v>
      </c>
      <c r="D152" s="359">
        <v>-728.67282747654804</v>
      </c>
      <c r="E152" s="360">
        <v>0.95176268922899998</v>
      </c>
      <c r="F152" s="358">
        <v>14746.901513180999</v>
      </c>
      <c r="G152" s="359">
        <v>2457.8169188635002</v>
      </c>
      <c r="H152" s="361">
        <v>1509.4549999999999</v>
      </c>
      <c r="I152" s="358">
        <v>2661.6408000000001</v>
      </c>
      <c r="J152" s="359">
        <v>203.82388113650299</v>
      </c>
      <c r="K152" s="362">
        <v>0.18048813831300001</v>
      </c>
    </row>
    <row r="153" spans="1:11" ht="14.4" customHeight="1" thickBot="1" x14ac:dyDescent="0.35">
      <c r="A153" s="377" t="s">
        <v>369</v>
      </c>
      <c r="B153" s="358">
        <v>1652.81420602203</v>
      </c>
      <c r="C153" s="358">
        <v>678.34342000000004</v>
      </c>
      <c r="D153" s="359">
        <v>-974.47078602203305</v>
      </c>
      <c r="E153" s="360">
        <v>0.41041722507400002</v>
      </c>
      <c r="F153" s="358">
        <v>255.55717372632401</v>
      </c>
      <c r="G153" s="359">
        <v>42.592862287720003</v>
      </c>
      <c r="H153" s="361">
        <v>1.79989</v>
      </c>
      <c r="I153" s="358">
        <v>23.450880000000002</v>
      </c>
      <c r="J153" s="359">
        <v>-19.141982287720001</v>
      </c>
      <c r="K153" s="362">
        <v>9.1763731998000003E-2</v>
      </c>
    </row>
    <row r="154" spans="1:11" ht="14.4" customHeight="1" thickBot="1" x14ac:dyDescent="0.35">
      <c r="A154" s="378" t="s">
        <v>370</v>
      </c>
      <c r="B154" s="358">
        <v>1351.6004929815899</v>
      </c>
      <c r="C154" s="358">
        <v>449.07261999999997</v>
      </c>
      <c r="D154" s="359">
        <v>-902.52787298158796</v>
      </c>
      <c r="E154" s="360">
        <v>0.332252483135</v>
      </c>
      <c r="F154" s="358">
        <v>0</v>
      </c>
      <c r="G154" s="359">
        <v>0</v>
      </c>
      <c r="H154" s="361">
        <v>4.9406564584124654E-324</v>
      </c>
      <c r="I154" s="358">
        <v>9.8813129168249309E-324</v>
      </c>
      <c r="J154" s="359">
        <v>9.8813129168249309E-324</v>
      </c>
      <c r="K154" s="369" t="s">
        <v>224</v>
      </c>
    </row>
    <row r="155" spans="1:11" ht="14.4" customHeight="1" thickBot="1" x14ac:dyDescent="0.35">
      <c r="A155" s="379" t="s">
        <v>371</v>
      </c>
      <c r="B155" s="363">
        <v>1351.6004929815899</v>
      </c>
      <c r="C155" s="363">
        <v>449.07261999999997</v>
      </c>
      <c r="D155" s="364">
        <v>-902.52787298158796</v>
      </c>
      <c r="E155" s="370">
        <v>0.332252483135</v>
      </c>
      <c r="F155" s="363">
        <v>0</v>
      </c>
      <c r="G155" s="364">
        <v>0</v>
      </c>
      <c r="H155" s="366">
        <v>4.9406564584124654E-324</v>
      </c>
      <c r="I155" s="363">
        <v>9.8813129168249309E-324</v>
      </c>
      <c r="J155" s="364">
        <v>9.8813129168249309E-324</v>
      </c>
      <c r="K155" s="367" t="s">
        <v>224</v>
      </c>
    </row>
    <row r="156" spans="1:11" ht="14.4" customHeight="1" thickBot="1" x14ac:dyDescent="0.35">
      <c r="A156" s="380" t="s">
        <v>372</v>
      </c>
      <c r="B156" s="358">
        <v>0</v>
      </c>
      <c r="C156" s="358">
        <v>175.37588</v>
      </c>
      <c r="D156" s="359">
        <v>175.37588</v>
      </c>
      <c r="E156" s="368" t="s">
        <v>224</v>
      </c>
      <c r="F156" s="358">
        <v>0</v>
      </c>
      <c r="G156" s="359">
        <v>0</v>
      </c>
      <c r="H156" s="361">
        <v>4.9406564584124654E-324</v>
      </c>
      <c r="I156" s="358">
        <v>9.8813129168249309E-324</v>
      </c>
      <c r="J156" s="359">
        <v>9.8813129168249309E-324</v>
      </c>
      <c r="K156" s="369" t="s">
        <v>224</v>
      </c>
    </row>
    <row r="157" spans="1:11" ht="14.4" customHeight="1" thickBot="1" x14ac:dyDescent="0.35">
      <c r="A157" s="380" t="s">
        <v>373</v>
      </c>
      <c r="B157" s="358">
        <v>0</v>
      </c>
      <c r="C157" s="358">
        <v>11.11748</v>
      </c>
      <c r="D157" s="359">
        <v>11.11748</v>
      </c>
      <c r="E157" s="368" t="s">
        <v>224</v>
      </c>
      <c r="F157" s="358">
        <v>0</v>
      </c>
      <c r="G157" s="359">
        <v>0</v>
      </c>
      <c r="H157" s="361">
        <v>4.9406564584124654E-324</v>
      </c>
      <c r="I157" s="358">
        <v>9.8813129168249309E-324</v>
      </c>
      <c r="J157" s="359">
        <v>9.8813129168249309E-324</v>
      </c>
      <c r="K157" s="369" t="s">
        <v>224</v>
      </c>
    </row>
    <row r="158" spans="1:11" ht="14.4" customHeight="1" thickBot="1" x14ac:dyDescent="0.35">
      <c r="A158" s="380" t="s">
        <v>374</v>
      </c>
      <c r="B158" s="358">
        <v>0</v>
      </c>
      <c r="C158" s="358">
        <v>127.87085999999999</v>
      </c>
      <c r="D158" s="359">
        <v>127.87085999999999</v>
      </c>
      <c r="E158" s="368" t="s">
        <v>224</v>
      </c>
      <c r="F158" s="358">
        <v>0</v>
      </c>
      <c r="G158" s="359">
        <v>0</v>
      </c>
      <c r="H158" s="361">
        <v>4.9406564584124654E-324</v>
      </c>
      <c r="I158" s="358">
        <v>9.8813129168249309E-324</v>
      </c>
      <c r="J158" s="359">
        <v>9.8813129168249309E-324</v>
      </c>
      <c r="K158" s="369" t="s">
        <v>224</v>
      </c>
    </row>
    <row r="159" spans="1:11" ht="14.4" customHeight="1" thickBot="1" x14ac:dyDescent="0.35">
      <c r="A159" s="380" t="s">
        <v>375</v>
      </c>
      <c r="B159" s="358">
        <v>0</v>
      </c>
      <c r="C159" s="358">
        <v>134.70840000000001</v>
      </c>
      <c r="D159" s="359">
        <v>134.70840000000001</v>
      </c>
      <c r="E159" s="368" t="s">
        <v>224</v>
      </c>
      <c r="F159" s="358">
        <v>0</v>
      </c>
      <c r="G159" s="359">
        <v>0</v>
      </c>
      <c r="H159" s="361">
        <v>4.9406564584124654E-324</v>
      </c>
      <c r="I159" s="358">
        <v>9.8813129168249309E-324</v>
      </c>
      <c r="J159" s="359">
        <v>9.8813129168249309E-324</v>
      </c>
      <c r="K159" s="369" t="s">
        <v>224</v>
      </c>
    </row>
    <row r="160" spans="1:11" ht="14.4" customHeight="1" thickBot="1" x14ac:dyDescent="0.35">
      <c r="A160" s="383" t="s">
        <v>376</v>
      </c>
      <c r="B160" s="363">
        <v>301.21371304044499</v>
      </c>
      <c r="C160" s="363">
        <v>229.27080000000001</v>
      </c>
      <c r="D160" s="364">
        <v>-71.942913040445006</v>
      </c>
      <c r="E160" s="370">
        <v>0.76115658110499995</v>
      </c>
      <c r="F160" s="363">
        <v>255.55717372632401</v>
      </c>
      <c r="G160" s="364">
        <v>42.592862287720003</v>
      </c>
      <c r="H160" s="366">
        <v>1.79989</v>
      </c>
      <c r="I160" s="363">
        <v>23.450880000000002</v>
      </c>
      <c r="J160" s="364">
        <v>-19.141982287720001</v>
      </c>
      <c r="K160" s="371">
        <v>9.1763731998000003E-2</v>
      </c>
    </row>
    <row r="161" spans="1:11" ht="14.4" customHeight="1" thickBot="1" x14ac:dyDescent="0.35">
      <c r="A161" s="379" t="s">
        <v>377</v>
      </c>
      <c r="B161" s="363">
        <v>0</v>
      </c>
      <c r="C161" s="363">
        <v>16.644590000000001</v>
      </c>
      <c r="D161" s="364">
        <v>16.644590000000001</v>
      </c>
      <c r="E161" s="365" t="s">
        <v>224</v>
      </c>
      <c r="F161" s="363">
        <v>0</v>
      </c>
      <c r="G161" s="364">
        <v>0</v>
      </c>
      <c r="H161" s="366">
        <v>4.9406564584124654E-324</v>
      </c>
      <c r="I161" s="363">
        <v>5.0000000000000002E-5</v>
      </c>
      <c r="J161" s="364">
        <v>5.0000000000000002E-5</v>
      </c>
      <c r="K161" s="367" t="s">
        <v>224</v>
      </c>
    </row>
    <row r="162" spans="1:11" ht="14.4" customHeight="1" thickBot="1" x14ac:dyDescent="0.35">
      <c r="A162" s="380" t="s">
        <v>378</v>
      </c>
      <c r="B162" s="358">
        <v>0</v>
      </c>
      <c r="C162" s="358">
        <v>5.9000000000000003E-4</v>
      </c>
      <c r="D162" s="359">
        <v>5.9000000000000003E-4</v>
      </c>
      <c r="E162" s="368" t="s">
        <v>224</v>
      </c>
      <c r="F162" s="358">
        <v>0</v>
      </c>
      <c r="G162" s="359">
        <v>0</v>
      </c>
      <c r="H162" s="361">
        <v>4.9406564584124654E-324</v>
      </c>
      <c r="I162" s="358">
        <v>5.0000000000000002E-5</v>
      </c>
      <c r="J162" s="359">
        <v>5.0000000000000002E-5</v>
      </c>
      <c r="K162" s="369" t="s">
        <v>224</v>
      </c>
    </row>
    <row r="163" spans="1:11" ht="14.4" customHeight="1" thickBot="1" x14ac:dyDescent="0.35">
      <c r="A163" s="380" t="s">
        <v>379</v>
      </c>
      <c r="B163" s="358">
        <v>0</v>
      </c>
      <c r="C163" s="358">
        <v>16.643999999999998</v>
      </c>
      <c r="D163" s="359">
        <v>16.643999999999998</v>
      </c>
      <c r="E163" s="368" t="s">
        <v>224</v>
      </c>
      <c r="F163" s="358">
        <v>0</v>
      </c>
      <c r="G163" s="359">
        <v>0</v>
      </c>
      <c r="H163" s="361">
        <v>4.9406564584124654E-324</v>
      </c>
      <c r="I163" s="358">
        <v>9.8813129168249309E-324</v>
      </c>
      <c r="J163" s="359">
        <v>9.8813129168249309E-324</v>
      </c>
      <c r="K163" s="369" t="s">
        <v>224</v>
      </c>
    </row>
    <row r="164" spans="1:11" ht="14.4" customHeight="1" thickBot="1" x14ac:dyDescent="0.35">
      <c r="A164" s="379" t="s">
        <v>380</v>
      </c>
      <c r="B164" s="363">
        <v>301.21371304044499</v>
      </c>
      <c r="C164" s="363">
        <v>212.62620999999999</v>
      </c>
      <c r="D164" s="364">
        <v>-88.587503040445</v>
      </c>
      <c r="E164" s="370">
        <v>0.70589817393599996</v>
      </c>
      <c r="F164" s="363">
        <v>255.55717372632401</v>
      </c>
      <c r="G164" s="364">
        <v>42.592862287720003</v>
      </c>
      <c r="H164" s="366">
        <v>1.79989</v>
      </c>
      <c r="I164" s="363">
        <v>23.45083</v>
      </c>
      <c r="J164" s="364">
        <v>-19.142032287719999</v>
      </c>
      <c r="K164" s="371">
        <v>9.1763536347000005E-2</v>
      </c>
    </row>
    <row r="165" spans="1:11" ht="14.4" customHeight="1" thickBot="1" x14ac:dyDescent="0.35">
      <c r="A165" s="380" t="s">
        <v>381</v>
      </c>
      <c r="B165" s="358">
        <v>0</v>
      </c>
      <c r="C165" s="358">
        <v>1.8029999999999999</v>
      </c>
      <c r="D165" s="359">
        <v>1.8029999999999999</v>
      </c>
      <c r="E165" s="368" t="s">
        <v>224</v>
      </c>
      <c r="F165" s="358">
        <v>0</v>
      </c>
      <c r="G165" s="359">
        <v>0</v>
      </c>
      <c r="H165" s="361">
        <v>0.14699999999999999</v>
      </c>
      <c r="I165" s="358">
        <v>0.29399999999999998</v>
      </c>
      <c r="J165" s="359">
        <v>0.29399999999999998</v>
      </c>
      <c r="K165" s="369" t="s">
        <v>224</v>
      </c>
    </row>
    <row r="166" spans="1:11" ht="14.4" customHeight="1" thickBot="1" x14ac:dyDescent="0.35">
      <c r="A166" s="380" t="s">
        <v>382</v>
      </c>
      <c r="B166" s="358">
        <v>255.55717372632401</v>
      </c>
      <c r="C166" s="358">
        <v>210.75727000000001</v>
      </c>
      <c r="D166" s="359">
        <v>-44.799903726323002</v>
      </c>
      <c r="E166" s="360">
        <v>0.82469713890899998</v>
      </c>
      <c r="F166" s="358">
        <v>255.55717372632401</v>
      </c>
      <c r="G166" s="359">
        <v>42.592862287720003</v>
      </c>
      <c r="H166" s="361">
        <v>1.65289</v>
      </c>
      <c r="I166" s="358">
        <v>23.140460000000001</v>
      </c>
      <c r="J166" s="359">
        <v>-19.452402287719998</v>
      </c>
      <c r="K166" s="362">
        <v>9.0549052731999993E-2</v>
      </c>
    </row>
    <row r="167" spans="1:11" ht="14.4" customHeight="1" thickBot="1" x14ac:dyDescent="0.35">
      <c r="A167" s="380" t="s">
        <v>383</v>
      </c>
      <c r="B167" s="358">
        <v>45.656539314120998</v>
      </c>
      <c r="C167" s="358">
        <v>6.5939999999999999E-2</v>
      </c>
      <c r="D167" s="359">
        <v>-45.590599314121</v>
      </c>
      <c r="E167" s="360">
        <v>1.444261895E-3</v>
      </c>
      <c r="F167" s="358">
        <v>0</v>
      </c>
      <c r="G167" s="359">
        <v>0</v>
      </c>
      <c r="H167" s="361">
        <v>4.9406564584124654E-324</v>
      </c>
      <c r="I167" s="358">
        <v>1.6369999999999999E-2</v>
      </c>
      <c r="J167" s="359">
        <v>1.6369999999999999E-2</v>
      </c>
      <c r="K167" s="369" t="s">
        <v>224</v>
      </c>
    </row>
    <row r="168" spans="1:11" ht="14.4" customHeight="1" thickBot="1" x14ac:dyDescent="0.35">
      <c r="A168" s="376" t="s">
        <v>384</v>
      </c>
      <c r="B168" s="358">
        <v>4933.21586872436</v>
      </c>
      <c r="C168" s="358">
        <v>3966.2019100000002</v>
      </c>
      <c r="D168" s="359">
        <v>-967.01395872435899</v>
      </c>
      <c r="E168" s="360">
        <v>0.80397898967699999</v>
      </c>
      <c r="F168" s="358">
        <v>4520.0082222852297</v>
      </c>
      <c r="G168" s="359">
        <v>753.33470371420401</v>
      </c>
      <c r="H168" s="361">
        <v>312.78140000000002</v>
      </c>
      <c r="I168" s="358">
        <v>640.80091000000004</v>
      </c>
      <c r="J168" s="359">
        <v>-112.53379371420399</v>
      </c>
      <c r="K168" s="362">
        <v>0.14176985493899999</v>
      </c>
    </row>
    <row r="169" spans="1:11" ht="14.4" customHeight="1" thickBot="1" x14ac:dyDescent="0.35">
      <c r="A169" s="381" t="s">
        <v>385</v>
      </c>
      <c r="B169" s="363">
        <v>4933.21586872436</v>
      </c>
      <c r="C169" s="363">
        <v>3966.2019100000002</v>
      </c>
      <c r="D169" s="364">
        <v>-967.01395872435899</v>
      </c>
      <c r="E169" s="370">
        <v>0.80397898967699999</v>
      </c>
      <c r="F169" s="363">
        <v>4520.0082222852297</v>
      </c>
      <c r="G169" s="364">
        <v>753.33470371420401</v>
      </c>
      <c r="H169" s="366">
        <v>312.78140000000002</v>
      </c>
      <c r="I169" s="363">
        <v>640.80091000000004</v>
      </c>
      <c r="J169" s="364">
        <v>-112.53379371420399</v>
      </c>
      <c r="K169" s="371">
        <v>0.14176985493899999</v>
      </c>
    </row>
    <row r="170" spans="1:11" ht="14.4" customHeight="1" thickBot="1" x14ac:dyDescent="0.35">
      <c r="A170" s="383" t="s">
        <v>44</v>
      </c>
      <c r="B170" s="363">
        <v>4933.21586872436</v>
      </c>
      <c r="C170" s="363">
        <v>3966.2019100000002</v>
      </c>
      <c r="D170" s="364">
        <v>-967.01395872435899</v>
      </c>
      <c r="E170" s="370">
        <v>0.80397898967699999</v>
      </c>
      <c r="F170" s="363">
        <v>4520.0082222852297</v>
      </c>
      <c r="G170" s="364">
        <v>753.33470371420401</v>
      </c>
      <c r="H170" s="366">
        <v>312.78140000000002</v>
      </c>
      <c r="I170" s="363">
        <v>640.80091000000004</v>
      </c>
      <c r="J170" s="364">
        <v>-112.53379371420399</v>
      </c>
      <c r="K170" s="371">
        <v>0.14176985493899999</v>
      </c>
    </row>
    <row r="171" spans="1:11" ht="14.4" customHeight="1" thickBot="1" x14ac:dyDescent="0.35">
      <c r="A171" s="379" t="s">
        <v>386</v>
      </c>
      <c r="B171" s="363">
        <v>42.999999999998998</v>
      </c>
      <c r="C171" s="363">
        <v>46.53</v>
      </c>
      <c r="D171" s="364">
        <v>3.53</v>
      </c>
      <c r="E171" s="370">
        <v>1.0820930232549999</v>
      </c>
      <c r="F171" s="363">
        <v>65</v>
      </c>
      <c r="G171" s="364">
        <v>10.833333333333</v>
      </c>
      <c r="H171" s="366">
        <v>3.8774999999999999</v>
      </c>
      <c r="I171" s="363">
        <v>7.7549999999999999</v>
      </c>
      <c r="J171" s="364">
        <v>-3.0783333333330001</v>
      </c>
      <c r="K171" s="371">
        <v>0.119307692307</v>
      </c>
    </row>
    <row r="172" spans="1:11" ht="14.4" customHeight="1" thickBot="1" x14ac:dyDescent="0.35">
      <c r="A172" s="380" t="s">
        <v>387</v>
      </c>
      <c r="B172" s="358">
        <v>42.999999999998998</v>
      </c>
      <c r="C172" s="358">
        <v>46.53</v>
      </c>
      <c r="D172" s="359">
        <v>3.53</v>
      </c>
      <c r="E172" s="360">
        <v>1.0820930232549999</v>
      </c>
      <c r="F172" s="358">
        <v>65</v>
      </c>
      <c r="G172" s="359">
        <v>10.833333333333</v>
      </c>
      <c r="H172" s="361">
        <v>3.8774999999999999</v>
      </c>
      <c r="I172" s="358">
        <v>7.7549999999999999</v>
      </c>
      <c r="J172" s="359">
        <v>-3.0783333333330001</v>
      </c>
      <c r="K172" s="362">
        <v>0.119307692307</v>
      </c>
    </row>
    <row r="173" spans="1:11" ht="14.4" customHeight="1" thickBot="1" x14ac:dyDescent="0.35">
      <c r="A173" s="379" t="s">
        <v>388</v>
      </c>
      <c r="B173" s="363">
        <v>67.263028751264997</v>
      </c>
      <c r="C173" s="363">
        <v>56.57</v>
      </c>
      <c r="D173" s="364">
        <v>-10.693028751265</v>
      </c>
      <c r="E173" s="370">
        <v>0.84102665387200004</v>
      </c>
      <c r="F173" s="363">
        <v>58.008222285228001</v>
      </c>
      <c r="G173" s="364">
        <v>9.6680370475380002</v>
      </c>
      <c r="H173" s="366">
        <v>3.1989999999999998</v>
      </c>
      <c r="I173" s="363">
        <v>7.7240000000000002</v>
      </c>
      <c r="J173" s="364">
        <v>-1.944037047538</v>
      </c>
      <c r="K173" s="371">
        <v>0.13315353747600001</v>
      </c>
    </row>
    <row r="174" spans="1:11" ht="14.4" customHeight="1" thickBot="1" x14ac:dyDescent="0.35">
      <c r="A174" s="380" t="s">
        <v>389</v>
      </c>
      <c r="B174" s="358">
        <v>67.263028751264997</v>
      </c>
      <c r="C174" s="358">
        <v>56.57</v>
      </c>
      <c r="D174" s="359">
        <v>-10.693028751265</v>
      </c>
      <c r="E174" s="360">
        <v>0.84102665387200004</v>
      </c>
      <c r="F174" s="358">
        <v>58.008222285228001</v>
      </c>
      <c r="G174" s="359">
        <v>9.6680370475380002</v>
      </c>
      <c r="H174" s="361">
        <v>3.1989999999999998</v>
      </c>
      <c r="I174" s="358">
        <v>7.7240000000000002</v>
      </c>
      <c r="J174" s="359">
        <v>-1.944037047538</v>
      </c>
      <c r="K174" s="362">
        <v>0.13315353747600001</v>
      </c>
    </row>
    <row r="175" spans="1:11" ht="14.4" customHeight="1" thickBot="1" x14ac:dyDescent="0.35">
      <c r="A175" s="379" t="s">
        <v>390</v>
      </c>
      <c r="B175" s="363">
        <v>285.95283997315198</v>
      </c>
      <c r="C175" s="363">
        <v>307.91410000000002</v>
      </c>
      <c r="D175" s="364">
        <v>21.961260026847</v>
      </c>
      <c r="E175" s="370">
        <v>1.0768002864699999</v>
      </c>
      <c r="F175" s="363">
        <v>344</v>
      </c>
      <c r="G175" s="364">
        <v>57.333333333333002</v>
      </c>
      <c r="H175" s="366">
        <v>19.492899999999999</v>
      </c>
      <c r="I175" s="363">
        <v>38.232100000000003</v>
      </c>
      <c r="J175" s="364">
        <v>-19.101233333332999</v>
      </c>
      <c r="K175" s="371">
        <v>0.111139825581</v>
      </c>
    </row>
    <row r="176" spans="1:11" ht="14.4" customHeight="1" thickBot="1" x14ac:dyDescent="0.35">
      <c r="A176" s="380" t="s">
        <v>391</v>
      </c>
      <c r="B176" s="358">
        <v>285.95283997315198</v>
      </c>
      <c r="C176" s="358">
        <v>307.91410000000002</v>
      </c>
      <c r="D176" s="359">
        <v>21.961260026847</v>
      </c>
      <c r="E176" s="360">
        <v>1.0768002864699999</v>
      </c>
      <c r="F176" s="358">
        <v>344</v>
      </c>
      <c r="G176" s="359">
        <v>57.333333333333002</v>
      </c>
      <c r="H176" s="361">
        <v>19.492899999999999</v>
      </c>
      <c r="I176" s="358">
        <v>38.232100000000003</v>
      </c>
      <c r="J176" s="359">
        <v>-19.101233333332999</v>
      </c>
      <c r="K176" s="362">
        <v>0.111139825581</v>
      </c>
    </row>
    <row r="177" spans="1:11" ht="14.4" customHeight="1" thickBot="1" x14ac:dyDescent="0.35">
      <c r="A177" s="379" t="s">
        <v>392</v>
      </c>
      <c r="B177" s="363">
        <v>0</v>
      </c>
      <c r="C177" s="363">
        <v>6.2770000000000001</v>
      </c>
      <c r="D177" s="364">
        <v>6.2770000000000001</v>
      </c>
      <c r="E177" s="365" t="s">
        <v>224</v>
      </c>
      <c r="F177" s="363">
        <v>4.9406564584124654E-324</v>
      </c>
      <c r="G177" s="364">
        <v>0</v>
      </c>
      <c r="H177" s="366">
        <v>0.95599999999999996</v>
      </c>
      <c r="I177" s="363">
        <v>1.0960000000000001</v>
      </c>
      <c r="J177" s="364">
        <v>1.0960000000000001</v>
      </c>
      <c r="K177" s="367" t="s">
        <v>230</v>
      </c>
    </row>
    <row r="178" spans="1:11" ht="14.4" customHeight="1" thickBot="1" x14ac:dyDescent="0.35">
      <c r="A178" s="380" t="s">
        <v>393</v>
      </c>
      <c r="B178" s="358">
        <v>0</v>
      </c>
      <c r="C178" s="358">
        <v>6.2770000000000001</v>
      </c>
      <c r="D178" s="359">
        <v>6.2770000000000001</v>
      </c>
      <c r="E178" s="368" t="s">
        <v>224</v>
      </c>
      <c r="F178" s="358">
        <v>4.9406564584124654E-324</v>
      </c>
      <c r="G178" s="359">
        <v>0</v>
      </c>
      <c r="H178" s="361">
        <v>0.95599999999999996</v>
      </c>
      <c r="I178" s="358">
        <v>1.0960000000000001</v>
      </c>
      <c r="J178" s="359">
        <v>1.0960000000000001</v>
      </c>
      <c r="K178" s="369" t="s">
        <v>230</v>
      </c>
    </row>
    <row r="179" spans="1:11" ht="14.4" customHeight="1" thickBot="1" x14ac:dyDescent="0.35">
      <c r="A179" s="379" t="s">
        <v>394</v>
      </c>
      <c r="B179" s="363">
        <v>744.99999999999</v>
      </c>
      <c r="C179" s="363">
        <v>660.83081000000004</v>
      </c>
      <c r="D179" s="364">
        <v>-84.169189999989996</v>
      </c>
      <c r="E179" s="370">
        <v>0.88702122147600004</v>
      </c>
      <c r="F179" s="363">
        <v>919</v>
      </c>
      <c r="G179" s="364">
        <v>153.166666666667</v>
      </c>
      <c r="H179" s="366">
        <v>40.21123</v>
      </c>
      <c r="I179" s="363">
        <v>93.301019999999994</v>
      </c>
      <c r="J179" s="364">
        <v>-59.865646666666002</v>
      </c>
      <c r="K179" s="371">
        <v>0.101524504896</v>
      </c>
    </row>
    <row r="180" spans="1:11" ht="14.4" customHeight="1" thickBot="1" x14ac:dyDescent="0.35">
      <c r="A180" s="380" t="s">
        <v>395</v>
      </c>
      <c r="B180" s="358">
        <v>744.99999999999</v>
      </c>
      <c r="C180" s="358">
        <v>660.83081000000004</v>
      </c>
      <c r="D180" s="359">
        <v>-84.169189999989996</v>
      </c>
      <c r="E180" s="360">
        <v>0.88702122147600004</v>
      </c>
      <c r="F180" s="358">
        <v>919</v>
      </c>
      <c r="G180" s="359">
        <v>153.166666666667</v>
      </c>
      <c r="H180" s="361">
        <v>40.21123</v>
      </c>
      <c r="I180" s="358">
        <v>93.301019999999994</v>
      </c>
      <c r="J180" s="359">
        <v>-59.865646666666002</v>
      </c>
      <c r="K180" s="362">
        <v>0.101524504896</v>
      </c>
    </row>
    <row r="181" spans="1:11" ht="14.4" customHeight="1" thickBot="1" x14ac:dyDescent="0.35">
      <c r="A181" s="379" t="s">
        <v>396</v>
      </c>
      <c r="B181" s="363">
        <v>3791.99999999995</v>
      </c>
      <c r="C181" s="363">
        <v>2888.08</v>
      </c>
      <c r="D181" s="364">
        <v>-903.91999999995198</v>
      </c>
      <c r="E181" s="370">
        <v>0.76162447257300003</v>
      </c>
      <c r="F181" s="363">
        <v>3134</v>
      </c>
      <c r="G181" s="364">
        <v>522.33333333333303</v>
      </c>
      <c r="H181" s="366">
        <v>245.04477</v>
      </c>
      <c r="I181" s="363">
        <v>492.69279</v>
      </c>
      <c r="J181" s="364">
        <v>-29.640543333333</v>
      </c>
      <c r="K181" s="371">
        <v>0.15720893107799999</v>
      </c>
    </row>
    <row r="182" spans="1:11" ht="14.4" customHeight="1" thickBot="1" x14ac:dyDescent="0.35">
      <c r="A182" s="380" t="s">
        <v>397</v>
      </c>
      <c r="B182" s="358">
        <v>3791.99999999995</v>
      </c>
      <c r="C182" s="358">
        <v>2888.08</v>
      </c>
      <c r="D182" s="359">
        <v>-903.91999999995198</v>
      </c>
      <c r="E182" s="360">
        <v>0.76162447257300003</v>
      </c>
      <c r="F182" s="358">
        <v>3134</v>
      </c>
      <c r="G182" s="359">
        <v>522.33333333333303</v>
      </c>
      <c r="H182" s="361">
        <v>245.04477</v>
      </c>
      <c r="I182" s="358">
        <v>492.69279</v>
      </c>
      <c r="J182" s="359">
        <v>-29.640543333333</v>
      </c>
      <c r="K182" s="362">
        <v>0.15720893107799999</v>
      </c>
    </row>
    <row r="183" spans="1:11" ht="14.4" customHeight="1" thickBot="1" x14ac:dyDescent="0.35">
      <c r="A183" s="384"/>
      <c r="B183" s="358">
        <v>-7330.38874916438</v>
      </c>
      <c r="C183" s="358">
        <v>-9126.1028800000004</v>
      </c>
      <c r="D183" s="359">
        <v>-1795.7141308356099</v>
      </c>
      <c r="E183" s="360">
        <v>1.24496847197</v>
      </c>
      <c r="F183" s="358">
        <v>-9960.1859948340607</v>
      </c>
      <c r="G183" s="359">
        <v>-1660.03099913901</v>
      </c>
      <c r="H183" s="361">
        <v>-179.46284</v>
      </c>
      <c r="I183" s="358">
        <v>-994.018770000014</v>
      </c>
      <c r="J183" s="359">
        <v>666.01222913899699</v>
      </c>
      <c r="K183" s="362">
        <v>9.9799217656E-2</v>
      </c>
    </row>
    <row r="184" spans="1:11" ht="14.4" customHeight="1" thickBot="1" x14ac:dyDescent="0.35">
      <c r="A184" s="385" t="s">
        <v>56</v>
      </c>
      <c r="B184" s="372">
        <v>-7330.38874916438</v>
      </c>
      <c r="C184" s="372">
        <v>-9126.1028800000004</v>
      </c>
      <c r="D184" s="373">
        <v>-1795.7141308356199</v>
      </c>
      <c r="E184" s="374">
        <v>-0.87956383547200001</v>
      </c>
      <c r="F184" s="372">
        <v>-9960.1859948340607</v>
      </c>
      <c r="G184" s="373">
        <v>-1660.03099913901</v>
      </c>
      <c r="H184" s="372">
        <v>-179.46284</v>
      </c>
      <c r="I184" s="372">
        <v>-994.018770000014</v>
      </c>
      <c r="J184" s="373">
        <v>666.01222913899596</v>
      </c>
      <c r="K184" s="375">
        <v>9.9799217656E-2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H14"/>
  <sheetViews>
    <sheetView showGridLines="0" showRowColHeaders="0" workbookViewId="0">
      <pane ySplit="3" topLeftCell="A4" activePane="bottomLeft" state="frozen"/>
      <selection activeCell="A2" sqref="A2:I2"/>
      <selection pane="bottomLeft" sqref="A1:G1"/>
    </sheetView>
  </sheetViews>
  <sheetFormatPr defaultRowHeight="14.4" customHeight="1" x14ac:dyDescent="0.3"/>
  <cols>
    <col min="1" max="1" width="5.33203125" style="197" bestFit="1" customWidth="1"/>
    <col min="2" max="2" width="9.33203125" style="197" customWidth="1"/>
    <col min="3" max="3" width="28.88671875" style="120" bestFit="1" customWidth="1"/>
    <col min="4" max="4" width="12.77734375" style="198" bestFit="1" customWidth="1"/>
    <col min="5" max="5" width="11.109375" style="198" customWidth="1"/>
    <col min="6" max="6" width="6.6640625" style="199" customWidth="1"/>
    <col min="7" max="7" width="12.21875" style="196" bestFit="1" customWidth="1"/>
    <col min="8" max="8" width="0" style="120" hidden="1" customWidth="1"/>
    <col min="9" max="16384" width="8.88671875" style="120"/>
  </cols>
  <sheetData>
    <row r="1" spans="1:8" ht="18.600000000000001" customHeight="1" thickBot="1" x14ac:dyDescent="0.4">
      <c r="A1" s="314" t="s">
        <v>122</v>
      </c>
      <c r="B1" s="315"/>
      <c r="C1" s="315"/>
      <c r="D1" s="315"/>
      <c r="E1" s="315"/>
      <c r="F1" s="315"/>
      <c r="G1" s="291"/>
    </row>
    <row r="2" spans="1:8" ht="14.4" customHeight="1" thickBot="1" x14ac:dyDescent="0.35">
      <c r="A2" s="217" t="s">
        <v>223</v>
      </c>
      <c r="B2" s="195"/>
      <c r="C2" s="195"/>
      <c r="D2" s="195"/>
      <c r="E2" s="195"/>
      <c r="F2" s="195"/>
    </row>
    <row r="3" spans="1:8" ht="14.4" customHeight="1" thickBot="1" x14ac:dyDescent="0.35">
      <c r="A3" s="73" t="s">
        <v>0</v>
      </c>
      <c r="B3" s="74" t="s">
        <v>1</v>
      </c>
      <c r="C3" s="86" t="s">
        <v>2</v>
      </c>
      <c r="D3" s="87" t="s">
        <v>145</v>
      </c>
      <c r="E3" s="87" t="s">
        <v>4</v>
      </c>
      <c r="F3" s="87" t="s">
        <v>5</v>
      </c>
      <c r="G3" s="88" t="s">
        <v>126</v>
      </c>
    </row>
    <row r="4" spans="1:8" ht="14.4" customHeight="1" x14ac:dyDescent="0.3">
      <c r="A4" s="386" t="s">
        <v>398</v>
      </c>
      <c r="B4" s="387" t="s">
        <v>399</v>
      </c>
      <c r="C4" s="388" t="s">
        <v>400</v>
      </c>
      <c r="D4" s="388" t="s">
        <v>399</v>
      </c>
      <c r="E4" s="388" t="s">
        <v>399</v>
      </c>
      <c r="F4" s="389" t="s">
        <v>399</v>
      </c>
      <c r="G4" s="388" t="s">
        <v>399</v>
      </c>
      <c r="H4" s="388" t="s">
        <v>59</v>
      </c>
    </row>
    <row r="5" spans="1:8" ht="14.4" customHeight="1" x14ac:dyDescent="0.3">
      <c r="A5" s="386" t="s">
        <v>398</v>
      </c>
      <c r="B5" s="387" t="s">
        <v>401</v>
      </c>
      <c r="C5" s="388" t="s">
        <v>402</v>
      </c>
      <c r="D5" s="388">
        <v>42368.340996939165</v>
      </c>
      <c r="E5" s="388">
        <v>17387.297595409116</v>
      </c>
      <c r="F5" s="389">
        <v>0.410384196932923</v>
      </c>
      <c r="G5" s="388">
        <v>-24981.043401530049</v>
      </c>
      <c r="H5" s="388" t="s">
        <v>2</v>
      </c>
    </row>
    <row r="6" spans="1:8" ht="14.4" customHeight="1" x14ac:dyDescent="0.3">
      <c r="A6" s="386" t="s">
        <v>398</v>
      </c>
      <c r="B6" s="387" t="s">
        <v>403</v>
      </c>
      <c r="C6" s="388" t="s">
        <v>404</v>
      </c>
      <c r="D6" s="388">
        <v>653.59120024798835</v>
      </c>
      <c r="E6" s="388">
        <v>169.95205735037158</v>
      </c>
      <c r="F6" s="389">
        <v>0.26002806844077403</v>
      </c>
      <c r="G6" s="388">
        <v>-483.63914289761681</v>
      </c>
      <c r="H6" s="388" t="s">
        <v>2</v>
      </c>
    </row>
    <row r="7" spans="1:8" ht="14.4" customHeight="1" x14ac:dyDescent="0.3">
      <c r="A7" s="386" t="s">
        <v>398</v>
      </c>
      <c r="B7" s="387" t="s">
        <v>6</v>
      </c>
      <c r="C7" s="388" t="s">
        <v>400</v>
      </c>
      <c r="D7" s="388">
        <v>43021.932197187154</v>
      </c>
      <c r="E7" s="388">
        <v>17557.249652759489</v>
      </c>
      <c r="F7" s="389">
        <v>0.40809997961708033</v>
      </c>
      <c r="G7" s="388">
        <v>-25464.682544427666</v>
      </c>
      <c r="H7" s="388" t="s">
        <v>405</v>
      </c>
    </row>
    <row r="9" spans="1:8" ht="14.4" customHeight="1" x14ac:dyDescent="0.3">
      <c r="A9" s="386" t="s">
        <v>398</v>
      </c>
      <c r="B9" s="387" t="s">
        <v>399</v>
      </c>
      <c r="C9" s="388" t="s">
        <v>400</v>
      </c>
      <c r="D9" s="388" t="s">
        <v>399</v>
      </c>
      <c r="E9" s="388" t="s">
        <v>399</v>
      </c>
      <c r="F9" s="389" t="s">
        <v>399</v>
      </c>
      <c r="G9" s="388" t="s">
        <v>399</v>
      </c>
      <c r="H9" s="388" t="s">
        <v>59</v>
      </c>
    </row>
    <row r="10" spans="1:8" ht="14.4" customHeight="1" x14ac:dyDescent="0.3">
      <c r="A10" s="386" t="s">
        <v>406</v>
      </c>
      <c r="B10" s="387" t="s">
        <v>401</v>
      </c>
      <c r="C10" s="388" t="s">
        <v>402</v>
      </c>
      <c r="D10" s="388">
        <v>42368.340996939165</v>
      </c>
      <c r="E10" s="388">
        <v>17387.297595409116</v>
      </c>
      <c r="F10" s="389">
        <v>0.410384196932923</v>
      </c>
      <c r="G10" s="388">
        <v>-24981.043401530049</v>
      </c>
      <c r="H10" s="388" t="s">
        <v>2</v>
      </c>
    </row>
    <row r="11" spans="1:8" ht="14.4" customHeight="1" x14ac:dyDescent="0.3">
      <c r="A11" s="386" t="s">
        <v>406</v>
      </c>
      <c r="B11" s="387" t="s">
        <v>403</v>
      </c>
      <c r="C11" s="388" t="s">
        <v>404</v>
      </c>
      <c r="D11" s="388">
        <v>653.59120024798835</v>
      </c>
      <c r="E11" s="388">
        <v>169.95205735037158</v>
      </c>
      <c r="F11" s="389">
        <v>0.26002806844077403</v>
      </c>
      <c r="G11" s="388">
        <v>-483.63914289761681</v>
      </c>
      <c r="H11" s="388" t="s">
        <v>2</v>
      </c>
    </row>
    <row r="12" spans="1:8" ht="14.4" customHeight="1" x14ac:dyDescent="0.3">
      <c r="A12" s="386" t="s">
        <v>406</v>
      </c>
      <c r="B12" s="387" t="s">
        <v>6</v>
      </c>
      <c r="C12" s="388" t="s">
        <v>407</v>
      </c>
      <c r="D12" s="388">
        <v>43021.932197187154</v>
      </c>
      <c r="E12" s="388">
        <v>17557.249652759489</v>
      </c>
      <c r="F12" s="389">
        <v>0.40809997961708033</v>
      </c>
      <c r="G12" s="388">
        <v>-25464.682544427666</v>
      </c>
      <c r="H12" s="388" t="s">
        <v>408</v>
      </c>
    </row>
    <row r="13" spans="1:8" ht="14.4" customHeight="1" x14ac:dyDescent="0.3">
      <c r="A13" s="386" t="s">
        <v>399</v>
      </c>
      <c r="B13" s="387" t="s">
        <v>399</v>
      </c>
      <c r="C13" s="388" t="s">
        <v>399</v>
      </c>
      <c r="D13" s="388" t="s">
        <v>399</v>
      </c>
      <c r="E13" s="388" t="s">
        <v>399</v>
      </c>
      <c r="F13" s="389" t="s">
        <v>399</v>
      </c>
      <c r="G13" s="388" t="s">
        <v>399</v>
      </c>
      <c r="H13" s="388" t="s">
        <v>409</v>
      </c>
    </row>
    <row r="14" spans="1:8" ht="14.4" customHeight="1" x14ac:dyDescent="0.3">
      <c r="A14" s="386" t="s">
        <v>398</v>
      </c>
      <c r="B14" s="387" t="s">
        <v>6</v>
      </c>
      <c r="C14" s="388" t="s">
        <v>400</v>
      </c>
      <c r="D14" s="388">
        <v>43021.932197187154</v>
      </c>
      <c r="E14" s="388">
        <v>17557.249652759489</v>
      </c>
      <c r="F14" s="389">
        <v>0.40809997961708033</v>
      </c>
      <c r="G14" s="388">
        <v>-25464.682544427666</v>
      </c>
      <c r="H14" s="388" t="s">
        <v>405</v>
      </c>
    </row>
  </sheetData>
  <autoFilter ref="A3:G3"/>
  <mergeCells count="1">
    <mergeCell ref="A1:G1"/>
  </mergeCells>
  <conditionalFormatting sqref="F8 F15:F65536">
    <cfRule type="cellIs" dxfId="32" priority="15" stopIfTrue="1" operator="greaterThan">
      <formula>1</formula>
    </cfRule>
  </conditionalFormatting>
  <conditionalFormatting sqref="B4:B7">
    <cfRule type="expression" dxfId="31" priority="12">
      <formula>AND(LEFT(H4,6)&lt;&gt;"mezera",H4&lt;&gt;"")</formula>
    </cfRule>
  </conditionalFormatting>
  <conditionalFormatting sqref="A4:A7">
    <cfRule type="expression" dxfId="30" priority="10">
      <formula>AND(H4&lt;&gt;"",H4&lt;&gt;"mezeraKL")</formula>
    </cfRule>
  </conditionalFormatting>
  <conditionalFormatting sqref="G4:G7">
    <cfRule type="cellIs" dxfId="29" priority="9" operator="greaterThan">
      <formula>0</formula>
    </cfRule>
  </conditionalFormatting>
  <conditionalFormatting sqref="F4:F7">
    <cfRule type="cellIs" dxfId="28" priority="8" operator="greaterThan">
      <formula>1</formula>
    </cfRule>
  </conditionalFormatting>
  <conditionalFormatting sqref="B4:G7">
    <cfRule type="expression" dxfId="27" priority="11">
      <formula>OR($H4="KL",$H4="SumaKL")</formula>
    </cfRule>
    <cfRule type="expression" dxfId="26" priority="13">
      <formula>$H4="SumaNS"</formula>
    </cfRule>
  </conditionalFormatting>
  <conditionalFormatting sqref="A4:G7">
    <cfRule type="expression" dxfId="25" priority="14">
      <formula>$H4&lt;&gt;""</formula>
    </cfRule>
  </conditionalFormatting>
  <conditionalFormatting sqref="F9:F14">
    <cfRule type="cellIs" dxfId="24" priority="3" operator="greaterThan">
      <formula>1</formula>
    </cfRule>
  </conditionalFormatting>
  <conditionalFormatting sqref="B9:B14">
    <cfRule type="expression" dxfId="23" priority="6">
      <formula>AND(LEFT(H9,6)&lt;&gt;"mezera",H9&lt;&gt;"")</formula>
    </cfRule>
  </conditionalFormatting>
  <conditionalFormatting sqref="A9:A14">
    <cfRule type="expression" dxfId="22" priority="4">
      <formula>AND(H9&lt;&gt;"",H9&lt;&gt;"mezeraKL")</formula>
    </cfRule>
  </conditionalFormatting>
  <conditionalFormatting sqref="G9:G14">
    <cfRule type="cellIs" dxfId="21" priority="2" operator="greaterThan">
      <formula>0</formula>
    </cfRule>
  </conditionalFormatting>
  <conditionalFormatting sqref="B9:G14">
    <cfRule type="expression" dxfId="20" priority="5">
      <formula>OR($H9="KL",$H9="SumaKL")</formula>
    </cfRule>
    <cfRule type="expression" dxfId="19" priority="7">
      <formula>$H9="SumaNS"</formula>
    </cfRule>
  </conditionalFormatting>
  <conditionalFormatting sqref="A9:G14">
    <cfRule type="expression" dxfId="18" priority="1">
      <formula>$H9&lt;&gt;""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42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120" hidden="1" customWidth="1" outlineLevel="1"/>
    <col min="2" max="2" width="28.33203125" style="120" hidden="1" customWidth="1" outlineLevel="1"/>
    <col min="3" max="3" width="5.33203125" style="198" bestFit="1" customWidth="1" collapsed="1"/>
    <col min="4" max="4" width="18.77734375" style="202" customWidth="1"/>
    <col min="5" max="5" width="9" style="198" bestFit="1" customWidth="1"/>
    <col min="6" max="6" width="18.77734375" style="202" customWidth="1"/>
    <col min="7" max="7" width="5" style="198" customWidth="1"/>
    <col min="8" max="8" width="12.44140625" style="198" hidden="1" customWidth="1" outlineLevel="1"/>
    <col min="9" max="9" width="8.5546875" style="198" hidden="1" customWidth="1" outlineLevel="1"/>
    <col min="10" max="10" width="25.77734375" style="198" customWidth="1" collapsed="1"/>
    <col min="11" max="11" width="8.77734375" style="198" customWidth="1"/>
    <col min="12" max="13" width="7.77734375" style="196" customWidth="1"/>
    <col min="14" max="14" width="11.109375" style="196" customWidth="1"/>
    <col min="15" max="16384" width="8.88671875" style="120"/>
  </cols>
  <sheetData>
    <row r="1" spans="1:14" ht="18.600000000000001" customHeight="1" thickBot="1" x14ac:dyDescent="0.4">
      <c r="A1" s="320" t="s">
        <v>144</v>
      </c>
      <c r="B1" s="291"/>
      <c r="C1" s="291"/>
      <c r="D1" s="291"/>
      <c r="E1" s="291"/>
      <c r="F1" s="291"/>
      <c r="G1" s="291"/>
      <c r="H1" s="291"/>
      <c r="I1" s="291"/>
      <c r="J1" s="291"/>
      <c r="K1" s="291"/>
      <c r="L1" s="291"/>
      <c r="M1" s="291"/>
      <c r="N1" s="291"/>
    </row>
    <row r="2" spans="1:14" ht="14.4" customHeight="1" thickBot="1" x14ac:dyDescent="0.35">
      <c r="A2" s="217" t="s">
        <v>223</v>
      </c>
      <c r="B2" s="62"/>
      <c r="C2" s="200"/>
      <c r="D2" s="200"/>
      <c r="E2" s="200"/>
      <c r="F2" s="200"/>
      <c r="G2" s="200"/>
      <c r="H2" s="200"/>
      <c r="I2" s="200"/>
      <c r="J2" s="200"/>
      <c r="K2" s="200"/>
      <c r="L2" s="201"/>
      <c r="M2" s="201"/>
      <c r="N2" s="201"/>
    </row>
    <row r="3" spans="1:14" ht="14.4" customHeight="1" thickBot="1" x14ac:dyDescent="0.35">
      <c r="A3" s="62"/>
      <c r="B3" s="62"/>
      <c r="C3" s="316"/>
      <c r="D3" s="317"/>
      <c r="E3" s="317"/>
      <c r="F3" s="317"/>
      <c r="G3" s="317"/>
      <c r="H3" s="317"/>
      <c r="I3" s="317"/>
      <c r="J3" s="318" t="s">
        <v>113</v>
      </c>
      <c r="K3" s="319"/>
      <c r="L3" s="89">
        <f>IF(M3&lt;&gt;0,N3/M3,0)</f>
        <v>102.07703286488076</v>
      </c>
      <c r="M3" s="89">
        <f>SUBTOTAL(9,M5:M1048576)</f>
        <v>172</v>
      </c>
      <c r="N3" s="90">
        <f>SUBTOTAL(9,N5:N1048576)</f>
        <v>17557.249652759492</v>
      </c>
    </row>
    <row r="4" spans="1:14" s="197" customFormat="1" ht="14.4" customHeight="1" thickBot="1" x14ac:dyDescent="0.35">
      <c r="A4" s="390" t="s">
        <v>7</v>
      </c>
      <c r="B4" s="391" t="s">
        <v>8</v>
      </c>
      <c r="C4" s="391" t="s">
        <v>0</v>
      </c>
      <c r="D4" s="391" t="s">
        <v>9</v>
      </c>
      <c r="E4" s="391" t="s">
        <v>10</v>
      </c>
      <c r="F4" s="391" t="s">
        <v>2</v>
      </c>
      <c r="G4" s="391" t="s">
        <v>11</v>
      </c>
      <c r="H4" s="391" t="s">
        <v>12</v>
      </c>
      <c r="I4" s="391" t="s">
        <v>13</v>
      </c>
      <c r="J4" s="392" t="s">
        <v>14</v>
      </c>
      <c r="K4" s="392" t="s">
        <v>15</v>
      </c>
      <c r="L4" s="393" t="s">
        <v>127</v>
      </c>
      <c r="M4" s="393" t="s">
        <v>16</v>
      </c>
      <c r="N4" s="394" t="s">
        <v>138</v>
      </c>
    </row>
    <row r="5" spans="1:14" ht="14.4" customHeight="1" x14ac:dyDescent="0.3">
      <c r="A5" s="397" t="s">
        <v>398</v>
      </c>
      <c r="B5" s="398" t="s">
        <v>400</v>
      </c>
      <c r="C5" s="399" t="s">
        <v>406</v>
      </c>
      <c r="D5" s="400" t="s">
        <v>407</v>
      </c>
      <c r="E5" s="399" t="s">
        <v>401</v>
      </c>
      <c r="F5" s="400" t="s">
        <v>402</v>
      </c>
      <c r="G5" s="399" t="s">
        <v>410</v>
      </c>
      <c r="H5" s="399" t="s">
        <v>411</v>
      </c>
      <c r="I5" s="399" t="s">
        <v>412</v>
      </c>
      <c r="J5" s="399" t="s">
        <v>413</v>
      </c>
      <c r="K5" s="399" t="s">
        <v>414</v>
      </c>
      <c r="L5" s="401">
        <v>84.626666666666623</v>
      </c>
      <c r="M5" s="401">
        <v>3</v>
      </c>
      <c r="N5" s="402">
        <v>253.87999999999988</v>
      </c>
    </row>
    <row r="6" spans="1:14" ht="14.4" customHeight="1" x14ac:dyDescent="0.3">
      <c r="A6" s="403" t="s">
        <v>398</v>
      </c>
      <c r="B6" s="404" t="s">
        <v>400</v>
      </c>
      <c r="C6" s="405" t="s">
        <v>406</v>
      </c>
      <c r="D6" s="406" t="s">
        <v>407</v>
      </c>
      <c r="E6" s="405" t="s">
        <v>401</v>
      </c>
      <c r="F6" s="406" t="s">
        <v>402</v>
      </c>
      <c r="G6" s="405" t="s">
        <v>410</v>
      </c>
      <c r="H6" s="405" t="s">
        <v>415</v>
      </c>
      <c r="I6" s="405" t="s">
        <v>416</v>
      </c>
      <c r="J6" s="405" t="s">
        <v>417</v>
      </c>
      <c r="K6" s="405" t="s">
        <v>418</v>
      </c>
      <c r="L6" s="407">
        <v>95.079999999999984</v>
      </c>
      <c r="M6" s="407">
        <v>2</v>
      </c>
      <c r="N6" s="408">
        <v>190.15999999999997</v>
      </c>
    </row>
    <row r="7" spans="1:14" ht="14.4" customHeight="1" x14ac:dyDescent="0.3">
      <c r="A7" s="403" t="s">
        <v>398</v>
      </c>
      <c r="B7" s="404" t="s">
        <v>400</v>
      </c>
      <c r="C7" s="405" t="s">
        <v>406</v>
      </c>
      <c r="D7" s="406" t="s">
        <v>407</v>
      </c>
      <c r="E7" s="405" t="s">
        <v>401</v>
      </c>
      <c r="F7" s="406" t="s">
        <v>402</v>
      </c>
      <c r="G7" s="405" t="s">
        <v>410</v>
      </c>
      <c r="H7" s="405" t="s">
        <v>419</v>
      </c>
      <c r="I7" s="405" t="s">
        <v>420</v>
      </c>
      <c r="J7" s="405" t="s">
        <v>421</v>
      </c>
      <c r="K7" s="405" t="s">
        <v>422</v>
      </c>
      <c r="L7" s="407">
        <v>61.9</v>
      </c>
      <c r="M7" s="407">
        <v>1</v>
      </c>
      <c r="N7" s="408">
        <v>61.9</v>
      </c>
    </row>
    <row r="8" spans="1:14" ht="14.4" customHeight="1" x14ac:dyDescent="0.3">
      <c r="A8" s="403" t="s">
        <v>398</v>
      </c>
      <c r="B8" s="404" t="s">
        <v>400</v>
      </c>
      <c r="C8" s="405" t="s">
        <v>406</v>
      </c>
      <c r="D8" s="406" t="s">
        <v>407</v>
      </c>
      <c r="E8" s="405" t="s">
        <v>401</v>
      </c>
      <c r="F8" s="406" t="s">
        <v>402</v>
      </c>
      <c r="G8" s="405" t="s">
        <v>410</v>
      </c>
      <c r="H8" s="405" t="s">
        <v>423</v>
      </c>
      <c r="I8" s="405" t="s">
        <v>424</v>
      </c>
      <c r="J8" s="405" t="s">
        <v>425</v>
      </c>
      <c r="K8" s="405" t="s">
        <v>426</v>
      </c>
      <c r="L8" s="407">
        <v>38.969932485811121</v>
      </c>
      <c r="M8" s="407">
        <v>1</v>
      </c>
      <c r="N8" s="408">
        <v>38.969932485811121</v>
      </c>
    </row>
    <row r="9" spans="1:14" ht="14.4" customHeight="1" x14ac:dyDescent="0.3">
      <c r="A9" s="403" t="s">
        <v>398</v>
      </c>
      <c r="B9" s="404" t="s">
        <v>400</v>
      </c>
      <c r="C9" s="405" t="s">
        <v>406</v>
      </c>
      <c r="D9" s="406" t="s">
        <v>407</v>
      </c>
      <c r="E9" s="405" t="s">
        <v>401</v>
      </c>
      <c r="F9" s="406" t="s">
        <v>402</v>
      </c>
      <c r="G9" s="405" t="s">
        <v>410</v>
      </c>
      <c r="H9" s="405" t="s">
        <v>427</v>
      </c>
      <c r="I9" s="405" t="s">
        <v>428</v>
      </c>
      <c r="J9" s="405" t="s">
        <v>429</v>
      </c>
      <c r="K9" s="405" t="s">
        <v>430</v>
      </c>
      <c r="L9" s="407">
        <v>122.74973762721623</v>
      </c>
      <c r="M9" s="407">
        <v>1</v>
      </c>
      <c r="N9" s="408">
        <v>122.74973762721623</v>
      </c>
    </row>
    <row r="10" spans="1:14" ht="14.4" customHeight="1" x14ac:dyDescent="0.3">
      <c r="A10" s="403" t="s">
        <v>398</v>
      </c>
      <c r="B10" s="404" t="s">
        <v>400</v>
      </c>
      <c r="C10" s="405" t="s">
        <v>406</v>
      </c>
      <c r="D10" s="406" t="s">
        <v>407</v>
      </c>
      <c r="E10" s="405" t="s">
        <v>401</v>
      </c>
      <c r="F10" s="406" t="s">
        <v>402</v>
      </c>
      <c r="G10" s="405" t="s">
        <v>410</v>
      </c>
      <c r="H10" s="405" t="s">
        <v>431</v>
      </c>
      <c r="I10" s="405" t="s">
        <v>432</v>
      </c>
      <c r="J10" s="405" t="s">
        <v>433</v>
      </c>
      <c r="K10" s="405" t="s">
        <v>434</v>
      </c>
      <c r="L10" s="407">
        <v>140.28</v>
      </c>
      <c r="M10" s="407">
        <v>7</v>
      </c>
      <c r="N10" s="408">
        <v>981.96</v>
      </c>
    </row>
    <row r="11" spans="1:14" ht="14.4" customHeight="1" x14ac:dyDescent="0.3">
      <c r="A11" s="403" t="s">
        <v>398</v>
      </c>
      <c r="B11" s="404" t="s">
        <v>400</v>
      </c>
      <c r="C11" s="405" t="s">
        <v>406</v>
      </c>
      <c r="D11" s="406" t="s">
        <v>407</v>
      </c>
      <c r="E11" s="405" t="s">
        <v>401</v>
      </c>
      <c r="F11" s="406" t="s">
        <v>402</v>
      </c>
      <c r="G11" s="405" t="s">
        <v>410</v>
      </c>
      <c r="H11" s="405" t="s">
        <v>435</v>
      </c>
      <c r="I11" s="405" t="s">
        <v>170</v>
      </c>
      <c r="J11" s="405" t="s">
        <v>436</v>
      </c>
      <c r="K11" s="405"/>
      <c r="L11" s="407">
        <v>48.099807737890401</v>
      </c>
      <c r="M11" s="407">
        <v>1</v>
      </c>
      <c r="N11" s="408">
        <v>48.099807737890401</v>
      </c>
    </row>
    <row r="12" spans="1:14" ht="14.4" customHeight="1" x14ac:dyDescent="0.3">
      <c r="A12" s="403" t="s">
        <v>398</v>
      </c>
      <c r="B12" s="404" t="s">
        <v>400</v>
      </c>
      <c r="C12" s="405" t="s">
        <v>406</v>
      </c>
      <c r="D12" s="406" t="s">
        <v>407</v>
      </c>
      <c r="E12" s="405" t="s">
        <v>401</v>
      </c>
      <c r="F12" s="406" t="s">
        <v>402</v>
      </c>
      <c r="G12" s="405" t="s">
        <v>410</v>
      </c>
      <c r="H12" s="405" t="s">
        <v>437</v>
      </c>
      <c r="I12" s="405" t="s">
        <v>438</v>
      </c>
      <c r="J12" s="405" t="s">
        <v>439</v>
      </c>
      <c r="K12" s="405" t="s">
        <v>440</v>
      </c>
      <c r="L12" s="407">
        <v>29.52</v>
      </c>
      <c r="M12" s="407">
        <v>1</v>
      </c>
      <c r="N12" s="408">
        <v>29.52</v>
      </c>
    </row>
    <row r="13" spans="1:14" ht="14.4" customHeight="1" x14ac:dyDescent="0.3">
      <c r="A13" s="403" t="s">
        <v>398</v>
      </c>
      <c r="B13" s="404" t="s">
        <v>400</v>
      </c>
      <c r="C13" s="405" t="s">
        <v>406</v>
      </c>
      <c r="D13" s="406" t="s">
        <v>407</v>
      </c>
      <c r="E13" s="405" t="s">
        <v>401</v>
      </c>
      <c r="F13" s="406" t="s">
        <v>402</v>
      </c>
      <c r="G13" s="405" t="s">
        <v>410</v>
      </c>
      <c r="H13" s="405" t="s">
        <v>441</v>
      </c>
      <c r="I13" s="405" t="s">
        <v>442</v>
      </c>
      <c r="J13" s="405" t="s">
        <v>443</v>
      </c>
      <c r="K13" s="405" t="s">
        <v>444</v>
      </c>
      <c r="L13" s="407">
        <v>69.66</v>
      </c>
      <c r="M13" s="407">
        <v>2</v>
      </c>
      <c r="N13" s="408">
        <v>139.32</v>
      </c>
    </row>
    <row r="14" spans="1:14" ht="14.4" customHeight="1" x14ac:dyDescent="0.3">
      <c r="A14" s="403" t="s">
        <v>398</v>
      </c>
      <c r="B14" s="404" t="s">
        <v>400</v>
      </c>
      <c r="C14" s="405" t="s">
        <v>406</v>
      </c>
      <c r="D14" s="406" t="s">
        <v>407</v>
      </c>
      <c r="E14" s="405" t="s">
        <v>401</v>
      </c>
      <c r="F14" s="406" t="s">
        <v>402</v>
      </c>
      <c r="G14" s="405" t="s">
        <v>410</v>
      </c>
      <c r="H14" s="405" t="s">
        <v>445</v>
      </c>
      <c r="I14" s="405" t="s">
        <v>446</v>
      </c>
      <c r="J14" s="405" t="s">
        <v>447</v>
      </c>
      <c r="K14" s="405" t="s">
        <v>448</v>
      </c>
      <c r="L14" s="407">
        <v>177.7995247797472</v>
      </c>
      <c r="M14" s="407">
        <v>2</v>
      </c>
      <c r="N14" s="408">
        <v>355.5990495594944</v>
      </c>
    </row>
    <row r="15" spans="1:14" ht="14.4" customHeight="1" x14ac:dyDescent="0.3">
      <c r="A15" s="403" t="s">
        <v>398</v>
      </c>
      <c r="B15" s="404" t="s">
        <v>400</v>
      </c>
      <c r="C15" s="405" t="s">
        <v>406</v>
      </c>
      <c r="D15" s="406" t="s">
        <v>407</v>
      </c>
      <c r="E15" s="405" t="s">
        <v>401</v>
      </c>
      <c r="F15" s="406" t="s">
        <v>402</v>
      </c>
      <c r="G15" s="405" t="s">
        <v>410</v>
      </c>
      <c r="H15" s="405" t="s">
        <v>449</v>
      </c>
      <c r="I15" s="405" t="s">
        <v>450</v>
      </c>
      <c r="J15" s="405" t="s">
        <v>451</v>
      </c>
      <c r="K15" s="405" t="s">
        <v>452</v>
      </c>
      <c r="L15" s="407">
        <v>107.60272727272729</v>
      </c>
      <c r="M15" s="407">
        <v>55</v>
      </c>
      <c r="N15" s="408">
        <v>5918.1500000000015</v>
      </c>
    </row>
    <row r="16" spans="1:14" ht="14.4" customHeight="1" x14ac:dyDescent="0.3">
      <c r="A16" s="403" t="s">
        <v>398</v>
      </c>
      <c r="B16" s="404" t="s">
        <v>400</v>
      </c>
      <c r="C16" s="405" t="s">
        <v>406</v>
      </c>
      <c r="D16" s="406" t="s">
        <v>407</v>
      </c>
      <c r="E16" s="405" t="s">
        <v>401</v>
      </c>
      <c r="F16" s="406" t="s">
        <v>402</v>
      </c>
      <c r="G16" s="405" t="s">
        <v>410</v>
      </c>
      <c r="H16" s="405" t="s">
        <v>453</v>
      </c>
      <c r="I16" s="405" t="s">
        <v>170</v>
      </c>
      <c r="J16" s="405" t="s">
        <v>454</v>
      </c>
      <c r="K16" s="405"/>
      <c r="L16" s="407">
        <v>38.72999999999999</v>
      </c>
      <c r="M16" s="407">
        <v>2</v>
      </c>
      <c r="N16" s="408">
        <v>77.45999999999998</v>
      </c>
    </row>
    <row r="17" spans="1:14" ht="14.4" customHeight="1" x14ac:dyDescent="0.3">
      <c r="A17" s="403" t="s">
        <v>398</v>
      </c>
      <c r="B17" s="404" t="s">
        <v>400</v>
      </c>
      <c r="C17" s="405" t="s">
        <v>406</v>
      </c>
      <c r="D17" s="406" t="s">
        <v>407</v>
      </c>
      <c r="E17" s="405" t="s">
        <v>401</v>
      </c>
      <c r="F17" s="406" t="s">
        <v>402</v>
      </c>
      <c r="G17" s="405" t="s">
        <v>410</v>
      </c>
      <c r="H17" s="405" t="s">
        <v>455</v>
      </c>
      <c r="I17" s="405" t="s">
        <v>170</v>
      </c>
      <c r="J17" s="405" t="s">
        <v>456</v>
      </c>
      <c r="K17" s="405"/>
      <c r="L17" s="407">
        <v>178.31555578401961</v>
      </c>
      <c r="M17" s="407">
        <v>4</v>
      </c>
      <c r="N17" s="408">
        <v>713.26222313607843</v>
      </c>
    </row>
    <row r="18" spans="1:14" ht="14.4" customHeight="1" x14ac:dyDescent="0.3">
      <c r="A18" s="403" t="s">
        <v>398</v>
      </c>
      <c r="B18" s="404" t="s">
        <v>400</v>
      </c>
      <c r="C18" s="405" t="s">
        <v>406</v>
      </c>
      <c r="D18" s="406" t="s">
        <v>407</v>
      </c>
      <c r="E18" s="405" t="s">
        <v>401</v>
      </c>
      <c r="F18" s="406" t="s">
        <v>402</v>
      </c>
      <c r="G18" s="405" t="s">
        <v>410</v>
      </c>
      <c r="H18" s="405" t="s">
        <v>457</v>
      </c>
      <c r="I18" s="405" t="s">
        <v>458</v>
      </c>
      <c r="J18" s="405" t="s">
        <v>459</v>
      </c>
      <c r="K18" s="405" t="s">
        <v>460</v>
      </c>
      <c r="L18" s="407">
        <v>50.600003183125096</v>
      </c>
      <c r="M18" s="407">
        <v>2</v>
      </c>
      <c r="N18" s="408">
        <v>101.20000636625019</v>
      </c>
    </row>
    <row r="19" spans="1:14" ht="14.4" customHeight="1" x14ac:dyDescent="0.3">
      <c r="A19" s="403" t="s">
        <v>398</v>
      </c>
      <c r="B19" s="404" t="s">
        <v>400</v>
      </c>
      <c r="C19" s="405" t="s">
        <v>406</v>
      </c>
      <c r="D19" s="406" t="s">
        <v>407</v>
      </c>
      <c r="E19" s="405" t="s">
        <v>401</v>
      </c>
      <c r="F19" s="406" t="s">
        <v>402</v>
      </c>
      <c r="G19" s="405" t="s">
        <v>410</v>
      </c>
      <c r="H19" s="405" t="s">
        <v>461</v>
      </c>
      <c r="I19" s="405" t="s">
        <v>170</v>
      </c>
      <c r="J19" s="405" t="s">
        <v>462</v>
      </c>
      <c r="K19" s="405" t="s">
        <v>463</v>
      </c>
      <c r="L19" s="407">
        <v>23.7</v>
      </c>
      <c r="M19" s="407">
        <v>12</v>
      </c>
      <c r="N19" s="408">
        <v>284.39999999999998</v>
      </c>
    </row>
    <row r="20" spans="1:14" ht="14.4" customHeight="1" x14ac:dyDescent="0.3">
      <c r="A20" s="403" t="s">
        <v>398</v>
      </c>
      <c r="B20" s="404" t="s">
        <v>400</v>
      </c>
      <c r="C20" s="405" t="s">
        <v>406</v>
      </c>
      <c r="D20" s="406" t="s">
        <v>407</v>
      </c>
      <c r="E20" s="405" t="s">
        <v>401</v>
      </c>
      <c r="F20" s="406" t="s">
        <v>402</v>
      </c>
      <c r="G20" s="405" t="s">
        <v>410</v>
      </c>
      <c r="H20" s="405" t="s">
        <v>464</v>
      </c>
      <c r="I20" s="405" t="s">
        <v>170</v>
      </c>
      <c r="J20" s="405" t="s">
        <v>465</v>
      </c>
      <c r="K20" s="405" t="s">
        <v>463</v>
      </c>
      <c r="L20" s="407">
        <v>24.037194261613511</v>
      </c>
      <c r="M20" s="407">
        <v>6</v>
      </c>
      <c r="N20" s="408">
        <v>144.22316556968107</v>
      </c>
    </row>
    <row r="21" spans="1:14" ht="14.4" customHeight="1" x14ac:dyDescent="0.3">
      <c r="A21" s="403" t="s">
        <v>398</v>
      </c>
      <c r="B21" s="404" t="s">
        <v>400</v>
      </c>
      <c r="C21" s="405" t="s">
        <v>406</v>
      </c>
      <c r="D21" s="406" t="s">
        <v>407</v>
      </c>
      <c r="E21" s="405" t="s">
        <v>401</v>
      </c>
      <c r="F21" s="406" t="s">
        <v>402</v>
      </c>
      <c r="G21" s="405" t="s">
        <v>410</v>
      </c>
      <c r="H21" s="405" t="s">
        <v>466</v>
      </c>
      <c r="I21" s="405" t="s">
        <v>170</v>
      </c>
      <c r="J21" s="405" t="s">
        <v>467</v>
      </c>
      <c r="K21" s="405"/>
      <c r="L21" s="407">
        <v>261.53860000000003</v>
      </c>
      <c r="M21" s="407">
        <v>1</v>
      </c>
      <c r="N21" s="408">
        <v>261.53860000000003</v>
      </c>
    </row>
    <row r="22" spans="1:14" ht="14.4" customHeight="1" x14ac:dyDescent="0.3">
      <c r="A22" s="403" t="s">
        <v>398</v>
      </c>
      <c r="B22" s="404" t="s">
        <v>400</v>
      </c>
      <c r="C22" s="405" t="s">
        <v>406</v>
      </c>
      <c r="D22" s="406" t="s">
        <v>407</v>
      </c>
      <c r="E22" s="405" t="s">
        <v>401</v>
      </c>
      <c r="F22" s="406" t="s">
        <v>402</v>
      </c>
      <c r="G22" s="405" t="s">
        <v>410</v>
      </c>
      <c r="H22" s="405" t="s">
        <v>468</v>
      </c>
      <c r="I22" s="405" t="s">
        <v>170</v>
      </c>
      <c r="J22" s="405" t="s">
        <v>469</v>
      </c>
      <c r="K22" s="405"/>
      <c r="L22" s="407">
        <v>37.637686304267362</v>
      </c>
      <c r="M22" s="407">
        <v>3</v>
      </c>
      <c r="N22" s="408">
        <v>112.91305891280209</v>
      </c>
    </row>
    <row r="23" spans="1:14" ht="14.4" customHeight="1" x14ac:dyDescent="0.3">
      <c r="A23" s="403" t="s">
        <v>398</v>
      </c>
      <c r="B23" s="404" t="s">
        <v>400</v>
      </c>
      <c r="C23" s="405" t="s">
        <v>406</v>
      </c>
      <c r="D23" s="406" t="s">
        <v>407</v>
      </c>
      <c r="E23" s="405" t="s">
        <v>401</v>
      </c>
      <c r="F23" s="406" t="s">
        <v>402</v>
      </c>
      <c r="G23" s="405" t="s">
        <v>410</v>
      </c>
      <c r="H23" s="405" t="s">
        <v>470</v>
      </c>
      <c r="I23" s="405" t="s">
        <v>170</v>
      </c>
      <c r="J23" s="405" t="s">
        <v>471</v>
      </c>
      <c r="K23" s="405"/>
      <c r="L23" s="407">
        <v>86.931396431817916</v>
      </c>
      <c r="M23" s="407">
        <v>1</v>
      </c>
      <c r="N23" s="408">
        <v>86.931396431817916</v>
      </c>
    </row>
    <row r="24" spans="1:14" ht="14.4" customHeight="1" x14ac:dyDescent="0.3">
      <c r="A24" s="403" t="s">
        <v>398</v>
      </c>
      <c r="B24" s="404" t="s">
        <v>400</v>
      </c>
      <c r="C24" s="405" t="s">
        <v>406</v>
      </c>
      <c r="D24" s="406" t="s">
        <v>407</v>
      </c>
      <c r="E24" s="405" t="s">
        <v>401</v>
      </c>
      <c r="F24" s="406" t="s">
        <v>402</v>
      </c>
      <c r="G24" s="405" t="s">
        <v>410</v>
      </c>
      <c r="H24" s="405" t="s">
        <v>472</v>
      </c>
      <c r="I24" s="405" t="s">
        <v>170</v>
      </c>
      <c r="J24" s="405" t="s">
        <v>473</v>
      </c>
      <c r="K24" s="405"/>
      <c r="L24" s="407">
        <v>259.93540000000002</v>
      </c>
      <c r="M24" s="407">
        <v>1</v>
      </c>
      <c r="N24" s="408">
        <v>259.93540000000002</v>
      </c>
    </row>
    <row r="25" spans="1:14" ht="14.4" customHeight="1" x14ac:dyDescent="0.3">
      <c r="A25" s="403" t="s">
        <v>398</v>
      </c>
      <c r="B25" s="404" t="s">
        <v>400</v>
      </c>
      <c r="C25" s="405" t="s">
        <v>406</v>
      </c>
      <c r="D25" s="406" t="s">
        <v>407</v>
      </c>
      <c r="E25" s="405" t="s">
        <v>401</v>
      </c>
      <c r="F25" s="406" t="s">
        <v>402</v>
      </c>
      <c r="G25" s="405" t="s">
        <v>410</v>
      </c>
      <c r="H25" s="405" t="s">
        <v>474</v>
      </c>
      <c r="I25" s="405" t="s">
        <v>170</v>
      </c>
      <c r="J25" s="405" t="s">
        <v>475</v>
      </c>
      <c r="K25" s="405"/>
      <c r="L25" s="407">
        <v>73.718086059034917</v>
      </c>
      <c r="M25" s="407">
        <v>1</v>
      </c>
      <c r="N25" s="408">
        <v>73.718086059034917</v>
      </c>
    </row>
    <row r="26" spans="1:14" ht="14.4" customHeight="1" x14ac:dyDescent="0.3">
      <c r="A26" s="403" t="s">
        <v>398</v>
      </c>
      <c r="B26" s="404" t="s">
        <v>400</v>
      </c>
      <c r="C26" s="405" t="s">
        <v>406</v>
      </c>
      <c r="D26" s="406" t="s">
        <v>407</v>
      </c>
      <c r="E26" s="405" t="s">
        <v>401</v>
      </c>
      <c r="F26" s="406" t="s">
        <v>402</v>
      </c>
      <c r="G26" s="405" t="s">
        <v>410</v>
      </c>
      <c r="H26" s="405" t="s">
        <v>476</v>
      </c>
      <c r="I26" s="405" t="s">
        <v>170</v>
      </c>
      <c r="J26" s="405" t="s">
        <v>477</v>
      </c>
      <c r="K26" s="405" t="s">
        <v>478</v>
      </c>
      <c r="L26" s="407">
        <v>92.688638437254724</v>
      </c>
      <c r="M26" s="407">
        <v>12</v>
      </c>
      <c r="N26" s="408">
        <v>1112.2636612470567</v>
      </c>
    </row>
    <row r="27" spans="1:14" ht="14.4" customHeight="1" x14ac:dyDescent="0.3">
      <c r="A27" s="403" t="s">
        <v>398</v>
      </c>
      <c r="B27" s="404" t="s">
        <v>400</v>
      </c>
      <c r="C27" s="405" t="s">
        <v>406</v>
      </c>
      <c r="D27" s="406" t="s">
        <v>407</v>
      </c>
      <c r="E27" s="405" t="s">
        <v>401</v>
      </c>
      <c r="F27" s="406" t="s">
        <v>402</v>
      </c>
      <c r="G27" s="405" t="s">
        <v>410</v>
      </c>
      <c r="H27" s="405" t="s">
        <v>479</v>
      </c>
      <c r="I27" s="405" t="s">
        <v>480</v>
      </c>
      <c r="J27" s="405" t="s">
        <v>481</v>
      </c>
      <c r="K27" s="405" t="s">
        <v>482</v>
      </c>
      <c r="L27" s="407">
        <v>421.95000000000005</v>
      </c>
      <c r="M27" s="407">
        <v>1</v>
      </c>
      <c r="N27" s="408">
        <v>421.95000000000005</v>
      </c>
    </row>
    <row r="28" spans="1:14" ht="14.4" customHeight="1" x14ac:dyDescent="0.3">
      <c r="A28" s="403" t="s">
        <v>398</v>
      </c>
      <c r="B28" s="404" t="s">
        <v>400</v>
      </c>
      <c r="C28" s="405" t="s">
        <v>406</v>
      </c>
      <c r="D28" s="406" t="s">
        <v>407</v>
      </c>
      <c r="E28" s="405" t="s">
        <v>401</v>
      </c>
      <c r="F28" s="406" t="s">
        <v>402</v>
      </c>
      <c r="G28" s="405" t="s">
        <v>410</v>
      </c>
      <c r="H28" s="405" t="s">
        <v>483</v>
      </c>
      <c r="I28" s="405" t="s">
        <v>484</v>
      </c>
      <c r="J28" s="405" t="s">
        <v>485</v>
      </c>
      <c r="K28" s="405" t="s">
        <v>486</v>
      </c>
      <c r="L28" s="407">
        <v>201.77932928872301</v>
      </c>
      <c r="M28" s="407">
        <v>1</v>
      </c>
      <c r="N28" s="408">
        <v>201.77932928872301</v>
      </c>
    </row>
    <row r="29" spans="1:14" ht="14.4" customHeight="1" x14ac:dyDescent="0.3">
      <c r="A29" s="403" t="s">
        <v>398</v>
      </c>
      <c r="B29" s="404" t="s">
        <v>400</v>
      </c>
      <c r="C29" s="405" t="s">
        <v>406</v>
      </c>
      <c r="D29" s="406" t="s">
        <v>407</v>
      </c>
      <c r="E29" s="405" t="s">
        <v>401</v>
      </c>
      <c r="F29" s="406" t="s">
        <v>402</v>
      </c>
      <c r="G29" s="405" t="s">
        <v>410</v>
      </c>
      <c r="H29" s="405" t="s">
        <v>487</v>
      </c>
      <c r="I29" s="405" t="s">
        <v>170</v>
      </c>
      <c r="J29" s="405" t="s">
        <v>488</v>
      </c>
      <c r="K29" s="405"/>
      <c r="L29" s="407">
        <v>53.284912228650832</v>
      </c>
      <c r="M29" s="407">
        <v>2</v>
      </c>
      <c r="N29" s="408">
        <v>106.56982445730166</v>
      </c>
    </row>
    <row r="30" spans="1:14" ht="14.4" customHeight="1" x14ac:dyDescent="0.3">
      <c r="A30" s="403" t="s">
        <v>398</v>
      </c>
      <c r="B30" s="404" t="s">
        <v>400</v>
      </c>
      <c r="C30" s="405" t="s">
        <v>406</v>
      </c>
      <c r="D30" s="406" t="s">
        <v>407</v>
      </c>
      <c r="E30" s="405" t="s">
        <v>401</v>
      </c>
      <c r="F30" s="406" t="s">
        <v>402</v>
      </c>
      <c r="G30" s="405" t="s">
        <v>410</v>
      </c>
      <c r="H30" s="405" t="s">
        <v>489</v>
      </c>
      <c r="I30" s="405" t="s">
        <v>170</v>
      </c>
      <c r="J30" s="405" t="s">
        <v>490</v>
      </c>
      <c r="K30" s="405"/>
      <c r="L30" s="407">
        <v>95.015432610962634</v>
      </c>
      <c r="M30" s="407">
        <v>7</v>
      </c>
      <c r="N30" s="408">
        <v>665.10802827673842</v>
      </c>
    </row>
    <row r="31" spans="1:14" ht="14.4" customHeight="1" x14ac:dyDescent="0.3">
      <c r="A31" s="403" t="s">
        <v>398</v>
      </c>
      <c r="B31" s="404" t="s">
        <v>400</v>
      </c>
      <c r="C31" s="405" t="s">
        <v>406</v>
      </c>
      <c r="D31" s="406" t="s">
        <v>407</v>
      </c>
      <c r="E31" s="405" t="s">
        <v>401</v>
      </c>
      <c r="F31" s="406" t="s">
        <v>402</v>
      </c>
      <c r="G31" s="405" t="s">
        <v>410</v>
      </c>
      <c r="H31" s="405" t="s">
        <v>491</v>
      </c>
      <c r="I31" s="405" t="s">
        <v>170</v>
      </c>
      <c r="J31" s="405" t="s">
        <v>492</v>
      </c>
      <c r="K31" s="405"/>
      <c r="L31" s="407">
        <v>124.42508735369864</v>
      </c>
      <c r="M31" s="407">
        <v>1</v>
      </c>
      <c r="N31" s="408">
        <v>124.42508735369864</v>
      </c>
    </row>
    <row r="32" spans="1:14" ht="14.4" customHeight="1" x14ac:dyDescent="0.3">
      <c r="A32" s="403" t="s">
        <v>398</v>
      </c>
      <c r="B32" s="404" t="s">
        <v>400</v>
      </c>
      <c r="C32" s="405" t="s">
        <v>406</v>
      </c>
      <c r="D32" s="406" t="s">
        <v>407</v>
      </c>
      <c r="E32" s="405" t="s">
        <v>401</v>
      </c>
      <c r="F32" s="406" t="s">
        <v>402</v>
      </c>
      <c r="G32" s="405" t="s">
        <v>410</v>
      </c>
      <c r="H32" s="405" t="s">
        <v>493</v>
      </c>
      <c r="I32" s="405" t="s">
        <v>170</v>
      </c>
      <c r="J32" s="405" t="s">
        <v>494</v>
      </c>
      <c r="K32" s="405"/>
      <c r="L32" s="407">
        <v>93.45214498309241</v>
      </c>
      <c r="M32" s="407">
        <v>1</v>
      </c>
      <c r="N32" s="408">
        <v>93.45214498309241</v>
      </c>
    </row>
    <row r="33" spans="1:14" ht="14.4" customHeight="1" x14ac:dyDescent="0.3">
      <c r="A33" s="403" t="s">
        <v>398</v>
      </c>
      <c r="B33" s="404" t="s">
        <v>400</v>
      </c>
      <c r="C33" s="405" t="s">
        <v>406</v>
      </c>
      <c r="D33" s="406" t="s">
        <v>407</v>
      </c>
      <c r="E33" s="405" t="s">
        <v>401</v>
      </c>
      <c r="F33" s="406" t="s">
        <v>402</v>
      </c>
      <c r="G33" s="405" t="s">
        <v>410</v>
      </c>
      <c r="H33" s="405" t="s">
        <v>495</v>
      </c>
      <c r="I33" s="405" t="s">
        <v>170</v>
      </c>
      <c r="J33" s="405" t="s">
        <v>496</v>
      </c>
      <c r="K33" s="405"/>
      <c r="L33" s="407">
        <v>128.43309938436045</v>
      </c>
      <c r="M33" s="407">
        <v>1</v>
      </c>
      <c r="N33" s="408">
        <v>128.43309938436045</v>
      </c>
    </row>
    <row r="34" spans="1:14" ht="14.4" customHeight="1" x14ac:dyDescent="0.3">
      <c r="A34" s="403" t="s">
        <v>398</v>
      </c>
      <c r="B34" s="404" t="s">
        <v>400</v>
      </c>
      <c r="C34" s="405" t="s">
        <v>406</v>
      </c>
      <c r="D34" s="406" t="s">
        <v>407</v>
      </c>
      <c r="E34" s="405" t="s">
        <v>401</v>
      </c>
      <c r="F34" s="406" t="s">
        <v>402</v>
      </c>
      <c r="G34" s="405" t="s">
        <v>410</v>
      </c>
      <c r="H34" s="405" t="s">
        <v>497</v>
      </c>
      <c r="I34" s="405" t="s">
        <v>170</v>
      </c>
      <c r="J34" s="405" t="s">
        <v>498</v>
      </c>
      <c r="K34" s="405"/>
      <c r="L34" s="407">
        <v>52.059131014908687</v>
      </c>
      <c r="M34" s="407">
        <v>2</v>
      </c>
      <c r="N34" s="408">
        <v>104.11826202981737</v>
      </c>
    </row>
    <row r="35" spans="1:14" ht="14.4" customHeight="1" x14ac:dyDescent="0.3">
      <c r="A35" s="403" t="s">
        <v>398</v>
      </c>
      <c r="B35" s="404" t="s">
        <v>400</v>
      </c>
      <c r="C35" s="405" t="s">
        <v>406</v>
      </c>
      <c r="D35" s="406" t="s">
        <v>407</v>
      </c>
      <c r="E35" s="405" t="s">
        <v>401</v>
      </c>
      <c r="F35" s="406" t="s">
        <v>402</v>
      </c>
      <c r="G35" s="405" t="s">
        <v>410</v>
      </c>
      <c r="H35" s="405" t="s">
        <v>499</v>
      </c>
      <c r="I35" s="405" t="s">
        <v>170</v>
      </c>
      <c r="J35" s="405" t="s">
        <v>500</v>
      </c>
      <c r="K35" s="405"/>
      <c r="L35" s="407">
        <v>69.531698950072467</v>
      </c>
      <c r="M35" s="407">
        <v>4</v>
      </c>
      <c r="N35" s="408">
        <v>278.12679580028987</v>
      </c>
    </row>
    <row r="36" spans="1:14" ht="14.4" customHeight="1" x14ac:dyDescent="0.3">
      <c r="A36" s="403" t="s">
        <v>398</v>
      </c>
      <c r="B36" s="404" t="s">
        <v>400</v>
      </c>
      <c r="C36" s="405" t="s">
        <v>406</v>
      </c>
      <c r="D36" s="406" t="s">
        <v>407</v>
      </c>
      <c r="E36" s="405" t="s">
        <v>401</v>
      </c>
      <c r="F36" s="406" t="s">
        <v>402</v>
      </c>
      <c r="G36" s="405" t="s">
        <v>410</v>
      </c>
      <c r="H36" s="405" t="s">
        <v>501</v>
      </c>
      <c r="I36" s="405" t="s">
        <v>170</v>
      </c>
      <c r="J36" s="405" t="s">
        <v>502</v>
      </c>
      <c r="K36" s="405" t="s">
        <v>478</v>
      </c>
      <c r="L36" s="407">
        <v>117.04290043428807</v>
      </c>
      <c r="M36" s="407">
        <v>2</v>
      </c>
      <c r="N36" s="408">
        <v>234.08580086857614</v>
      </c>
    </row>
    <row r="37" spans="1:14" ht="14.4" customHeight="1" x14ac:dyDescent="0.3">
      <c r="A37" s="403" t="s">
        <v>398</v>
      </c>
      <c r="B37" s="404" t="s">
        <v>400</v>
      </c>
      <c r="C37" s="405" t="s">
        <v>406</v>
      </c>
      <c r="D37" s="406" t="s">
        <v>407</v>
      </c>
      <c r="E37" s="405" t="s">
        <v>401</v>
      </c>
      <c r="F37" s="406" t="s">
        <v>402</v>
      </c>
      <c r="G37" s="405" t="s">
        <v>410</v>
      </c>
      <c r="H37" s="405" t="s">
        <v>503</v>
      </c>
      <c r="I37" s="405" t="s">
        <v>170</v>
      </c>
      <c r="J37" s="405" t="s">
        <v>504</v>
      </c>
      <c r="K37" s="405" t="s">
        <v>478</v>
      </c>
      <c r="L37" s="407">
        <v>74.546300000000002</v>
      </c>
      <c r="M37" s="407">
        <v>10</v>
      </c>
      <c r="N37" s="408">
        <v>745.46300000000008</v>
      </c>
    </row>
    <row r="38" spans="1:14" ht="14.4" customHeight="1" x14ac:dyDescent="0.3">
      <c r="A38" s="403" t="s">
        <v>398</v>
      </c>
      <c r="B38" s="404" t="s">
        <v>400</v>
      </c>
      <c r="C38" s="405" t="s">
        <v>406</v>
      </c>
      <c r="D38" s="406" t="s">
        <v>407</v>
      </c>
      <c r="E38" s="405" t="s">
        <v>401</v>
      </c>
      <c r="F38" s="406" t="s">
        <v>402</v>
      </c>
      <c r="G38" s="405" t="s">
        <v>410</v>
      </c>
      <c r="H38" s="405" t="s">
        <v>505</v>
      </c>
      <c r="I38" s="405" t="s">
        <v>170</v>
      </c>
      <c r="J38" s="405" t="s">
        <v>506</v>
      </c>
      <c r="K38" s="405"/>
      <c r="L38" s="407">
        <v>197.60932553155857</v>
      </c>
      <c r="M38" s="407">
        <v>10</v>
      </c>
      <c r="N38" s="408">
        <v>1976.0932553155858</v>
      </c>
    </row>
    <row r="39" spans="1:14" ht="14.4" customHeight="1" x14ac:dyDescent="0.3">
      <c r="A39" s="403" t="s">
        <v>398</v>
      </c>
      <c r="B39" s="404" t="s">
        <v>400</v>
      </c>
      <c r="C39" s="405" t="s">
        <v>406</v>
      </c>
      <c r="D39" s="406" t="s">
        <v>407</v>
      </c>
      <c r="E39" s="405" t="s">
        <v>401</v>
      </c>
      <c r="F39" s="406" t="s">
        <v>402</v>
      </c>
      <c r="G39" s="405" t="s">
        <v>410</v>
      </c>
      <c r="H39" s="405" t="s">
        <v>507</v>
      </c>
      <c r="I39" s="405" t="s">
        <v>170</v>
      </c>
      <c r="J39" s="405" t="s">
        <v>508</v>
      </c>
      <c r="K39" s="405"/>
      <c r="L39" s="407">
        <v>66.019710629451495</v>
      </c>
      <c r="M39" s="407">
        <v>4</v>
      </c>
      <c r="N39" s="408">
        <v>264.07884251780598</v>
      </c>
    </row>
    <row r="40" spans="1:14" ht="14.4" customHeight="1" x14ac:dyDescent="0.3">
      <c r="A40" s="403" t="s">
        <v>398</v>
      </c>
      <c r="B40" s="404" t="s">
        <v>400</v>
      </c>
      <c r="C40" s="405" t="s">
        <v>406</v>
      </c>
      <c r="D40" s="406" t="s">
        <v>407</v>
      </c>
      <c r="E40" s="405" t="s">
        <v>401</v>
      </c>
      <c r="F40" s="406" t="s">
        <v>402</v>
      </c>
      <c r="G40" s="405" t="s">
        <v>410</v>
      </c>
      <c r="H40" s="405" t="s">
        <v>509</v>
      </c>
      <c r="I40" s="405" t="s">
        <v>170</v>
      </c>
      <c r="J40" s="405" t="s">
        <v>510</v>
      </c>
      <c r="K40" s="405"/>
      <c r="L40" s="407">
        <v>108.91</v>
      </c>
      <c r="M40" s="407">
        <v>2</v>
      </c>
      <c r="N40" s="408">
        <v>217.82</v>
      </c>
    </row>
    <row r="41" spans="1:14" ht="14.4" customHeight="1" x14ac:dyDescent="0.3">
      <c r="A41" s="403" t="s">
        <v>398</v>
      </c>
      <c r="B41" s="404" t="s">
        <v>400</v>
      </c>
      <c r="C41" s="405" t="s">
        <v>406</v>
      </c>
      <c r="D41" s="406" t="s">
        <v>407</v>
      </c>
      <c r="E41" s="405" t="s">
        <v>401</v>
      </c>
      <c r="F41" s="406" t="s">
        <v>402</v>
      </c>
      <c r="G41" s="405" t="s">
        <v>410</v>
      </c>
      <c r="H41" s="405" t="s">
        <v>511</v>
      </c>
      <c r="I41" s="405" t="s">
        <v>170</v>
      </c>
      <c r="J41" s="405" t="s">
        <v>512</v>
      </c>
      <c r="K41" s="405"/>
      <c r="L41" s="407">
        <v>228.82</v>
      </c>
      <c r="M41" s="407">
        <v>2</v>
      </c>
      <c r="N41" s="408">
        <v>457.64</v>
      </c>
    </row>
    <row r="42" spans="1:14" ht="14.4" customHeight="1" thickBot="1" x14ac:dyDescent="0.35">
      <c r="A42" s="409" t="s">
        <v>398</v>
      </c>
      <c r="B42" s="410" t="s">
        <v>400</v>
      </c>
      <c r="C42" s="411" t="s">
        <v>406</v>
      </c>
      <c r="D42" s="412" t="s">
        <v>407</v>
      </c>
      <c r="E42" s="411" t="s">
        <v>403</v>
      </c>
      <c r="F42" s="412" t="s">
        <v>404</v>
      </c>
      <c r="G42" s="411" t="s">
        <v>513</v>
      </c>
      <c r="H42" s="411" t="s">
        <v>514</v>
      </c>
      <c r="I42" s="411" t="s">
        <v>515</v>
      </c>
      <c r="J42" s="411" t="s">
        <v>516</v>
      </c>
      <c r="K42" s="411" t="s">
        <v>517</v>
      </c>
      <c r="L42" s="413">
        <v>169.95205735037158</v>
      </c>
      <c r="M42" s="413">
        <v>1</v>
      </c>
      <c r="N42" s="414">
        <v>169.95205735037158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0" tint="-0.249977111117893"/>
    <pageSetUpPr fitToPage="1"/>
  </sheetPr>
  <dimension ref="A1:F9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RowHeight="14.4" customHeight="1" x14ac:dyDescent="0.3"/>
  <cols>
    <col min="1" max="1" width="46.6640625" style="120" customWidth="1"/>
    <col min="2" max="2" width="10" style="196" customWidth="1"/>
    <col min="3" max="3" width="5.5546875" style="199" customWidth="1"/>
    <col min="4" max="4" width="10" style="196" customWidth="1"/>
    <col min="5" max="5" width="5.5546875" style="199" customWidth="1"/>
    <col min="6" max="6" width="10" style="196" customWidth="1"/>
    <col min="7" max="16384" width="8.88671875" style="120"/>
  </cols>
  <sheetData>
    <row r="1" spans="1:6" ht="37.200000000000003" customHeight="1" thickBot="1" x14ac:dyDescent="0.4">
      <c r="A1" s="321" t="s">
        <v>146</v>
      </c>
      <c r="B1" s="322"/>
      <c r="C1" s="322"/>
      <c r="D1" s="322"/>
      <c r="E1" s="322"/>
      <c r="F1" s="322"/>
    </row>
    <row r="2" spans="1:6" ht="14.4" customHeight="1" thickBot="1" x14ac:dyDescent="0.35">
      <c r="A2" s="217" t="s">
        <v>223</v>
      </c>
      <c r="B2" s="63"/>
      <c r="C2" s="64"/>
      <c r="D2" s="65"/>
      <c r="E2" s="64"/>
      <c r="F2" s="65"/>
    </row>
    <row r="3" spans="1:6" ht="14.4" customHeight="1" thickBot="1" x14ac:dyDescent="0.35">
      <c r="A3" s="91"/>
      <c r="B3" s="323" t="s">
        <v>115</v>
      </c>
      <c r="C3" s="324"/>
      <c r="D3" s="325" t="s">
        <v>114</v>
      </c>
      <c r="E3" s="324"/>
      <c r="F3" s="72" t="s">
        <v>6</v>
      </c>
    </row>
    <row r="4" spans="1:6" ht="14.4" customHeight="1" thickBot="1" x14ac:dyDescent="0.35">
      <c r="A4" s="415" t="s">
        <v>128</v>
      </c>
      <c r="B4" s="416" t="s">
        <v>17</v>
      </c>
      <c r="C4" s="417" t="s">
        <v>5</v>
      </c>
      <c r="D4" s="416" t="s">
        <v>17</v>
      </c>
      <c r="E4" s="417" t="s">
        <v>5</v>
      </c>
      <c r="F4" s="418" t="s">
        <v>17</v>
      </c>
    </row>
    <row r="5" spans="1:6" ht="14.4" customHeight="1" thickBot="1" x14ac:dyDescent="0.35">
      <c r="A5" s="430" t="s">
        <v>518</v>
      </c>
      <c r="B5" s="395"/>
      <c r="C5" s="419">
        <v>0</v>
      </c>
      <c r="D5" s="395">
        <v>169.95205735037158</v>
      </c>
      <c r="E5" s="419">
        <v>1</v>
      </c>
      <c r="F5" s="396">
        <v>169.95205735037158</v>
      </c>
    </row>
    <row r="6" spans="1:6" ht="14.4" customHeight="1" thickBot="1" x14ac:dyDescent="0.35">
      <c r="A6" s="426" t="s">
        <v>6</v>
      </c>
      <c r="B6" s="427"/>
      <c r="C6" s="428">
        <v>0</v>
      </c>
      <c r="D6" s="427">
        <v>169.95205735037158</v>
      </c>
      <c r="E6" s="428">
        <v>1</v>
      </c>
      <c r="F6" s="429">
        <v>169.95205735037158</v>
      </c>
    </row>
    <row r="7" spans="1:6" ht="14.4" customHeight="1" thickBot="1" x14ac:dyDescent="0.35"/>
    <row r="8" spans="1:6" ht="14.4" customHeight="1" thickBot="1" x14ac:dyDescent="0.35">
      <c r="A8" s="430" t="s">
        <v>519</v>
      </c>
      <c r="B8" s="395"/>
      <c r="C8" s="419">
        <v>0</v>
      </c>
      <c r="D8" s="395">
        <v>169.95205735037158</v>
      </c>
      <c r="E8" s="419">
        <v>1</v>
      </c>
      <c r="F8" s="396">
        <v>169.95205735037158</v>
      </c>
    </row>
    <row r="9" spans="1:6" ht="14.4" customHeight="1" thickBot="1" x14ac:dyDescent="0.35">
      <c r="A9" s="426" t="s">
        <v>6</v>
      </c>
      <c r="B9" s="427"/>
      <c r="C9" s="428">
        <v>0</v>
      </c>
      <c r="D9" s="427">
        <v>169.95205735037158</v>
      </c>
      <c r="E9" s="428">
        <v>1</v>
      </c>
      <c r="F9" s="429">
        <v>169.95205735037158</v>
      </c>
    </row>
  </sheetData>
  <mergeCells count="3">
    <mergeCell ref="A1:F1"/>
    <mergeCell ref="B3:C3"/>
    <mergeCell ref="D3:E3"/>
  </mergeCells>
  <conditionalFormatting sqref="C5:C1048576">
    <cfRule type="cellIs" dxfId="17" priority="8" stopIfTrue="1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16</vt:i4>
      </vt:variant>
      <vt:variant>
        <vt:lpstr>Pojmenované oblasti</vt:lpstr>
      </vt:variant>
      <vt:variant>
        <vt:i4>1</vt:i4>
      </vt:variant>
    </vt:vector>
  </HeadingPairs>
  <TitlesOfParts>
    <vt:vector size="17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Materiál Žádanky</vt:lpstr>
      <vt:lpstr>MŽ Detail</vt:lpstr>
      <vt:lpstr>Osobní náklady</vt:lpstr>
      <vt:lpstr>ON Data</vt:lpstr>
      <vt:lpstr>ZV Vykáz.-A</vt:lpstr>
      <vt:lpstr>ZV Vykáz.-A Detail</vt:lpstr>
      <vt:lpstr>doměsíce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62361</cp:lastModifiedBy>
  <cp:lastPrinted>2014-03-27T10:03:47Z</cp:lastPrinted>
  <dcterms:created xsi:type="dcterms:W3CDTF">2013-04-17T20:15:29Z</dcterms:created>
  <dcterms:modified xsi:type="dcterms:W3CDTF">2014-03-27T10:25:27Z</dcterms:modified>
</cp:coreProperties>
</file>